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FaithRevell\Documents\buildingconstruction\"/>
    </mc:Choice>
  </mc:AlternateContent>
  <xr:revisionPtr revIDLastSave="0" documentId="8_{C11D67FE-D594-4D30-BAFC-6C3F8870F481}" xr6:coauthVersionLast="47" xr6:coauthVersionMax="47" xr10:uidLastSave="{00000000-0000-0000-0000-000000000000}"/>
  <bookViews>
    <workbookView xWindow="1245" yWindow="375" windowWidth="26460" windowHeight="14715" firstSheet="1" activeTab="2" xr2:uid="{00000000-000D-0000-FFFF-FFFF00000000}"/>
  </bookViews>
  <sheets>
    <sheet name="Current Projects" sheetId="1" state="hidden" r:id="rId1"/>
    <sheet name="Database" sheetId="2" r:id="rId2"/>
    <sheet name="Overall Master" sheetId="27" r:id="rId3"/>
    <sheet name="Scratch pad" sheetId="33" r:id="rId4"/>
    <sheet name="MM Master" sheetId="31" state="hidden" r:id="rId5"/>
    <sheet name="CIP Master" sheetId="32" state="hidden" r:id="rId6"/>
    <sheet name="Hospital (inhouse)" sheetId="26" state="hidden" r:id="rId7"/>
    <sheet name="Building Maint" sheetId="9" state="hidden" r:id="rId8"/>
    <sheet name="Civic Center" sheetId="13" state="hidden" r:id="rId9"/>
    <sheet name="Comm Dev" sheetId="10" state="hidden" r:id="rId10"/>
    <sheet name="Fire" sheetId="11" state="hidden" r:id="rId11"/>
    <sheet name="Library" sheetId="14" state="hidden" r:id="rId12"/>
    <sheet name="IT" sheetId="8" state="hidden" r:id="rId13"/>
    <sheet name="Museum" sheetId="4" state="hidden" r:id="rId14"/>
    <sheet name="PVMC Hospital " sheetId="12" state="hidden" r:id="rId15"/>
    <sheet name="Park Maint" sheetId="16" state="hidden" r:id="rId16"/>
    <sheet name="Parks &amp; Rec" sheetId="17" state="hidden" r:id="rId17"/>
    <sheet name="PD-PubSaf-Animal " sheetId="22" state="hidden" r:id="rId18"/>
    <sheet name="Ports &amp; Harbor" sheetId="18" state="hidden" r:id="rId19"/>
    <sheet name="Public Works" sheetId="19" state="hidden" r:id="rId20"/>
    <sheet name="Senior Center" sheetId="20" state="hidden" r:id="rId21"/>
    <sheet name="Valdez City Schools" sheetId="15" state="hidden" r:id="rId22"/>
  </sheets>
  <definedNames>
    <definedName name="_xlnm._FilterDatabase" localSheetId="5" hidden="1">'CIP Master'!$F:$F</definedName>
    <definedName name="_xlnm._FilterDatabase" localSheetId="6" hidden="1">'Hospital (inhouse)'!$F:$F</definedName>
    <definedName name="_xlnm._FilterDatabase" localSheetId="4" hidden="1">'MM Master'!$F:$F</definedName>
    <definedName name="_xlnm._FilterDatabase" localSheetId="2" hidden="1">'Overall Master'!$B$1:$B$257</definedName>
    <definedName name="_xlnm._FilterDatabase" localSheetId="15" hidden="1">'Park Maint'!$A$1:$A$4</definedName>
    <definedName name="Age_Inf">Database!$Y$4:$Y$7</definedName>
    <definedName name="Com_Need">Database!$Y$8:$Y$9</definedName>
    <definedName name="Com_Request">Database!$U$11:$U$13</definedName>
    <definedName name="Department">Database!$G$4:$H$40</definedName>
    <definedName name="Department_List">Database!$G$4:$G$39</definedName>
    <definedName name="ele_pri">Database!$N$3:$N$7</definedName>
    <definedName name="Energy">Database!$W$4:$W$7</definedName>
    <definedName name="Epriority">Database!$N$3:$O$7</definedName>
    <definedName name="Funding">Database!$M$3:$M$8</definedName>
    <definedName name="Importance">Database!$D$4:$E$12</definedName>
    <definedName name="Importance_List">Database!$D$4:$D$12</definedName>
    <definedName name="MasterPlan">Database!$W$11:$W$16</definedName>
    <definedName name="Otherlist">Database!$T$3:$T$25</definedName>
    <definedName name="Others">Database!$T$3:$U$10</definedName>
    <definedName name="_xlnm.Print_Area" localSheetId="2">'Overall Master'!$A$1:$AN$291</definedName>
    <definedName name="Revenue">Database!$U$4:$U$9</definedName>
    <definedName name="Risk">Database!$Y$12:$Y$15</definedName>
    <definedName name="Status">Database!$Q$3:$Q$10</definedName>
    <definedName name="Status_Score">Database!$Q$3:$R$10</definedName>
    <definedName name="Urgency">Database!$J$4:$K$11</definedName>
    <definedName name="Urgency_List">Database!$J$4:$J$10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3" l="1"/>
  <c r="E18" i="33" s="1"/>
  <c r="E16" i="33"/>
  <c r="E15" i="33"/>
  <c r="E14" i="33"/>
  <c r="E13" i="33"/>
  <c r="E11" i="33"/>
  <c r="E10" i="33"/>
  <c r="M18" i="33"/>
  <c r="M19" i="33" s="1"/>
  <c r="O19" i="33" s="1"/>
  <c r="P19" i="33" s="1"/>
  <c r="I18" i="33"/>
  <c r="I13" i="33"/>
  <c r="I14" i="33"/>
  <c r="I15" i="33"/>
  <c r="I16" i="33"/>
  <c r="G18" i="33"/>
  <c r="E19" i="33" l="1"/>
  <c r="E20" i="33" s="1"/>
  <c r="T30" i="27"/>
  <c r="H52" i="27" l="1"/>
  <c r="K52" i="27"/>
  <c r="N52" i="27"/>
  <c r="H144" i="27"/>
  <c r="H34" i="27"/>
  <c r="H4" i="27"/>
  <c r="AH306" i="27" l="1"/>
  <c r="AG306" i="27"/>
  <c r="V306" i="27"/>
  <c r="T306" i="27"/>
  <c r="R306" i="27"/>
  <c r="N306" i="27"/>
  <c r="K306" i="27"/>
  <c r="H306" i="27"/>
  <c r="AH305" i="27"/>
  <c r="AG305" i="27"/>
  <c r="V305" i="27"/>
  <c r="T305" i="27"/>
  <c r="R305" i="27"/>
  <c r="N305" i="27"/>
  <c r="K305" i="27"/>
  <c r="H305" i="27"/>
  <c r="AH304" i="27"/>
  <c r="AG304" i="27"/>
  <c r="V304" i="27"/>
  <c r="T304" i="27"/>
  <c r="R304" i="27"/>
  <c r="N304" i="27"/>
  <c r="K304" i="27"/>
  <c r="H304" i="27"/>
  <c r="AH303" i="27"/>
  <c r="AG303" i="27"/>
  <c r="V303" i="27"/>
  <c r="T303" i="27"/>
  <c r="R303" i="27"/>
  <c r="N303" i="27"/>
  <c r="K303" i="27"/>
  <c r="H303" i="27"/>
  <c r="AH302" i="27"/>
  <c r="AG302" i="27"/>
  <c r="V302" i="27"/>
  <c r="T302" i="27"/>
  <c r="R302" i="27"/>
  <c r="N302" i="27"/>
  <c r="K302" i="27"/>
  <c r="H302" i="27"/>
  <c r="AH301" i="27"/>
  <c r="AG301" i="27"/>
  <c r="V301" i="27"/>
  <c r="T301" i="27"/>
  <c r="R301" i="27"/>
  <c r="N301" i="27"/>
  <c r="K301" i="27"/>
  <c r="H301" i="27"/>
  <c r="AH300" i="27"/>
  <c r="AG300" i="27"/>
  <c r="V300" i="27"/>
  <c r="T300" i="27"/>
  <c r="R300" i="27"/>
  <c r="N300" i="27"/>
  <c r="K300" i="27"/>
  <c r="H300" i="27"/>
  <c r="AH299" i="27"/>
  <c r="AG299" i="27"/>
  <c r="V299" i="27"/>
  <c r="T299" i="27"/>
  <c r="R299" i="27"/>
  <c r="N299" i="27"/>
  <c r="K299" i="27"/>
  <c r="H299" i="27"/>
  <c r="AH298" i="27"/>
  <c r="AG298" i="27"/>
  <c r="V298" i="27"/>
  <c r="T298" i="27"/>
  <c r="R298" i="27"/>
  <c r="N298" i="27"/>
  <c r="K298" i="27"/>
  <c r="H298" i="27"/>
  <c r="AH297" i="27"/>
  <c r="AG297" i="27"/>
  <c r="V297" i="27"/>
  <c r="T297" i="27"/>
  <c r="R297" i="27"/>
  <c r="N297" i="27"/>
  <c r="K297" i="27"/>
  <c r="H297" i="27"/>
  <c r="AH296" i="27"/>
  <c r="AG296" i="27"/>
  <c r="V296" i="27"/>
  <c r="T296" i="27"/>
  <c r="R296" i="27"/>
  <c r="N296" i="27"/>
  <c r="K296" i="27"/>
  <c r="H296" i="27"/>
  <c r="AH295" i="27"/>
  <c r="AG295" i="27"/>
  <c r="V295" i="27"/>
  <c r="T295" i="27"/>
  <c r="R295" i="27"/>
  <c r="N295" i="27"/>
  <c r="K295" i="27"/>
  <c r="H295" i="27"/>
  <c r="AH294" i="27"/>
  <c r="AG294" i="27"/>
  <c r="V294" i="27"/>
  <c r="T294" i="27"/>
  <c r="R294" i="27"/>
  <c r="N294" i="27"/>
  <c r="K294" i="27"/>
  <c r="H294" i="27"/>
  <c r="AH293" i="27"/>
  <c r="AG293" i="27"/>
  <c r="V293" i="27"/>
  <c r="T293" i="27"/>
  <c r="R293" i="27"/>
  <c r="N293" i="27"/>
  <c r="K293" i="27"/>
  <c r="H293" i="27"/>
  <c r="AH292" i="27"/>
  <c r="AG292" i="27"/>
  <c r="V292" i="27"/>
  <c r="T292" i="27"/>
  <c r="R292" i="27"/>
  <c r="N292" i="27"/>
  <c r="K292" i="27"/>
  <c r="H292" i="27"/>
  <c r="AG291" i="27"/>
  <c r="V291" i="27"/>
  <c r="T291" i="27"/>
  <c r="R291" i="27"/>
  <c r="N291" i="27"/>
  <c r="K291" i="27"/>
  <c r="H291" i="27"/>
  <c r="AG36" i="27"/>
  <c r="V36" i="27"/>
  <c r="R36" i="27"/>
  <c r="N36" i="27"/>
  <c r="K36" i="27"/>
  <c r="H36" i="27"/>
  <c r="AG35" i="27"/>
  <c r="V35" i="27"/>
  <c r="R35" i="27"/>
  <c r="N35" i="27"/>
  <c r="K35" i="27"/>
  <c r="H35" i="27"/>
  <c r="AG33" i="27"/>
  <c r="V33" i="27"/>
  <c r="T33" i="27"/>
  <c r="R33" i="27"/>
  <c r="K33" i="27"/>
  <c r="H33" i="27"/>
  <c r="AG30" i="27"/>
  <c r="V30" i="27"/>
  <c r="R30" i="27"/>
  <c r="N30" i="27"/>
  <c r="K30" i="27"/>
  <c r="H30" i="27"/>
  <c r="AG39" i="27"/>
  <c r="V39" i="27"/>
  <c r="R39" i="27"/>
  <c r="K39" i="27"/>
  <c r="H39" i="27"/>
  <c r="AG152" i="27"/>
  <c r="R152" i="27"/>
  <c r="N152" i="27"/>
  <c r="K152" i="27"/>
  <c r="H152" i="27"/>
  <c r="AG94" i="27"/>
  <c r="R94" i="27"/>
  <c r="N94" i="27"/>
  <c r="K94" i="27"/>
  <c r="H94" i="27"/>
  <c r="AG80" i="27"/>
  <c r="V80" i="27"/>
  <c r="AG44" i="27"/>
  <c r="V44" i="27"/>
  <c r="AG51" i="27"/>
  <c r="V51" i="27"/>
  <c r="AG62" i="27"/>
  <c r="V62" i="27"/>
  <c r="AG74" i="27"/>
  <c r="AG128" i="27"/>
  <c r="V128" i="27"/>
  <c r="AG4" i="27"/>
  <c r="V4" i="27"/>
  <c r="AG34" i="27"/>
  <c r="V34" i="27"/>
  <c r="R34" i="27"/>
  <c r="K34" i="27"/>
  <c r="AG144" i="27"/>
  <c r="R144" i="27"/>
  <c r="N144" i="27"/>
  <c r="K144" i="27"/>
  <c r="AG32" i="27"/>
  <c r="V32" i="27"/>
  <c r="R32" i="27"/>
  <c r="K32" i="27"/>
  <c r="H32" i="27"/>
  <c r="AG31" i="27"/>
  <c r="V31" i="27"/>
  <c r="R31" i="27"/>
  <c r="K31" i="27"/>
  <c r="H31" i="27"/>
  <c r="AG88" i="27"/>
  <c r="R88" i="27"/>
  <c r="N88" i="27"/>
  <c r="K88" i="27"/>
  <c r="H88" i="27"/>
  <c r="AG126" i="27"/>
  <c r="V126" i="27"/>
  <c r="R126" i="27"/>
  <c r="N126" i="27"/>
  <c r="K126" i="27"/>
  <c r="H126" i="27"/>
  <c r="AG135" i="27"/>
  <c r="R135" i="27"/>
  <c r="N135" i="27"/>
  <c r="K135" i="27"/>
  <c r="H135" i="27"/>
  <c r="AG73" i="27"/>
  <c r="V73" i="27"/>
  <c r="R73" i="27"/>
  <c r="N73" i="27"/>
  <c r="K73" i="27"/>
  <c r="H73" i="27"/>
  <c r="AG72" i="27"/>
  <c r="V72" i="27"/>
  <c r="R72" i="27"/>
  <c r="N72" i="27"/>
  <c r="K72" i="27"/>
  <c r="H72" i="27"/>
  <c r="AG43" i="27"/>
  <c r="V43" i="27"/>
  <c r="R43" i="27"/>
  <c r="N43" i="27"/>
  <c r="K43" i="27"/>
  <c r="H43" i="27"/>
  <c r="AG130" i="27"/>
  <c r="V130" i="27"/>
  <c r="R130" i="27"/>
  <c r="N130" i="27"/>
  <c r="K130" i="27"/>
  <c r="H130" i="27"/>
  <c r="AG48" i="27"/>
  <c r="V48" i="27"/>
  <c r="R48" i="27"/>
  <c r="N48" i="27"/>
  <c r="K48" i="27"/>
  <c r="H48" i="27"/>
  <c r="AG49" i="27"/>
  <c r="V49" i="27"/>
  <c r="R49" i="27"/>
  <c r="N49" i="27"/>
  <c r="K49" i="27"/>
  <c r="H49" i="27"/>
  <c r="AG143" i="27"/>
  <c r="R143" i="27"/>
  <c r="N143" i="27"/>
  <c r="K143" i="27"/>
  <c r="H143" i="27"/>
  <c r="AG153" i="27"/>
  <c r="R153" i="27"/>
  <c r="N153" i="27"/>
  <c r="K153" i="27"/>
  <c r="H153" i="27"/>
  <c r="AG109" i="27"/>
  <c r="V109" i="27"/>
  <c r="R109" i="27"/>
  <c r="N109" i="27"/>
  <c r="K109" i="27"/>
  <c r="H109" i="27"/>
  <c r="AG40" i="27"/>
  <c r="V40" i="27"/>
  <c r="R40" i="27"/>
  <c r="K40" i="27"/>
  <c r="H40" i="27"/>
  <c r="AG125" i="27"/>
  <c r="V125" i="27"/>
  <c r="R125" i="27"/>
  <c r="N125" i="27"/>
  <c r="K125" i="27"/>
  <c r="H125" i="27"/>
  <c r="AH291" i="27" l="1"/>
  <c r="AH33" i="27"/>
  <c r="AH30" i="27"/>
  <c r="R52" i="27"/>
  <c r="V52" i="27"/>
  <c r="AG52" i="27"/>
  <c r="H53" i="27"/>
  <c r="K53" i="27"/>
  <c r="N53" i="27"/>
  <c r="R53" i="27"/>
  <c r="V53" i="27"/>
  <c r="AG53" i="27"/>
  <c r="H54" i="27"/>
  <c r="K54" i="27"/>
  <c r="N54" i="27"/>
  <c r="R54" i="27"/>
  <c r="V54" i="27"/>
  <c r="AG54" i="27"/>
  <c r="H55" i="27"/>
  <c r="K55" i="27"/>
  <c r="N55" i="27"/>
  <c r="R55" i="27"/>
  <c r="V55" i="27"/>
  <c r="AG55" i="27"/>
  <c r="H50" i="27"/>
  <c r="K50" i="27"/>
  <c r="N50" i="27"/>
  <c r="R50" i="27"/>
  <c r="V50" i="27"/>
  <c r="AG50" i="27"/>
  <c r="H244" i="27"/>
  <c r="K244" i="27"/>
  <c r="R244" i="27"/>
  <c r="V244" i="27"/>
  <c r="AG244" i="27"/>
  <c r="H56" i="27"/>
  <c r="K56" i="27"/>
  <c r="N56" i="27"/>
  <c r="R56" i="27"/>
  <c r="V56" i="27"/>
  <c r="AG56" i="27"/>
  <c r="H142" i="27"/>
  <c r="K142" i="27"/>
  <c r="N142" i="27"/>
  <c r="R142" i="27"/>
  <c r="AG142" i="27"/>
  <c r="H119" i="27"/>
  <c r="K119" i="27"/>
  <c r="N119" i="27"/>
  <c r="R119" i="27"/>
  <c r="V119" i="27"/>
  <c r="AG119" i="27"/>
  <c r="H47" i="27"/>
  <c r="K47" i="27"/>
  <c r="R47" i="27"/>
  <c r="V47" i="27"/>
  <c r="AG47" i="27"/>
  <c r="H115" i="27"/>
  <c r="K115" i="27"/>
  <c r="N115" i="27"/>
  <c r="R115" i="27"/>
  <c r="V115" i="27"/>
  <c r="AG115" i="27"/>
  <c r="H148" i="27"/>
  <c r="K148" i="27"/>
  <c r="N148" i="27"/>
  <c r="R148" i="27"/>
  <c r="AG148" i="27"/>
  <c r="H205" i="27"/>
  <c r="K205" i="27"/>
  <c r="R205" i="27"/>
  <c r="V205" i="27"/>
  <c r="AG205" i="27"/>
  <c r="H86" i="27" l="1"/>
  <c r="V59" i="27" l="1"/>
  <c r="AG59" i="27"/>
  <c r="V61" i="27"/>
  <c r="AG61" i="27"/>
  <c r="T59" i="27"/>
  <c r="T61" i="27"/>
  <c r="R59" i="27"/>
  <c r="R61" i="27"/>
  <c r="H59" i="27"/>
  <c r="K59" i="27"/>
  <c r="N59" i="27"/>
  <c r="H61" i="27"/>
  <c r="K61" i="27"/>
  <c r="N61" i="27"/>
  <c r="AH61" i="27" l="1"/>
  <c r="AH59" i="27"/>
  <c r="AG242" i="27"/>
  <c r="K242" i="27"/>
  <c r="K281" i="27"/>
  <c r="N281" i="27"/>
  <c r="N242" i="27"/>
  <c r="V242" i="27" l="1"/>
  <c r="R242" i="27"/>
  <c r="H242" i="27"/>
  <c r="K86" i="27" l="1"/>
  <c r="N86" i="27"/>
  <c r="N106" i="27"/>
  <c r="K106" i="27"/>
  <c r="R241" i="27" l="1"/>
  <c r="V241" i="27"/>
  <c r="AG241" i="27"/>
  <c r="H241" i="27"/>
  <c r="K241" i="27"/>
  <c r="AG86" i="27" l="1"/>
  <c r="J23" i="27"/>
  <c r="J264" i="27"/>
  <c r="I266" i="27"/>
  <c r="J231" i="27"/>
  <c r="J17" i="27"/>
  <c r="K19" i="27"/>
  <c r="K20" i="27"/>
  <c r="A3" i="27"/>
  <c r="A4" i="27" s="1"/>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R229" i="27" l="1"/>
  <c r="V229" i="27"/>
  <c r="AG229" i="27"/>
  <c r="R42" i="27"/>
  <c r="V42" i="27"/>
  <c r="AG42" i="27"/>
  <c r="H229" i="27" l="1"/>
  <c r="K229" i="27"/>
  <c r="H42" i="27"/>
  <c r="K42" i="27"/>
  <c r="AG147" i="27"/>
  <c r="V147" i="27"/>
  <c r="R147" i="27"/>
  <c r="N147" i="27"/>
  <c r="K147" i="27"/>
  <c r="H147" i="27"/>
  <c r="AG107" i="27" l="1"/>
  <c r="AG12" i="27"/>
  <c r="AG118" i="27"/>
  <c r="AG112" i="27"/>
  <c r="AG121" i="27"/>
  <c r="AG124" i="27"/>
  <c r="AG64" i="27"/>
  <c r="AG57" i="27"/>
  <c r="AG70" i="27"/>
  <c r="AG38" i="27"/>
  <c r="AG275" i="27"/>
  <c r="AG134" i="27"/>
  <c r="AG28" i="27"/>
  <c r="AG132" i="27"/>
  <c r="AG5" i="27"/>
  <c r="AG159" i="27"/>
  <c r="AG171" i="27"/>
  <c r="AG106" i="27"/>
  <c r="AG183" i="27"/>
  <c r="AG165" i="27"/>
  <c r="AG13" i="27"/>
  <c r="AG181" i="27"/>
  <c r="V107" i="27"/>
  <c r="V12" i="27"/>
  <c r="V118" i="27"/>
  <c r="V112" i="27"/>
  <c r="V121" i="27"/>
  <c r="V124" i="27"/>
  <c r="V64" i="27"/>
  <c r="V57" i="27"/>
  <c r="V275" i="27"/>
  <c r="V28" i="27"/>
  <c r="V132" i="27"/>
  <c r="V5" i="27"/>
  <c r="V106" i="27"/>
  <c r="V13" i="27"/>
  <c r="V181" i="27"/>
  <c r="R107" i="27"/>
  <c r="R12" i="27"/>
  <c r="R118" i="27"/>
  <c r="R112" i="27"/>
  <c r="R121" i="27"/>
  <c r="R124" i="27"/>
  <c r="R64" i="27"/>
  <c r="R57" i="27"/>
  <c r="R70" i="27"/>
  <c r="R38" i="27"/>
  <c r="R275" i="27"/>
  <c r="R134" i="27"/>
  <c r="R28" i="27"/>
  <c r="R132" i="27"/>
  <c r="R5" i="27"/>
  <c r="R159" i="27"/>
  <c r="R171" i="27"/>
  <c r="R106" i="27"/>
  <c r="R183" i="27"/>
  <c r="R165" i="27"/>
  <c r="R13" i="27"/>
  <c r="R181" i="27"/>
  <c r="H13" i="27" l="1"/>
  <c r="K13" i="27"/>
  <c r="H181" i="27" l="1"/>
  <c r="K181" i="27"/>
  <c r="N181" i="27"/>
  <c r="H183" i="27" l="1"/>
  <c r="K183" i="27"/>
  <c r="N183" i="27"/>
  <c r="H165" i="27"/>
  <c r="K165" i="27"/>
  <c r="N165" i="27"/>
  <c r="N171" i="27"/>
  <c r="K171" i="27"/>
  <c r="H171" i="27"/>
  <c r="H132" i="27" l="1"/>
  <c r="H5" i="27"/>
  <c r="K132" i="27"/>
  <c r="K5" i="27"/>
  <c r="N132" i="27"/>
  <c r="H159" i="27"/>
  <c r="K159" i="27"/>
  <c r="N159" i="27"/>
  <c r="H28" i="27" l="1"/>
  <c r="AH28" i="27" s="1"/>
  <c r="K28" i="27"/>
  <c r="H38" i="27"/>
  <c r="K38" i="27"/>
  <c r="N38" i="27"/>
  <c r="H275" i="27"/>
  <c r="K275" i="27"/>
  <c r="N275" i="27"/>
  <c r="H57" i="27"/>
  <c r="K57" i="27"/>
  <c r="N57" i="27"/>
  <c r="H70" i="27"/>
  <c r="K70" i="27"/>
  <c r="N70" i="27"/>
  <c r="H64" i="27" l="1"/>
  <c r="K64" i="27"/>
  <c r="N64" i="27"/>
  <c r="H134" i="27"/>
  <c r="K134" i="27"/>
  <c r="N134" i="27"/>
  <c r="H112" i="27"/>
  <c r="K112" i="27"/>
  <c r="N112" i="27"/>
  <c r="H107" i="27"/>
  <c r="K107" i="27"/>
  <c r="N107" i="27"/>
  <c r="H12" i="27"/>
  <c r="K12" i="27"/>
  <c r="H118" i="27"/>
  <c r="K118" i="27"/>
  <c r="N118" i="27"/>
  <c r="H121" i="27"/>
  <c r="K121" i="27"/>
  <c r="N121" i="27"/>
  <c r="H124" i="27"/>
  <c r="K124" i="27"/>
  <c r="N124" i="27"/>
  <c r="R22" i="27" l="1"/>
  <c r="T22" i="27"/>
  <c r="V22" i="27"/>
  <c r="AG22" i="27"/>
  <c r="H22" i="27"/>
  <c r="K22" i="27"/>
  <c r="AH22" i="27" l="1"/>
  <c r="R161" i="27"/>
  <c r="AG161" i="27"/>
  <c r="H161" i="27"/>
  <c r="K161" i="27"/>
  <c r="N161" i="27"/>
  <c r="V221" i="27"/>
  <c r="H58" i="27"/>
  <c r="K58" i="27"/>
  <c r="N58" i="27"/>
  <c r="R58" i="27"/>
  <c r="AG58" i="27"/>
  <c r="H46" i="27"/>
  <c r="K46" i="27"/>
  <c r="R46" i="27"/>
  <c r="AG46" i="27"/>
  <c r="R6" i="27" l="1"/>
  <c r="V6" i="27"/>
  <c r="AG6" i="27"/>
  <c r="R230" i="27"/>
  <c r="V230" i="27"/>
  <c r="AG230" i="27"/>
  <c r="R139" i="27"/>
  <c r="AG139" i="27"/>
  <c r="R231" i="27"/>
  <c r="V231" i="27"/>
  <c r="AG231" i="27"/>
  <c r="R3" i="27"/>
  <c r="V3" i="27"/>
  <c r="AG3" i="27"/>
  <c r="R29" i="27"/>
  <c r="V29" i="27"/>
  <c r="AG29" i="27"/>
  <c r="R222" i="27"/>
  <c r="V222" i="27"/>
  <c r="AG222" i="27"/>
  <c r="R140" i="27"/>
  <c r="V140" i="27"/>
  <c r="AG140" i="27"/>
  <c r="H3" i="27" l="1"/>
  <c r="K3" i="27"/>
  <c r="H29" i="27"/>
  <c r="AH29" i="27" s="1"/>
  <c r="K29" i="27"/>
  <c r="N29" i="27"/>
  <c r="H222" i="27"/>
  <c r="K222" i="27"/>
  <c r="N222" i="27"/>
  <c r="H231" i="27"/>
  <c r="K231" i="27"/>
  <c r="N231" i="27"/>
  <c r="H139" i="27" l="1"/>
  <c r="H140" i="27"/>
  <c r="K139" i="27"/>
  <c r="K140" i="27"/>
  <c r="N139" i="27"/>
  <c r="N140" i="27"/>
  <c r="H17" i="27"/>
  <c r="K17" i="27"/>
  <c r="N17" i="27"/>
  <c r="R17" i="27"/>
  <c r="V17" i="27"/>
  <c r="AG17" i="27"/>
  <c r="H230" i="27" l="1"/>
  <c r="K230" i="27"/>
  <c r="N230" i="27"/>
  <c r="H6" i="27"/>
  <c r="K6" i="27"/>
  <c r="AE205" i="32" l="1"/>
  <c r="U205" i="32"/>
  <c r="Q205" i="32"/>
  <c r="M205" i="32"/>
  <c r="J205" i="32"/>
  <c r="G205" i="32"/>
  <c r="AE204" i="32"/>
  <c r="U204" i="32"/>
  <c r="Q204" i="32"/>
  <c r="M204" i="32"/>
  <c r="J204" i="32"/>
  <c r="G204" i="32"/>
  <c r="AE203" i="32"/>
  <c r="U203" i="32"/>
  <c r="Q203" i="32"/>
  <c r="M203" i="32"/>
  <c r="J203" i="32"/>
  <c r="G203" i="32"/>
  <c r="AE202" i="32"/>
  <c r="Q202" i="32"/>
  <c r="M202" i="32"/>
  <c r="J202" i="32"/>
  <c r="G202" i="32"/>
  <c r="AE201" i="32"/>
  <c r="U201" i="32"/>
  <c r="Q201" i="32"/>
  <c r="M201" i="32"/>
  <c r="J201" i="32"/>
  <c r="G201" i="32"/>
  <c r="AE200" i="32"/>
  <c r="Q200" i="32"/>
  <c r="M200" i="32"/>
  <c r="J200" i="32"/>
  <c r="G200" i="32"/>
  <c r="AE199" i="32"/>
  <c r="U199" i="32"/>
  <c r="Q199" i="32"/>
  <c r="M199" i="32"/>
  <c r="H199" i="32"/>
  <c r="J199" i="32" s="1"/>
  <c r="G199" i="32"/>
  <c r="AE198" i="32"/>
  <c r="U198" i="32"/>
  <c r="Q198" i="32"/>
  <c r="M198" i="32"/>
  <c r="J198" i="32"/>
  <c r="G198" i="32"/>
  <c r="AE197" i="32"/>
  <c r="U197" i="32"/>
  <c r="S197" i="32"/>
  <c r="Q197" i="32"/>
  <c r="M197" i="32"/>
  <c r="J197" i="32"/>
  <c r="G197" i="32"/>
  <c r="AE196" i="32"/>
  <c r="U196" i="32"/>
  <c r="Q196" i="32"/>
  <c r="M196" i="32"/>
  <c r="I196" i="32"/>
  <c r="J196" i="32" s="1"/>
  <c r="G196" i="32"/>
  <c r="AE195" i="32"/>
  <c r="U195" i="32"/>
  <c r="S195" i="32"/>
  <c r="Q195" i="32"/>
  <c r="M195" i="32"/>
  <c r="J195" i="32"/>
  <c r="G195" i="32"/>
  <c r="AE194" i="32"/>
  <c r="U194" i="32"/>
  <c r="S194" i="32"/>
  <c r="Q194" i="32"/>
  <c r="M194" i="32"/>
  <c r="J194" i="32"/>
  <c r="G194" i="32"/>
  <c r="AE193" i="32"/>
  <c r="U193" i="32"/>
  <c r="Q193" i="32"/>
  <c r="M193" i="32"/>
  <c r="J193" i="32"/>
  <c r="G193" i="32"/>
  <c r="AE192" i="32"/>
  <c r="U192" i="32"/>
  <c r="Q192" i="32"/>
  <c r="M192" i="32"/>
  <c r="J192" i="32"/>
  <c r="G192" i="32"/>
  <c r="AE191" i="32"/>
  <c r="U191" i="32"/>
  <c r="Q191" i="32"/>
  <c r="M191" i="32"/>
  <c r="J191" i="32"/>
  <c r="G191" i="32"/>
  <c r="AE190" i="32"/>
  <c r="S190" i="32"/>
  <c r="Q190" i="32"/>
  <c r="M190" i="32"/>
  <c r="J190" i="32"/>
  <c r="G190" i="32"/>
  <c r="AE189" i="32"/>
  <c r="J189" i="32"/>
  <c r="L189" i="32" s="1"/>
  <c r="M189" i="32" s="1"/>
  <c r="N189" i="32" s="1"/>
  <c r="G189" i="32"/>
  <c r="AE188" i="32"/>
  <c r="M188" i="32"/>
  <c r="J188" i="32"/>
  <c r="G188" i="32"/>
  <c r="AE187" i="32"/>
  <c r="J187" i="32"/>
  <c r="L187" i="32" s="1"/>
  <c r="M187" i="32" s="1"/>
  <c r="N187" i="32" s="1"/>
  <c r="G187" i="32"/>
  <c r="AF187" i="32" s="1"/>
  <c r="AE186" i="32"/>
  <c r="U186" i="32"/>
  <c r="S186" i="32"/>
  <c r="Q186" i="32"/>
  <c r="J186" i="32"/>
  <c r="L186" i="32" s="1"/>
  <c r="M186" i="32" s="1"/>
  <c r="N186" i="32" s="1"/>
  <c r="G186" i="32"/>
  <c r="M185" i="32"/>
  <c r="J185" i="32"/>
  <c r="G185" i="32"/>
  <c r="AF185" i="32" s="1"/>
  <c r="AE184" i="32"/>
  <c r="S184" i="32"/>
  <c r="Q184" i="32"/>
  <c r="M184" i="32"/>
  <c r="J184" i="32"/>
  <c r="G184" i="32"/>
  <c r="AE183" i="32"/>
  <c r="U183" i="32"/>
  <c r="Q183" i="32"/>
  <c r="M183" i="32"/>
  <c r="J183" i="32"/>
  <c r="G183" i="32"/>
  <c r="AE182" i="32"/>
  <c r="U182" i="32"/>
  <c r="Q182" i="32"/>
  <c r="M182" i="32"/>
  <c r="J182" i="32"/>
  <c r="G182" i="32"/>
  <c r="AE181" i="32"/>
  <c r="U181" i="32"/>
  <c r="Q181" i="32"/>
  <c r="M181" i="32"/>
  <c r="J181" i="32"/>
  <c r="G181" i="32"/>
  <c r="AE180" i="32"/>
  <c r="U180" i="32"/>
  <c r="Q180" i="32"/>
  <c r="M180" i="32"/>
  <c r="J180" i="32"/>
  <c r="G180" i="32"/>
  <c r="AE179" i="32"/>
  <c r="U179" i="32"/>
  <c r="Q179" i="32"/>
  <c r="M179" i="32"/>
  <c r="J179" i="32"/>
  <c r="G179" i="32"/>
  <c r="AE178" i="32"/>
  <c r="U178" i="32"/>
  <c r="Q178" i="32"/>
  <c r="M178" i="32"/>
  <c r="J178" i="32"/>
  <c r="G178" i="32"/>
  <c r="AE174" i="32"/>
  <c r="S174" i="32"/>
  <c r="Q174" i="32"/>
  <c r="M174" i="32"/>
  <c r="J174" i="32"/>
  <c r="G174" i="32"/>
  <c r="AE169" i="32"/>
  <c r="Q169" i="32"/>
  <c r="M169" i="32"/>
  <c r="J169" i="32"/>
  <c r="G169" i="32"/>
  <c r="AE168" i="32"/>
  <c r="Q168" i="32"/>
  <c r="M168" i="32"/>
  <c r="J168" i="32"/>
  <c r="G168" i="32"/>
  <c r="AE167" i="32"/>
  <c r="S167" i="32"/>
  <c r="Q167" i="32"/>
  <c r="M167" i="32"/>
  <c r="J167" i="32"/>
  <c r="G167" i="32"/>
  <c r="AE173" i="32"/>
  <c r="Q173" i="32"/>
  <c r="M173" i="32"/>
  <c r="J173" i="32"/>
  <c r="G173" i="32"/>
  <c r="AE172" i="32"/>
  <c r="S172" i="32"/>
  <c r="Q172" i="32"/>
  <c r="M172" i="32"/>
  <c r="J172" i="32"/>
  <c r="G172" i="32"/>
  <c r="AE171" i="32"/>
  <c r="S171" i="32"/>
  <c r="Q171" i="32"/>
  <c r="M171" i="32"/>
  <c r="J171" i="32"/>
  <c r="G171" i="32"/>
  <c r="AE170" i="32"/>
  <c r="S170" i="32"/>
  <c r="Q170" i="32"/>
  <c r="M170" i="32"/>
  <c r="J170" i="32"/>
  <c r="G170" i="32"/>
  <c r="AE166" i="32"/>
  <c r="S166" i="32"/>
  <c r="Q166" i="32"/>
  <c r="M166" i="32"/>
  <c r="J166" i="32"/>
  <c r="G166" i="32"/>
  <c r="AE165" i="32"/>
  <c r="S165" i="32"/>
  <c r="Q165" i="32"/>
  <c r="M165" i="32"/>
  <c r="J165" i="32"/>
  <c r="G165" i="32"/>
  <c r="AE164" i="32"/>
  <c r="Q164" i="32"/>
  <c r="M164" i="32"/>
  <c r="J164" i="32"/>
  <c r="G164" i="32"/>
  <c r="AE163" i="32"/>
  <c r="Q163" i="32"/>
  <c r="M163" i="32"/>
  <c r="J163" i="32"/>
  <c r="G163" i="32"/>
  <c r="AE162" i="32"/>
  <c r="Q162" i="32"/>
  <c r="M162" i="32"/>
  <c r="J162" i="32"/>
  <c r="G162" i="32"/>
  <c r="AE160" i="32"/>
  <c r="S160" i="32"/>
  <c r="Q160" i="32"/>
  <c r="M160" i="32"/>
  <c r="J160" i="32"/>
  <c r="G160" i="32"/>
  <c r="AE158" i="32"/>
  <c r="S158" i="32"/>
  <c r="Q158" i="32"/>
  <c r="M158" i="32"/>
  <c r="J158" i="32"/>
  <c r="G158" i="32"/>
  <c r="AE156" i="32"/>
  <c r="U156" i="32"/>
  <c r="S156" i="32"/>
  <c r="Q156" i="32"/>
  <c r="M156" i="32"/>
  <c r="J156" i="32"/>
  <c r="G156" i="32"/>
  <c r="AE161" i="32"/>
  <c r="U161" i="32"/>
  <c r="S161" i="32"/>
  <c r="Q161" i="32"/>
  <c r="M161" i="32"/>
  <c r="J161" i="32"/>
  <c r="G161" i="32"/>
  <c r="AE155" i="32"/>
  <c r="U155" i="32"/>
  <c r="S155" i="32"/>
  <c r="Q155" i="32"/>
  <c r="M155" i="32"/>
  <c r="J155" i="32"/>
  <c r="G155" i="32"/>
  <c r="AE159" i="32"/>
  <c r="Q159" i="32"/>
  <c r="M159" i="32"/>
  <c r="J159" i="32"/>
  <c r="G159" i="32"/>
  <c r="AE154" i="32"/>
  <c r="U154" i="32"/>
  <c r="S154" i="32"/>
  <c r="Q154" i="32"/>
  <c r="M154" i="32"/>
  <c r="J154" i="32"/>
  <c r="G154" i="32"/>
  <c r="AE157" i="32"/>
  <c r="U157" i="32"/>
  <c r="S157" i="32"/>
  <c r="Q157" i="32"/>
  <c r="M157" i="32"/>
  <c r="J157" i="32"/>
  <c r="G157" i="32"/>
  <c r="AE152" i="32"/>
  <c r="Q152" i="32"/>
  <c r="M152" i="32"/>
  <c r="J152" i="32"/>
  <c r="G152" i="32"/>
  <c r="AE151" i="32"/>
  <c r="S151" i="32"/>
  <c r="Q151" i="32"/>
  <c r="M151" i="32"/>
  <c r="J151" i="32"/>
  <c r="G151" i="32"/>
  <c r="AE150" i="32"/>
  <c r="Q150" i="32"/>
  <c r="M150" i="32"/>
  <c r="J150" i="32"/>
  <c r="G150" i="32"/>
  <c r="AE153" i="32"/>
  <c r="S153" i="32"/>
  <c r="Q153" i="32"/>
  <c r="M153" i="32"/>
  <c r="J153" i="32"/>
  <c r="G153" i="32"/>
  <c r="AE149" i="32"/>
  <c r="Q149" i="32"/>
  <c r="M149" i="32"/>
  <c r="J149" i="32"/>
  <c r="G149" i="32"/>
  <c r="AE148" i="32"/>
  <c r="S148" i="32"/>
  <c r="Q148" i="32"/>
  <c r="M148" i="32"/>
  <c r="J148" i="32"/>
  <c r="G148" i="32"/>
  <c r="AE146" i="32"/>
  <c r="S146" i="32"/>
  <c r="Q146" i="32"/>
  <c r="M146" i="32"/>
  <c r="J146" i="32"/>
  <c r="G146" i="32"/>
  <c r="AE145" i="32"/>
  <c r="Q145" i="32"/>
  <c r="M145" i="32"/>
  <c r="J145" i="32"/>
  <c r="G145" i="32"/>
  <c r="AE144" i="32"/>
  <c r="U144" i="32"/>
  <c r="S144" i="32"/>
  <c r="Q144" i="32"/>
  <c r="M144" i="32"/>
  <c r="J144" i="32"/>
  <c r="G144" i="32"/>
  <c r="AE147" i="32"/>
  <c r="Q147" i="32"/>
  <c r="M147" i="32"/>
  <c r="J147" i="32"/>
  <c r="G147" i="32"/>
  <c r="AE142" i="32"/>
  <c r="Q142" i="32"/>
  <c r="M142" i="32"/>
  <c r="J142" i="32"/>
  <c r="G142" i="32"/>
  <c r="AE140" i="32"/>
  <c r="Q140" i="32"/>
  <c r="M140" i="32"/>
  <c r="J140" i="32"/>
  <c r="G140" i="32"/>
  <c r="AE139" i="32"/>
  <c r="Q139" i="32"/>
  <c r="M139" i="32"/>
  <c r="J139" i="32"/>
  <c r="G139" i="32"/>
  <c r="AE143" i="32"/>
  <c r="U143" i="32"/>
  <c r="S143" i="32"/>
  <c r="Q143" i="32"/>
  <c r="M143" i="32"/>
  <c r="J143" i="32"/>
  <c r="G143" i="32"/>
  <c r="AE138" i="32"/>
  <c r="Q138" i="32"/>
  <c r="M138" i="32"/>
  <c r="J138" i="32"/>
  <c r="G138" i="32"/>
  <c r="AE141" i="32"/>
  <c r="U141" i="32"/>
  <c r="S141" i="32"/>
  <c r="Q141" i="32"/>
  <c r="M141" i="32"/>
  <c r="J141" i="32"/>
  <c r="G141" i="32"/>
  <c r="AE134" i="32"/>
  <c r="Q134" i="32"/>
  <c r="M134" i="32"/>
  <c r="J134" i="32"/>
  <c r="G134" i="32"/>
  <c r="AE132" i="32"/>
  <c r="Q132" i="32"/>
  <c r="M132" i="32"/>
  <c r="J132" i="32"/>
  <c r="G132" i="32"/>
  <c r="AE131" i="32"/>
  <c r="Q131" i="32"/>
  <c r="M131" i="32"/>
  <c r="J131" i="32"/>
  <c r="G131" i="32"/>
  <c r="AE137" i="32"/>
  <c r="U137" i="32"/>
  <c r="S137" i="32"/>
  <c r="Q137" i="32"/>
  <c r="M137" i="32"/>
  <c r="J137" i="32"/>
  <c r="G137" i="32"/>
  <c r="AE136" i="32"/>
  <c r="S136" i="32"/>
  <c r="Q136" i="32"/>
  <c r="M136" i="32"/>
  <c r="J136" i="32"/>
  <c r="G136" i="32"/>
  <c r="AE135" i="32"/>
  <c r="U135" i="32"/>
  <c r="S135" i="32"/>
  <c r="Q135" i="32"/>
  <c r="M135" i="32"/>
  <c r="J135" i="32"/>
  <c r="G135" i="32"/>
  <c r="AE128" i="32"/>
  <c r="Q128" i="32"/>
  <c r="M128" i="32"/>
  <c r="J128" i="32"/>
  <c r="G128" i="32"/>
  <c r="AE133" i="32"/>
  <c r="S133" i="32"/>
  <c r="Q133" i="32"/>
  <c r="M133" i="32"/>
  <c r="J133" i="32"/>
  <c r="G133" i="32"/>
  <c r="AE127" i="32"/>
  <c r="U127" i="32"/>
  <c r="Q127" i="32"/>
  <c r="M127" i="32"/>
  <c r="J127" i="32"/>
  <c r="G127" i="32"/>
  <c r="AE126" i="32"/>
  <c r="Q126" i="32"/>
  <c r="M126" i="32"/>
  <c r="J126" i="32"/>
  <c r="G126" i="32"/>
  <c r="AE130" i="32"/>
  <c r="S130" i="32"/>
  <c r="Q130" i="32"/>
  <c r="M130" i="32"/>
  <c r="J130" i="32"/>
  <c r="G130" i="32"/>
  <c r="AE129" i="32"/>
  <c r="Q129" i="32"/>
  <c r="M129" i="32"/>
  <c r="J129" i="32"/>
  <c r="G129" i="32"/>
  <c r="AE125" i="32"/>
  <c r="U125" i="32"/>
  <c r="Q125" i="32"/>
  <c r="M125" i="32"/>
  <c r="J125" i="32"/>
  <c r="G125" i="32"/>
  <c r="AE124" i="32"/>
  <c r="Q124" i="32"/>
  <c r="M124" i="32"/>
  <c r="J124" i="32"/>
  <c r="G124" i="32"/>
  <c r="AE122" i="32"/>
  <c r="U122" i="32"/>
  <c r="Q122" i="32"/>
  <c r="M122" i="32"/>
  <c r="J122" i="32"/>
  <c r="G122" i="32"/>
  <c r="AE119" i="32"/>
  <c r="Q119" i="32"/>
  <c r="M119" i="32"/>
  <c r="J119" i="32"/>
  <c r="G119" i="32"/>
  <c r="AE118" i="32"/>
  <c r="U118" i="32"/>
  <c r="Q118" i="32"/>
  <c r="M118" i="32"/>
  <c r="J118" i="32"/>
  <c r="G118" i="32"/>
  <c r="AE123" i="32"/>
  <c r="Q123" i="32"/>
  <c r="M123" i="32"/>
  <c r="J123" i="32"/>
  <c r="G123" i="32"/>
  <c r="AE115" i="32"/>
  <c r="Q115" i="32"/>
  <c r="M115" i="32"/>
  <c r="J115" i="32"/>
  <c r="G115" i="32"/>
  <c r="AE121" i="32"/>
  <c r="Q121" i="32"/>
  <c r="M121" i="32"/>
  <c r="J121" i="32"/>
  <c r="G121" i="32"/>
  <c r="AE120" i="32"/>
  <c r="U120" i="32"/>
  <c r="Q120" i="32"/>
  <c r="M120" i="32"/>
  <c r="J120" i="32"/>
  <c r="G120" i="32"/>
  <c r="AE114" i="32"/>
  <c r="Q114" i="32"/>
  <c r="M114" i="32"/>
  <c r="J114" i="32"/>
  <c r="G114" i="32"/>
  <c r="AE113" i="32"/>
  <c r="Q113" i="32"/>
  <c r="M113" i="32"/>
  <c r="J113" i="32"/>
  <c r="G113" i="32"/>
  <c r="AE117" i="32"/>
  <c r="S117" i="32"/>
  <c r="Q117" i="32"/>
  <c r="M117" i="32"/>
  <c r="J117" i="32"/>
  <c r="G117" i="32"/>
  <c r="AE116" i="32"/>
  <c r="Q116" i="32"/>
  <c r="M116" i="32"/>
  <c r="J116" i="32"/>
  <c r="G116" i="32"/>
  <c r="AE111" i="32"/>
  <c r="Q111" i="32"/>
  <c r="M111" i="32"/>
  <c r="J111" i="32"/>
  <c r="G111" i="32"/>
  <c r="AE110" i="32"/>
  <c r="U110" i="32"/>
  <c r="Q110" i="32"/>
  <c r="M110" i="32"/>
  <c r="J110" i="32"/>
  <c r="G110" i="32"/>
  <c r="AE108" i="32"/>
  <c r="U108" i="32"/>
  <c r="Q108" i="32"/>
  <c r="M108" i="32"/>
  <c r="J108" i="32"/>
  <c r="G108" i="32"/>
  <c r="AE112" i="32"/>
  <c r="U112" i="32"/>
  <c r="Q112" i="32"/>
  <c r="M112" i="32"/>
  <c r="J112" i="32"/>
  <c r="G112" i="32"/>
  <c r="AE107" i="32"/>
  <c r="Q107" i="32"/>
  <c r="M107" i="32"/>
  <c r="J107" i="32"/>
  <c r="G107" i="32"/>
  <c r="AE101" i="32"/>
  <c r="U101" i="32"/>
  <c r="Q101" i="32"/>
  <c r="M101" i="32"/>
  <c r="J101" i="32"/>
  <c r="G101" i="32"/>
  <c r="AE109" i="32"/>
  <c r="Q109" i="32"/>
  <c r="M109" i="32"/>
  <c r="J109" i="32"/>
  <c r="G109" i="32"/>
  <c r="AE99" i="32"/>
  <c r="Q99" i="32"/>
  <c r="M99" i="32"/>
  <c r="J99" i="32"/>
  <c r="G99" i="32"/>
  <c r="AE98" i="32"/>
  <c r="U98" i="32"/>
  <c r="Q98" i="32"/>
  <c r="M98" i="32"/>
  <c r="J98" i="32"/>
  <c r="G98" i="32"/>
  <c r="AE106" i="32"/>
  <c r="Q106" i="32"/>
  <c r="M106" i="32"/>
  <c r="J106" i="32"/>
  <c r="G106" i="32"/>
  <c r="AE105" i="32"/>
  <c r="Q105" i="32"/>
  <c r="M105" i="32"/>
  <c r="J105" i="32"/>
  <c r="G105" i="32"/>
  <c r="AE104" i="32"/>
  <c r="U104" i="32"/>
  <c r="S104" i="32"/>
  <c r="Q104" i="32"/>
  <c r="M104" i="32"/>
  <c r="J104" i="32"/>
  <c r="G104" i="32"/>
  <c r="AE103" i="32"/>
  <c r="S103" i="32"/>
  <c r="Q103" i="32"/>
  <c r="J103" i="32"/>
  <c r="G103" i="32"/>
  <c r="AE102" i="32"/>
  <c r="S102" i="32"/>
  <c r="Q102" i="32"/>
  <c r="M102" i="32"/>
  <c r="J102" i="32"/>
  <c r="G102" i="32"/>
  <c r="AE96" i="32"/>
  <c r="U96" i="32"/>
  <c r="Q96" i="32"/>
  <c r="M96" i="32"/>
  <c r="J96" i="32"/>
  <c r="G96" i="32"/>
  <c r="AE100" i="32"/>
  <c r="S100" i="32"/>
  <c r="Q100" i="32"/>
  <c r="M100" i="32"/>
  <c r="J100" i="32"/>
  <c r="G100" i="32"/>
  <c r="AE93" i="32"/>
  <c r="U93" i="32"/>
  <c r="Q93" i="32"/>
  <c r="M93" i="32"/>
  <c r="J93" i="32"/>
  <c r="G93" i="32"/>
  <c r="AE92" i="32"/>
  <c r="U92" i="32"/>
  <c r="Q92" i="32"/>
  <c r="M92" i="32"/>
  <c r="J92" i="32"/>
  <c r="G92" i="32"/>
  <c r="AE97" i="32"/>
  <c r="Q97" i="32"/>
  <c r="M97" i="32"/>
  <c r="J97" i="32"/>
  <c r="G97" i="32"/>
  <c r="AE89" i="32"/>
  <c r="U89" i="32"/>
  <c r="Q89" i="32"/>
  <c r="M89" i="32"/>
  <c r="J89" i="32"/>
  <c r="G89" i="32"/>
  <c r="AE95" i="32"/>
  <c r="U95" i="32"/>
  <c r="S95" i="32"/>
  <c r="Q95" i="32"/>
  <c r="M95" i="32"/>
  <c r="J95" i="32"/>
  <c r="G95" i="32"/>
  <c r="AE94" i="32"/>
  <c r="U94" i="32"/>
  <c r="S94" i="32"/>
  <c r="Q94" i="32"/>
  <c r="M94" i="32"/>
  <c r="J94" i="32"/>
  <c r="G94" i="32"/>
  <c r="AE86" i="32"/>
  <c r="U86" i="32"/>
  <c r="Q86" i="32"/>
  <c r="M86" i="32"/>
  <c r="J86" i="32"/>
  <c r="G86" i="32"/>
  <c r="AE82" i="32"/>
  <c r="U82" i="32"/>
  <c r="Q82" i="32"/>
  <c r="M82" i="32"/>
  <c r="J82" i="32"/>
  <c r="G82" i="32"/>
  <c r="AE91" i="32"/>
  <c r="U91" i="32"/>
  <c r="S91" i="32"/>
  <c r="Q91" i="32"/>
  <c r="M91" i="32"/>
  <c r="J91" i="32"/>
  <c r="G91" i="32"/>
  <c r="AE90" i="32"/>
  <c r="U90" i="32"/>
  <c r="S90" i="32"/>
  <c r="Q90" i="32"/>
  <c r="M90" i="32"/>
  <c r="J90" i="32"/>
  <c r="G90" i="32"/>
  <c r="AE78" i="32"/>
  <c r="Q78" i="32"/>
  <c r="M78" i="32"/>
  <c r="J78" i="32"/>
  <c r="G78" i="32"/>
  <c r="AE88" i="32"/>
  <c r="Q88" i="32"/>
  <c r="M88" i="32"/>
  <c r="J88" i="32"/>
  <c r="G88" i="32"/>
  <c r="AE87" i="32"/>
  <c r="Q87" i="32"/>
  <c r="M87" i="32"/>
  <c r="J87" i="32"/>
  <c r="G87" i="32"/>
  <c r="AE77" i="32"/>
  <c r="Q77" i="32"/>
  <c r="M77" i="32"/>
  <c r="J77" i="32"/>
  <c r="G77" i="32"/>
  <c r="AE85" i="32"/>
  <c r="Q85" i="32"/>
  <c r="M85" i="32"/>
  <c r="J85" i="32"/>
  <c r="G85" i="32"/>
  <c r="AE84" i="32"/>
  <c r="S84" i="32"/>
  <c r="Q84" i="32"/>
  <c r="M84" i="32"/>
  <c r="J84" i="32"/>
  <c r="G84" i="32"/>
  <c r="AE83" i="32"/>
  <c r="U83" i="32"/>
  <c r="S83" i="32"/>
  <c r="Q83" i="32"/>
  <c r="M83" i="32"/>
  <c r="J83" i="32"/>
  <c r="G83" i="32"/>
  <c r="AE68" i="32"/>
  <c r="U68" i="32"/>
  <c r="S68" i="32"/>
  <c r="Q68" i="32"/>
  <c r="M68" i="32"/>
  <c r="J68" i="32"/>
  <c r="G68" i="32"/>
  <c r="AE81" i="32"/>
  <c r="U81" i="32"/>
  <c r="Q81" i="32"/>
  <c r="M81" i="32"/>
  <c r="J81" i="32"/>
  <c r="G81" i="32"/>
  <c r="AE80" i="32"/>
  <c r="U80" i="32"/>
  <c r="Q80" i="32"/>
  <c r="M80" i="32"/>
  <c r="J80" i="32"/>
  <c r="G80" i="32"/>
  <c r="AE79" i="32"/>
  <c r="S79" i="32"/>
  <c r="Q79" i="32"/>
  <c r="M79" i="32"/>
  <c r="J79" i="32"/>
  <c r="G79" i="32"/>
  <c r="AE65" i="32"/>
  <c r="U65" i="32"/>
  <c r="Q65" i="32"/>
  <c r="M65" i="32"/>
  <c r="J65" i="32"/>
  <c r="G65" i="32"/>
  <c r="AE62" i="32"/>
  <c r="Q62" i="32"/>
  <c r="M62" i="32"/>
  <c r="J62" i="32"/>
  <c r="G62" i="32"/>
  <c r="AE76" i="32"/>
  <c r="U76" i="32"/>
  <c r="S76" i="32"/>
  <c r="Q76" i="32"/>
  <c r="M76" i="32"/>
  <c r="J76" i="32"/>
  <c r="G76" i="32"/>
  <c r="AE75" i="32"/>
  <c r="U75" i="32"/>
  <c r="Q75" i="32"/>
  <c r="M75" i="32"/>
  <c r="J75" i="32"/>
  <c r="G75" i="32"/>
  <c r="AE74" i="32"/>
  <c r="U74" i="32"/>
  <c r="S74" i="32"/>
  <c r="Q74" i="32"/>
  <c r="M74" i="32"/>
  <c r="J74" i="32"/>
  <c r="G74" i="32"/>
  <c r="AE73" i="32"/>
  <c r="U73" i="32"/>
  <c r="S73" i="32"/>
  <c r="Q73" i="32"/>
  <c r="M73" i="32"/>
  <c r="J73" i="32"/>
  <c r="G73" i="32"/>
  <c r="AE72" i="32"/>
  <c r="U72" i="32"/>
  <c r="S72" i="32"/>
  <c r="Q72" i="32"/>
  <c r="M72" i="32"/>
  <c r="J72" i="32"/>
  <c r="G72" i="32"/>
  <c r="AE71" i="32"/>
  <c r="U71" i="32"/>
  <c r="Q71" i="32"/>
  <c r="M71" i="32"/>
  <c r="J71" i="32"/>
  <c r="G71" i="32"/>
  <c r="AE70" i="32"/>
  <c r="U70" i="32"/>
  <c r="Q70" i="32"/>
  <c r="M70" i="32"/>
  <c r="J70" i="32"/>
  <c r="G70" i="32"/>
  <c r="AE69" i="32"/>
  <c r="U69" i="32"/>
  <c r="Q69" i="32"/>
  <c r="M69" i="32"/>
  <c r="J69" i="32"/>
  <c r="G69" i="32"/>
  <c r="AE60" i="32"/>
  <c r="U60" i="32"/>
  <c r="Q60" i="32"/>
  <c r="M60" i="32"/>
  <c r="J60" i="32"/>
  <c r="G60" i="32"/>
  <c r="AE67" i="32"/>
  <c r="U67" i="32"/>
  <c r="S67" i="32"/>
  <c r="Q67" i="32"/>
  <c r="M67" i="32"/>
  <c r="J67" i="32"/>
  <c r="G67" i="32"/>
  <c r="AE66" i="32"/>
  <c r="U66" i="32"/>
  <c r="Q66" i="32"/>
  <c r="M66" i="32"/>
  <c r="J66" i="32"/>
  <c r="G66" i="32"/>
  <c r="AE59" i="32"/>
  <c r="U59" i="32"/>
  <c r="Q59" i="32"/>
  <c r="M59" i="32"/>
  <c r="J59" i="32"/>
  <c r="G59" i="32"/>
  <c r="AE64" i="32"/>
  <c r="U64" i="32"/>
  <c r="Q64" i="32"/>
  <c r="J64" i="32"/>
  <c r="G64" i="32"/>
  <c r="AE63" i="32"/>
  <c r="Q63" i="32"/>
  <c r="M63" i="32"/>
  <c r="J63" i="32"/>
  <c r="G63" i="32"/>
  <c r="AE44" i="32"/>
  <c r="Q44" i="32"/>
  <c r="M44" i="32"/>
  <c r="J44" i="32"/>
  <c r="G44" i="32"/>
  <c r="AE61" i="32"/>
  <c r="Q61" i="32"/>
  <c r="M61" i="32"/>
  <c r="J61" i="32"/>
  <c r="G61" i="32"/>
  <c r="AE43" i="32"/>
  <c r="Q43" i="32"/>
  <c r="M43" i="32"/>
  <c r="J43" i="32"/>
  <c r="G43" i="32"/>
  <c r="AE39" i="32"/>
  <c r="Q39" i="32"/>
  <c r="M39" i="32"/>
  <c r="J39" i="32"/>
  <c r="G39" i="32"/>
  <c r="AE58" i="32"/>
  <c r="U58" i="32"/>
  <c r="S58" i="32"/>
  <c r="Q58" i="32"/>
  <c r="M58" i="32"/>
  <c r="J58" i="32"/>
  <c r="G58" i="32"/>
  <c r="AE57" i="32"/>
  <c r="U57" i="32"/>
  <c r="Q57" i="32"/>
  <c r="M57" i="32"/>
  <c r="J57" i="32"/>
  <c r="G57" i="32"/>
  <c r="AE56" i="32"/>
  <c r="U56" i="32"/>
  <c r="Q56" i="32"/>
  <c r="M56" i="32"/>
  <c r="J56" i="32"/>
  <c r="G56" i="32"/>
  <c r="AE55" i="32"/>
  <c r="U55" i="32"/>
  <c r="Q55" i="32"/>
  <c r="M55" i="32"/>
  <c r="J55" i="32"/>
  <c r="G55" i="32"/>
  <c r="AE54" i="32"/>
  <c r="U54" i="32"/>
  <c r="Q54" i="32"/>
  <c r="M54" i="32"/>
  <c r="J54" i="32"/>
  <c r="G54" i="32"/>
  <c r="AE53" i="32"/>
  <c r="U53" i="32"/>
  <c r="Q53" i="32"/>
  <c r="M53" i="32"/>
  <c r="J53" i="32"/>
  <c r="G53" i="32"/>
  <c r="AE52" i="32"/>
  <c r="U52" i="32"/>
  <c r="Q52" i="32"/>
  <c r="M52" i="32"/>
  <c r="J52" i="32"/>
  <c r="G52" i="32"/>
  <c r="AE51" i="32"/>
  <c r="U51" i="32"/>
  <c r="Q51" i="32"/>
  <c r="M51" i="32"/>
  <c r="J51" i="32"/>
  <c r="G51" i="32"/>
  <c r="AE50" i="32"/>
  <c r="U50" i="32"/>
  <c r="Q50" i="32"/>
  <c r="M50" i="32"/>
  <c r="J50" i="32"/>
  <c r="G50" i="32"/>
  <c r="AE49" i="32"/>
  <c r="U49" i="32"/>
  <c r="Q49" i="32"/>
  <c r="M49" i="32"/>
  <c r="J49" i="32"/>
  <c r="G49" i="32"/>
  <c r="AE48" i="32"/>
  <c r="S48" i="32"/>
  <c r="Q48" i="32"/>
  <c r="M48" i="32"/>
  <c r="J48" i="32"/>
  <c r="G48" i="32"/>
  <c r="AE47" i="32"/>
  <c r="U47" i="32"/>
  <c r="Q47" i="32"/>
  <c r="M47" i="32"/>
  <c r="J47" i="32"/>
  <c r="G47" i="32"/>
  <c r="AE46" i="32"/>
  <c r="U46" i="32"/>
  <c r="Q46" i="32"/>
  <c r="M46" i="32"/>
  <c r="J46" i="32"/>
  <c r="G46" i="32"/>
  <c r="AE45" i="32"/>
  <c r="U45" i="32"/>
  <c r="S45" i="32"/>
  <c r="Q45" i="32"/>
  <c r="M45" i="32"/>
  <c r="J45" i="32"/>
  <c r="G45" i="32"/>
  <c r="AE38" i="32"/>
  <c r="Q38" i="32"/>
  <c r="M38" i="32"/>
  <c r="J38" i="32"/>
  <c r="G38" i="32"/>
  <c r="AE36" i="32"/>
  <c r="U36" i="32"/>
  <c r="Q36" i="32"/>
  <c r="M36" i="32"/>
  <c r="J36" i="32"/>
  <c r="G36" i="32"/>
  <c r="AE42" i="32"/>
  <c r="U42" i="32"/>
  <c r="Q42" i="32"/>
  <c r="M42" i="32"/>
  <c r="J42" i="32"/>
  <c r="G42" i="32"/>
  <c r="AE41" i="32"/>
  <c r="U41" i="32"/>
  <c r="Q41" i="32"/>
  <c r="M41" i="32"/>
  <c r="J41" i="32"/>
  <c r="G41" i="32"/>
  <c r="AE40" i="32"/>
  <c r="U40" i="32"/>
  <c r="Q40" i="32"/>
  <c r="M40" i="32"/>
  <c r="J40" i="32"/>
  <c r="G40" i="32"/>
  <c r="AE16" i="32"/>
  <c r="U16" i="32"/>
  <c r="Q16" i="32"/>
  <c r="M16" i="32"/>
  <c r="J16" i="32"/>
  <c r="G16" i="32"/>
  <c r="AE25" i="32"/>
  <c r="U25" i="32"/>
  <c r="Q25" i="32"/>
  <c r="M25" i="32"/>
  <c r="J25" i="32"/>
  <c r="G25" i="32"/>
  <c r="AE37" i="32"/>
  <c r="U37" i="32"/>
  <c r="Q37" i="32"/>
  <c r="M37" i="32"/>
  <c r="J37" i="32"/>
  <c r="G37" i="32"/>
  <c r="AE24" i="32"/>
  <c r="U24" i="32"/>
  <c r="Q24" i="32"/>
  <c r="M24" i="32"/>
  <c r="J24" i="32"/>
  <c r="G24" i="32"/>
  <c r="AE35" i="32"/>
  <c r="U35" i="32"/>
  <c r="Q35" i="32"/>
  <c r="M35" i="32"/>
  <c r="J35" i="32"/>
  <c r="G35" i="32"/>
  <c r="AE34" i="32"/>
  <c r="U34" i="32"/>
  <c r="Q34" i="32"/>
  <c r="M34" i="32"/>
  <c r="J34" i="32"/>
  <c r="G34" i="32"/>
  <c r="AE33" i="32"/>
  <c r="U33" i="32"/>
  <c r="Q33" i="32"/>
  <c r="M33" i="32"/>
  <c r="J33" i="32"/>
  <c r="G33" i="32"/>
  <c r="AF33" i="32" s="1"/>
  <c r="AE32" i="32"/>
  <c r="U32" i="32"/>
  <c r="Q32" i="32"/>
  <c r="M32" i="32"/>
  <c r="J32" i="32"/>
  <c r="G32" i="32"/>
  <c r="AF32" i="32" s="1"/>
  <c r="AE31" i="32"/>
  <c r="U31" i="32"/>
  <c r="Q31" i="32"/>
  <c r="M31" i="32"/>
  <c r="J31" i="32"/>
  <c r="G31" i="32"/>
  <c r="AF31" i="32" s="1"/>
  <c r="AE30" i="32"/>
  <c r="U30" i="32"/>
  <c r="Q30" i="32"/>
  <c r="M30" i="32"/>
  <c r="J30" i="32"/>
  <c r="G30" i="32"/>
  <c r="AF30" i="32" s="1"/>
  <c r="AE29" i="32"/>
  <c r="U29" i="32"/>
  <c r="S29" i="32"/>
  <c r="Q29" i="32"/>
  <c r="M29" i="32"/>
  <c r="J29" i="32"/>
  <c r="G29" i="32"/>
  <c r="AF29" i="32" s="1"/>
  <c r="AE28" i="32"/>
  <c r="U28" i="32"/>
  <c r="Q28" i="32"/>
  <c r="M28" i="32"/>
  <c r="J28" i="32"/>
  <c r="G28" i="32"/>
  <c r="AF28" i="32" s="1"/>
  <c r="AE27" i="32"/>
  <c r="U27" i="32"/>
  <c r="Q27" i="32"/>
  <c r="M27" i="32"/>
  <c r="J27" i="32"/>
  <c r="G27" i="32"/>
  <c r="AF27" i="32" s="1"/>
  <c r="AE26" i="32"/>
  <c r="U26" i="32"/>
  <c r="Q26" i="32"/>
  <c r="M26" i="32"/>
  <c r="J26" i="32"/>
  <c r="G26" i="32"/>
  <c r="AF26" i="32" s="1"/>
  <c r="AE21" i="32"/>
  <c r="S21" i="32"/>
  <c r="Q21" i="32"/>
  <c r="M21" i="32"/>
  <c r="J21" i="32"/>
  <c r="G21" i="32"/>
  <c r="AF21" i="32" s="1"/>
  <c r="AE20" i="32"/>
  <c r="M20" i="32"/>
  <c r="J20" i="32"/>
  <c r="G20" i="32"/>
  <c r="AF20" i="32" s="1"/>
  <c r="AE23" i="32"/>
  <c r="U23" i="32"/>
  <c r="S23" i="32"/>
  <c r="Q23" i="32"/>
  <c r="M23" i="32"/>
  <c r="J23" i="32"/>
  <c r="G23" i="32"/>
  <c r="AF23" i="32" s="1"/>
  <c r="AE22" i="32"/>
  <c r="U22" i="32"/>
  <c r="Q22" i="32"/>
  <c r="J22" i="32"/>
  <c r="N22" i="32" s="1"/>
  <c r="G22" i="32"/>
  <c r="AF22" i="32" s="1"/>
  <c r="AE15" i="32"/>
  <c r="Q15" i="32"/>
  <c r="M15" i="32"/>
  <c r="J15" i="32"/>
  <c r="G15" i="32"/>
  <c r="AE177" i="32"/>
  <c r="Q177" i="32"/>
  <c r="M177" i="32"/>
  <c r="J177" i="32"/>
  <c r="G177" i="32"/>
  <c r="AE19" i="32"/>
  <c r="U19" i="32"/>
  <c r="Q19" i="32"/>
  <c r="M19" i="32"/>
  <c r="J19" i="32"/>
  <c r="G19" i="32"/>
  <c r="AF19" i="32" s="1"/>
  <c r="AE18" i="32"/>
  <c r="U18" i="32"/>
  <c r="Q18" i="32"/>
  <c r="J18" i="32"/>
  <c r="N18" i="32" s="1"/>
  <c r="G18" i="32"/>
  <c r="AF18" i="32" s="1"/>
  <c r="AE17" i="32"/>
  <c r="U17" i="32"/>
  <c r="S17" i="32"/>
  <c r="Q17" i="32"/>
  <c r="M17" i="32"/>
  <c r="J17" i="32"/>
  <c r="G17" i="32"/>
  <c r="AF17" i="32" s="1"/>
  <c r="AE176" i="32"/>
  <c r="U176" i="32"/>
  <c r="Q176" i="32"/>
  <c r="M176" i="32"/>
  <c r="J176" i="32"/>
  <c r="G176" i="32"/>
  <c r="AE175" i="32"/>
  <c r="U175" i="32"/>
  <c r="Q175" i="32"/>
  <c r="M175" i="32"/>
  <c r="J175" i="32"/>
  <c r="G175" i="32"/>
  <c r="AE14" i="32"/>
  <c r="U14" i="32"/>
  <c r="Q14" i="32"/>
  <c r="M14" i="32"/>
  <c r="J14" i="32"/>
  <c r="G14" i="32"/>
  <c r="A14" i="32"/>
  <c r="A15" i="32" s="1"/>
  <c r="A16" i="32" s="1"/>
  <c r="A17" i="32" s="1"/>
  <c r="A18" i="32" s="1"/>
  <c r="A19" i="32" s="1"/>
  <c r="A20" i="32" s="1"/>
  <c r="A21" i="32" s="1"/>
  <c r="A22" i="32" s="1"/>
  <c r="A23" i="32" s="1"/>
  <c r="A24" i="32" s="1"/>
  <c r="A25" i="32" s="1"/>
  <c r="A26" i="32" s="1"/>
  <c r="A27" i="32" s="1"/>
  <c r="A28" i="32" s="1"/>
  <c r="A29" i="32" s="1"/>
  <c r="AE13" i="32"/>
  <c r="U13" i="32"/>
  <c r="Q13" i="32"/>
  <c r="M13" i="32"/>
  <c r="J13" i="32"/>
  <c r="G13" i="32"/>
  <c r="AE12" i="32"/>
  <c r="U12" i="32"/>
  <c r="Q12" i="32"/>
  <c r="M12" i="32"/>
  <c r="J12" i="32"/>
  <c r="G12" i="32"/>
  <c r="AE11" i="32"/>
  <c r="U11" i="32"/>
  <c r="Q11" i="32"/>
  <c r="M11" i="32"/>
  <c r="J11" i="32"/>
  <c r="G11" i="32"/>
  <c r="AE10" i="32"/>
  <c r="U10" i="32"/>
  <c r="Q10" i="32"/>
  <c r="M10" i="32"/>
  <c r="J10" i="32"/>
  <c r="G10" i="32"/>
  <c r="AE9" i="32"/>
  <c r="U9" i="32"/>
  <c r="Q9" i="32"/>
  <c r="M9" i="32"/>
  <c r="J9" i="32"/>
  <c r="G9" i="32"/>
  <c r="AE8" i="32"/>
  <c r="U8" i="32"/>
  <c r="Q8" i="32"/>
  <c r="M8" i="32"/>
  <c r="J8" i="32"/>
  <c r="G8" i="32"/>
  <c r="AE7" i="32"/>
  <c r="U7" i="32"/>
  <c r="Q7" i="32"/>
  <c r="M7" i="32"/>
  <c r="J7" i="32"/>
  <c r="G7" i="32"/>
  <c r="AE6" i="32"/>
  <c r="U6" i="32"/>
  <c r="Q6" i="32"/>
  <c r="M6" i="32"/>
  <c r="J6" i="32"/>
  <c r="G6" i="32"/>
  <c r="AE5" i="32"/>
  <c r="Q5" i="32"/>
  <c r="M5" i="32"/>
  <c r="J5" i="32"/>
  <c r="G5" i="32"/>
  <c r="AE4" i="32"/>
  <c r="U4" i="32"/>
  <c r="S4" i="32"/>
  <c r="Q4" i="32"/>
  <c r="M4" i="32"/>
  <c r="J4" i="32"/>
  <c r="G4" i="32"/>
  <c r="AE3" i="32"/>
  <c r="U3" i="32"/>
  <c r="Q3" i="32"/>
  <c r="M3" i="32"/>
  <c r="J3" i="32"/>
  <c r="G3" i="32"/>
  <c r="AE2" i="32"/>
  <c r="U2" i="32"/>
  <c r="Q2" i="32"/>
  <c r="M2" i="32"/>
  <c r="J2" i="32"/>
  <c r="G2" i="32"/>
  <c r="AE205" i="31"/>
  <c r="U205" i="31"/>
  <c r="Q205" i="31"/>
  <c r="M205" i="31"/>
  <c r="J205" i="31"/>
  <c r="G205" i="31"/>
  <c r="AE204" i="31"/>
  <c r="U204" i="31"/>
  <c r="Q204" i="31"/>
  <c r="M204" i="31"/>
  <c r="J204" i="31"/>
  <c r="G204" i="31"/>
  <c r="AE203" i="31"/>
  <c r="U203" i="31"/>
  <c r="Q203" i="31"/>
  <c r="M203" i="31"/>
  <c r="J203" i="31"/>
  <c r="G203" i="31"/>
  <c r="AE202" i="31"/>
  <c r="Q202" i="31"/>
  <c r="M202" i="31"/>
  <c r="J202" i="31"/>
  <c r="G202" i="31"/>
  <c r="AE201" i="31"/>
  <c r="U201" i="31"/>
  <c r="Q201" i="31"/>
  <c r="M201" i="31"/>
  <c r="J201" i="31"/>
  <c r="G201" i="31"/>
  <c r="AE200" i="31"/>
  <c r="Q200" i="31"/>
  <c r="M200" i="31"/>
  <c r="J200" i="31"/>
  <c r="G200" i="31"/>
  <c r="AE199" i="31"/>
  <c r="U199" i="31"/>
  <c r="Q199" i="31"/>
  <c r="M199" i="31"/>
  <c r="H199" i="31"/>
  <c r="J199" i="31" s="1"/>
  <c r="G199" i="31"/>
  <c r="AE198" i="31"/>
  <c r="U198" i="31"/>
  <c r="Q198" i="31"/>
  <c r="M198" i="31"/>
  <c r="J198" i="31"/>
  <c r="G198" i="31"/>
  <c r="AE197" i="31"/>
  <c r="U197" i="31"/>
  <c r="S197" i="31"/>
  <c r="Q197" i="31"/>
  <c r="M197" i="31"/>
  <c r="J197" i="31"/>
  <c r="G197" i="31"/>
  <c r="AE196" i="31"/>
  <c r="U196" i="31"/>
  <c r="Q196" i="31"/>
  <c r="M196" i="31"/>
  <c r="I196" i="31"/>
  <c r="J196" i="31" s="1"/>
  <c r="G196" i="31"/>
  <c r="AE195" i="31"/>
  <c r="U195" i="31"/>
  <c r="S195" i="31"/>
  <c r="Q195" i="31"/>
  <c r="M195" i="31"/>
  <c r="J195" i="31"/>
  <c r="G195" i="31"/>
  <c r="AE194" i="31"/>
  <c r="U194" i="31"/>
  <c r="S194" i="31"/>
  <c r="Q194" i="31"/>
  <c r="M194" i="31"/>
  <c r="J194" i="31"/>
  <c r="G194" i="31"/>
  <c r="AE193" i="31"/>
  <c r="U193" i="31"/>
  <c r="Q193" i="31"/>
  <c r="M193" i="31"/>
  <c r="J193" i="31"/>
  <c r="G193" i="31"/>
  <c r="AE192" i="31"/>
  <c r="U192" i="31"/>
  <c r="Q192" i="31"/>
  <c r="M192" i="31"/>
  <c r="J192" i="31"/>
  <c r="G192" i="31"/>
  <c r="AE191" i="31"/>
  <c r="U191" i="31"/>
  <c r="Q191" i="31"/>
  <c r="M191" i="31"/>
  <c r="J191" i="31"/>
  <c r="G191" i="31"/>
  <c r="AE190" i="31"/>
  <c r="S190" i="31"/>
  <c r="Q190" i="31"/>
  <c r="M190" i="31"/>
  <c r="J190" i="31"/>
  <c r="G190" i="31"/>
  <c r="AE189" i="31"/>
  <c r="J189" i="31"/>
  <c r="L189" i="31" s="1"/>
  <c r="M189" i="31" s="1"/>
  <c r="N189" i="31" s="1"/>
  <c r="G189" i="31"/>
  <c r="AE188" i="31"/>
  <c r="M188" i="31"/>
  <c r="J188" i="31"/>
  <c r="G188" i="31"/>
  <c r="AE187" i="31"/>
  <c r="J187" i="31"/>
  <c r="L187" i="31" s="1"/>
  <c r="M187" i="31" s="1"/>
  <c r="N187" i="31" s="1"/>
  <c r="G187" i="31"/>
  <c r="AE186" i="31"/>
  <c r="U186" i="31"/>
  <c r="S186" i="31"/>
  <c r="Q186" i="31"/>
  <c r="J186" i="31"/>
  <c r="L186" i="31" s="1"/>
  <c r="M186" i="31" s="1"/>
  <c r="N186" i="31" s="1"/>
  <c r="G186" i="31"/>
  <c r="M147" i="31"/>
  <c r="J147" i="31"/>
  <c r="G147" i="31"/>
  <c r="AF147" i="31" s="1"/>
  <c r="AE143" i="31"/>
  <c r="S143" i="31"/>
  <c r="Q143" i="31"/>
  <c r="M143" i="31"/>
  <c r="J143" i="31"/>
  <c r="G143" i="31"/>
  <c r="AE141" i="31"/>
  <c r="U141" i="31"/>
  <c r="Q141" i="31"/>
  <c r="M141" i="31"/>
  <c r="J141" i="31"/>
  <c r="G141" i="31"/>
  <c r="AE137" i="31"/>
  <c r="U137" i="31"/>
  <c r="Q137" i="31"/>
  <c r="M137" i="31"/>
  <c r="J137" i="31"/>
  <c r="G137" i="31"/>
  <c r="AE136" i="31"/>
  <c r="U136" i="31"/>
  <c r="Q136" i="31"/>
  <c r="M136" i="31"/>
  <c r="J136" i="31"/>
  <c r="G136" i="31"/>
  <c r="AE135" i="31"/>
  <c r="U135" i="31"/>
  <c r="Q135" i="31"/>
  <c r="M135" i="31"/>
  <c r="J135" i="31"/>
  <c r="G135" i="31"/>
  <c r="AE133" i="31"/>
  <c r="U133" i="31"/>
  <c r="Q133" i="31"/>
  <c r="M133" i="31"/>
  <c r="J133" i="31"/>
  <c r="G133" i="31"/>
  <c r="AE130" i="31"/>
  <c r="U130" i="31"/>
  <c r="Q130" i="31"/>
  <c r="M130" i="31"/>
  <c r="J130" i="31"/>
  <c r="G130" i="31"/>
  <c r="AE177" i="31"/>
  <c r="S177" i="31"/>
  <c r="Q177" i="31"/>
  <c r="M177" i="31"/>
  <c r="J177" i="31"/>
  <c r="G177" i="31"/>
  <c r="AE176" i="31"/>
  <c r="Q176" i="31"/>
  <c r="M176" i="31"/>
  <c r="J176" i="31"/>
  <c r="G176" i="31"/>
  <c r="AE175" i="31"/>
  <c r="Q175" i="31"/>
  <c r="M175" i="31"/>
  <c r="J175" i="31"/>
  <c r="G175" i="31"/>
  <c r="AE174" i="31"/>
  <c r="S174" i="31"/>
  <c r="Q174" i="31"/>
  <c r="M174" i="31"/>
  <c r="J174" i="31"/>
  <c r="G174" i="31"/>
  <c r="AE129" i="31"/>
  <c r="Q129" i="31"/>
  <c r="M129" i="31"/>
  <c r="J129" i="31"/>
  <c r="G129" i="31"/>
  <c r="AE123" i="31"/>
  <c r="S123" i="31"/>
  <c r="Q123" i="31"/>
  <c r="M123" i="31"/>
  <c r="J123" i="31"/>
  <c r="G123" i="31"/>
  <c r="AE121" i="31"/>
  <c r="S121" i="31"/>
  <c r="Q121" i="31"/>
  <c r="M121" i="31"/>
  <c r="J121" i="31"/>
  <c r="G121" i="31"/>
  <c r="AE120" i="31"/>
  <c r="S120" i="31"/>
  <c r="Q120" i="31"/>
  <c r="M120" i="31"/>
  <c r="J120" i="31"/>
  <c r="G120" i="31"/>
  <c r="AE169" i="31"/>
  <c r="S169" i="31"/>
  <c r="Q169" i="31"/>
  <c r="M169" i="31"/>
  <c r="J169" i="31"/>
  <c r="G169" i="31"/>
  <c r="AE168" i="31"/>
  <c r="S168" i="31"/>
  <c r="Q168" i="31"/>
  <c r="M168" i="31"/>
  <c r="J168" i="31"/>
  <c r="G168" i="31"/>
  <c r="AE167" i="31"/>
  <c r="Q167" i="31"/>
  <c r="M167" i="31"/>
  <c r="J167" i="31"/>
  <c r="G167" i="31"/>
  <c r="AE166" i="31"/>
  <c r="Q166" i="31"/>
  <c r="M166" i="31"/>
  <c r="J166" i="31"/>
  <c r="G166" i="31"/>
  <c r="AE165" i="31"/>
  <c r="Q165" i="31"/>
  <c r="M165" i="31"/>
  <c r="J165" i="31"/>
  <c r="G165" i="31"/>
  <c r="AE164" i="31"/>
  <c r="S164" i="31"/>
  <c r="Q164" i="31"/>
  <c r="M164" i="31"/>
  <c r="J164" i="31"/>
  <c r="G164" i="31"/>
  <c r="AE163" i="31"/>
  <c r="S163" i="31"/>
  <c r="Q163" i="31"/>
  <c r="M163" i="31"/>
  <c r="J163" i="31"/>
  <c r="G163" i="31"/>
  <c r="AE162" i="31"/>
  <c r="U162" i="31"/>
  <c r="S162" i="31"/>
  <c r="Q162" i="31"/>
  <c r="M162" i="31"/>
  <c r="J162" i="31"/>
  <c r="G162" i="31"/>
  <c r="AE117" i="31"/>
  <c r="U117" i="31"/>
  <c r="S117" i="31"/>
  <c r="Q117" i="31"/>
  <c r="M117" i="31"/>
  <c r="J117" i="31"/>
  <c r="G117" i="31"/>
  <c r="AE160" i="31"/>
  <c r="U160" i="31"/>
  <c r="S160" i="31"/>
  <c r="Q160" i="31"/>
  <c r="M160" i="31"/>
  <c r="J160" i="31"/>
  <c r="G160" i="31"/>
  <c r="AE116" i="31"/>
  <c r="Q116" i="31"/>
  <c r="M116" i="31"/>
  <c r="J116" i="31"/>
  <c r="G116" i="31"/>
  <c r="AE158" i="31"/>
  <c r="U158" i="31"/>
  <c r="S158" i="31"/>
  <c r="Q158" i="31"/>
  <c r="M158" i="31"/>
  <c r="J158" i="31"/>
  <c r="G158" i="31"/>
  <c r="AE112" i="31"/>
  <c r="U112" i="31"/>
  <c r="S112" i="31"/>
  <c r="Q112" i="31"/>
  <c r="M112" i="31"/>
  <c r="J112" i="31"/>
  <c r="G112" i="31"/>
  <c r="AE156" i="31"/>
  <c r="Q156" i="31"/>
  <c r="M156" i="31"/>
  <c r="J156" i="31"/>
  <c r="G156" i="31"/>
  <c r="AE155" i="31"/>
  <c r="S155" i="31"/>
  <c r="Q155" i="31"/>
  <c r="M155" i="31"/>
  <c r="J155" i="31"/>
  <c r="G155" i="31"/>
  <c r="AE154" i="31"/>
  <c r="Q154" i="31"/>
  <c r="M154" i="31"/>
  <c r="J154" i="31"/>
  <c r="G154" i="31"/>
  <c r="AE109" i="31"/>
  <c r="S109" i="31"/>
  <c r="Q109" i="31"/>
  <c r="M109" i="31"/>
  <c r="J109" i="31"/>
  <c r="G109" i="31"/>
  <c r="AE152" i="31"/>
  <c r="Q152" i="31"/>
  <c r="M152" i="31"/>
  <c r="J152" i="31"/>
  <c r="G152" i="31"/>
  <c r="AE151" i="31"/>
  <c r="S151" i="31"/>
  <c r="Q151" i="31"/>
  <c r="M151" i="31"/>
  <c r="J151" i="31"/>
  <c r="G151" i="31"/>
  <c r="AE150" i="31"/>
  <c r="S150" i="31"/>
  <c r="Q150" i="31"/>
  <c r="M150" i="31"/>
  <c r="J150" i="31"/>
  <c r="G150" i="31"/>
  <c r="AE149" i="31"/>
  <c r="Q149" i="31"/>
  <c r="M149" i="31"/>
  <c r="J149" i="31"/>
  <c r="G149" i="31"/>
  <c r="AE148" i="31"/>
  <c r="U148" i="31"/>
  <c r="S148" i="31"/>
  <c r="Q148" i="31"/>
  <c r="M148" i="31"/>
  <c r="J148" i="31"/>
  <c r="G148" i="31"/>
  <c r="AE106" i="31"/>
  <c r="Q106" i="31"/>
  <c r="M106" i="31"/>
  <c r="J106" i="31"/>
  <c r="G106" i="31"/>
  <c r="AE146" i="31"/>
  <c r="Q146" i="31"/>
  <c r="M146" i="31"/>
  <c r="J146" i="31"/>
  <c r="G146" i="31"/>
  <c r="AE145" i="31"/>
  <c r="Q145" i="31"/>
  <c r="M145" i="31"/>
  <c r="J145" i="31"/>
  <c r="G145" i="31"/>
  <c r="AE144" i="31"/>
  <c r="Q144" i="31"/>
  <c r="M144" i="31"/>
  <c r="J144" i="31"/>
  <c r="G144" i="31"/>
  <c r="AE105" i="31"/>
  <c r="U105" i="31"/>
  <c r="S105" i="31"/>
  <c r="Q105" i="31"/>
  <c r="M105" i="31"/>
  <c r="J105" i="31"/>
  <c r="G105" i="31"/>
  <c r="AE142" i="31"/>
  <c r="Q142" i="31"/>
  <c r="M142" i="31"/>
  <c r="J142" i="31"/>
  <c r="G142" i="31"/>
  <c r="AE104" i="31"/>
  <c r="U104" i="31"/>
  <c r="S104" i="31"/>
  <c r="Q104" i="31"/>
  <c r="M104" i="31"/>
  <c r="J104" i="31"/>
  <c r="G104" i="31"/>
  <c r="AE140" i="31"/>
  <c r="Q140" i="31"/>
  <c r="M140" i="31"/>
  <c r="J140" i="31"/>
  <c r="G140" i="31"/>
  <c r="AE139" i="31"/>
  <c r="Q139" i="31"/>
  <c r="M139" i="31"/>
  <c r="J139" i="31"/>
  <c r="G139" i="31"/>
  <c r="AE138" i="31"/>
  <c r="Q138" i="31"/>
  <c r="M138" i="31"/>
  <c r="J138" i="31"/>
  <c r="G138" i="31"/>
  <c r="AE103" i="31"/>
  <c r="U103" i="31"/>
  <c r="S103" i="31"/>
  <c r="Q103" i="31"/>
  <c r="M103" i="31"/>
  <c r="J103" i="31"/>
  <c r="G103" i="31"/>
  <c r="AE102" i="31"/>
  <c r="S102" i="31"/>
  <c r="Q102" i="31"/>
  <c r="M102" i="31"/>
  <c r="J102" i="31"/>
  <c r="G102" i="31"/>
  <c r="AE100" i="31"/>
  <c r="U100" i="31"/>
  <c r="S100" i="31"/>
  <c r="Q100" i="31"/>
  <c r="M100" i="31"/>
  <c r="J100" i="31"/>
  <c r="G100" i="31"/>
  <c r="AE134" i="31"/>
  <c r="Q134" i="31"/>
  <c r="M134" i="31"/>
  <c r="J134" i="31"/>
  <c r="G134" i="31"/>
  <c r="AE97" i="31"/>
  <c r="S97" i="31"/>
  <c r="Q97" i="31"/>
  <c r="M97" i="31"/>
  <c r="J97" i="31"/>
  <c r="G97" i="31"/>
  <c r="AE132" i="31"/>
  <c r="U132" i="31"/>
  <c r="Q132" i="31"/>
  <c r="M132" i="31"/>
  <c r="J132" i="31"/>
  <c r="G132" i="31"/>
  <c r="AE131" i="31"/>
  <c r="Q131" i="31"/>
  <c r="M131" i="31"/>
  <c r="J131" i="31"/>
  <c r="G131" i="31"/>
  <c r="AE95" i="31"/>
  <c r="S95" i="31"/>
  <c r="Q95" i="31"/>
  <c r="M95" i="31"/>
  <c r="J95" i="31"/>
  <c r="G95" i="31"/>
  <c r="AE94" i="31"/>
  <c r="Q94" i="31"/>
  <c r="M94" i="31"/>
  <c r="J94" i="31"/>
  <c r="G94" i="31"/>
  <c r="AE128" i="31"/>
  <c r="U128" i="31"/>
  <c r="Q128" i="31"/>
  <c r="M128" i="31"/>
  <c r="J128" i="31"/>
  <c r="G128" i="31"/>
  <c r="AE127" i="31"/>
  <c r="Q127" i="31"/>
  <c r="M127" i="31"/>
  <c r="J127" i="31"/>
  <c r="G127" i="31"/>
  <c r="AE126" i="31"/>
  <c r="U126" i="31"/>
  <c r="Q126" i="31"/>
  <c r="M126" i="31"/>
  <c r="J126" i="31"/>
  <c r="G126" i="31"/>
  <c r="AE125" i="31"/>
  <c r="Q125" i="31"/>
  <c r="M125" i="31"/>
  <c r="J125" i="31"/>
  <c r="G125" i="31"/>
  <c r="AE124" i="31"/>
  <c r="U124" i="31"/>
  <c r="Q124" i="31"/>
  <c r="M124" i="31"/>
  <c r="J124" i="31"/>
  <c r="G124" i="31"/>
  <c r="AE91" i="31"/>
  <c r="Q91" i="31"/>
  <c r="M91" i="31"/>
  <c r="J91" i="31"/>
  <c r="G91" i="31"/>
  <c r="AE122" i="31"/>
  <c r="Q122" i="31"/>
  <c r="M122" i="31"/>
  <c r="J122" i="31"/>
  <c r="G122" i="31"/>
  <c r="AE90" i="31"/>
  <c r="Q90" i="31"/>
  <c r="M90" i="31"/>
  <c r="J90" i="31"/>
  <c r="G90" i="31"/>
  <c r="AE88" i="31"/>
  <c r="U88" i="31"/>
  <c r="Q88" i="31"/>
  <c r="M88" i="31"/>
  <c r="J88" i="31"/>
  <c r="G88" i="31"/>
  <c r="AE119" i="31"/>
  <c r="Q119" i="31"/>
  <c r="M119" i="31"/>
  <c r="J119" i="31"/>
  <c r="G119" i="31"/>
  <c r="AE118" i="31"/>
  <c r="Q118" i="31"/>
  <c r="M118" i="31"/>
  <c r="J118" i="31"/>
  <c r="G118" i="31"/>
  <c r="AE87" i="31"/>
  <c r="S87" i="31"/>
  <c r="Q87" i="31"/>
  <c r="M87" i="31"/>
  <c r="J87" i="31"/>
  <c r="G87" i="31"/>
  <c r="AE85" i="31"/>
  <c r="Q85" i="31"/>
  <c r="M85" i="31"/>
  <c r="J85" i="31"/>
  <c r="G85" i="31"/>
  <c r="AE115" i="31"/>
  <c r="Q115" i="31"/>
  <c r="M115" i="31"/>
  <c r="J115" i="31"/>
  <c r="G115" i="31"/>
  <c r="AE114" i="31"/>
  <c r="U114" i="31"/>
  <c r="Q114" i="31"/>
  <c r="M114" i="31"/>
  <c r="J114" i="31"/>
  <c r="G114" i="31"/>
  <c r="AE113" i="31"/>
  <c r="U113" i="31"/>
  <c r="Q113" i="31"/>
  <c r="M113" i="31"/>
  <c r="J113" i="31"/>
  <c r="G113" i="31"/>
  <c r="AE84" i="31"/>
  <c r="U84" i="31"/>
  <c r="Q84" i="31"/>
  <c r="M84" i="31"/>
  <c r="J84" i="31"/>
  <c r="G84" i="31"/>
  <c r="AE111" i="31"/>
  <c r="Q111" i="31"/>
  <c r="M111" i="31"/>
  <c r="J111" i="31"/>
  <c r="G111" i="31"/>
  <c r="AE110" i="31"/>
  <c r="U110" i="31"/>
  <c r="Q110" i="31"/>
  <c r="M110" i="31"/>
  <c r="J110" i="31"/>
  <c r="G110" i="31"/>
  <c r="AE83" i="31"/>
  <c r="Q83" i="31"/>
  <c r="M83" i="31"/>
  <c r="J83" i="31"/>
  <c r="G83" i="31"/>
  <c r="AE108" i="31"/>
  <c r="Q108" i="31"/>
  <c r="M108" i="31"/>
  <c r="J108" i="31"/>
  <c r="G108" i="31"/>
  <c r="AE107" i="31"/>
  <c r="U107" i="31"/>
  <c r="Q107" i="31"/>
  <c r="M107" i="31"/>
  <c r="J107" i="31"/>
  <c r="G107" i="31"/>
  <c r="AE81" i="31"/>
  <c r="Q81" i="31"/>
  <c r="M81" i="31"/>
  <c r="J81" i="31"/>
  <c r="G81" i="31"/>
  <c r="AE80" i="31"/>
  <c r="Q80" i="31"/>
  <c r="M80" i="31"/>
  <c r="J80" i="31"/>
  <c r="G80" i="31"/>
  <c r="AE79" i="31"/>
  <c r="U79" i="31"/>
  <c r="S79" i="31"/>
  <c r="Q79" i="31"/>
  <c r="M79" i="31"/>
  <c r="J79" i="31"/>
  <c r="G79" i="31"/>
  <c r="AE76" i="31"/>
  <c r="S76" i="31"/>
  <c r="Q76" i="31"/>
  <c r="J76" i="31"/>
  <c r="G76" i="31"/>
  <c r="AE75" i="31"/>
  <c r="S75" i="31"/>
  <c r="Q75" i="31"/>
  <c r="M75" i="31"/>
  <c r="J75" i="31"/>
  <c r="G75" i="31"/>
  <c r="AE101" i="31"/>
  <c r="U101" i="31"/>
  <c r="Q101" i="31"/>
  <c r="M101" i="31"/>
  <c r="J101" i="31"/>
  <c r="G101" i="31"/>
  <c r="AE74" i="31"/>
  <c r="S74" i="31"/>
  <c r="Q74" i="31"/>
  <c r="M74" i="31"/>
  <c r="J74" i="31"/>
  <c r="G74" i="31"/>
  <c r="AE99" i="31"/>
  <c r="U99" i="31"/>
  <c r="Q99" i="31"/>
  <c r="M99" i="31"/>
  <c r="J99" i="31"/>
  <c r="G99" i="31"/>
  <c r="AE98" i="31"/>
  <c r="U98" i="31"/>
  <c r="Q98" i="31"/>
  <c r="M98" i="31"/>
  <c r="J98" i="31"/>
  <c r="G98" i="31"/>
  <c r="AE73" i="31"/>
  <c r="Q73" i="31"/>
  <c r="M73" i="31"/>
  <c r="J73" i="31"/>
  <c r="G73" i="31"/>
  <c r="AE96" i="31"/>
  <c r="U96" i="31"/>
  <c r="Q96" i="31"/>
  <c r="M96" i="31"/>
  <c r="J96" i="31"/>
  <c r="G96" i="31"/>
  <c r="AE72" i="31"/>
  <c r="U72" i="31"/>
  <c r="S72" i="31"/>
  <c r="Q72" i="31"/>
  <c r="M72" i="31"/>
  <c r="J72" i="31"/>
  <c r="G72" i="31"/>
  <c r="AE71" i="31"/>
  <c r="U71" i="31"/>
  <c r="S71" i="31"/>
  <c r="Q71" i="31"/>
  <c r="M71" i="31"/>
  <c r="J71" i="31"/>
  <c r="G71" i="31"/>
  <c r="AE93" i="31"/>
  <c r="U93" i="31"/>
  <c r="Q93" i="31"/>
  <c r="M93" i="31"/>
  <c r="J93" i="31"/>
  <c r="G93" i="31"/>
  <c r="AE92" i="31"/>
  <c r="U92" i="31"/>
  <c r="Q92" i="31"/>
  <c r="M92" i="31"/>
  <c r="J92" i="31"/>
  <c r="G92" i="31"/>
  <c r="AE70" i="31"/>
  <c r="U70" i="31"/>
  <c r="S70" i="31"/>
  <c r="Q70" i="31"/>
  <c r="M70" i="31"/>
  <c r="J70" i="31"/>
  <c r="G70" i="31"/>
  <c r="AE69" i="31"/>
  <c r="U69" i="31"/>
  <c r="S69" i="31"/>
  <c r="Q69" i="31"/>
  <c r="M69" i="31"/>
  <c r="J69" i="31"/>
  <c r="G69" i="31"/>
  <c r="AE89" i="31"/>
  <c r="Q89" i="31"/>
  <c r="M89" i="31"/>
  <c r="J89" i="31"/>
  <c r="G89" i="31"/>
  <c r="AE67" i="31"/>
  <c r="Q67" i="31"/>
  <c r="M67" i="31"/>
  <c r="J67" i="31"/>
  <c r="G67" i="31"/>
  <c r="AE66" i="31"/>
  <c r="Q66" i="31"/>
  <c r="M66" i="31"/>
  <c r="J66" i="31"/>
  <c r="G66" i="31"/>
  <c r="AE86" i="31"/>
  <c r="Q86" i="31"/>
  <c r="M86" i="31"/>
  <c r="J86" i="31"/>
  <c r="G86" i="31"/>
  <c r="AE64" i="31"/>
  <c r="Q64" i="31"/>
  <c r="M64" i="31"/>
  <c r="J64" i="31"/>
  <c r="G64" i="31"/>
  <c r="AE63" i="31"/>
  <c r="S63" i="31"/>
  <c r="Q63" i="31"/>
  <c r="M63" i="31"/>
  <c r="J63" i="31"/>
  <c r="G63" i="31"/>
  <c r="AE61" i="31"/>
  <c r="U61" i="31"/>
  <c r="S61" i="31"/>
  <c r="Q61" i="31"/>
  <c r="M61" i="31"/>
  <c r="J61" i="31"/>
  <c r="G61" i="31"/>
  <c r="AE82" i="31"/>
  <c r="U82" i="31"/>
  <c r="S82" i="31"/>
  <c r="Q82" i="31"/>
  <c r="M82" i="31"/>
  <c r="J82" i="31"/>
  <c r="G82" i="31"/>
  <c r="AE58" i="31"/>
  <c r="U58" i="31"/>
  <c r="Q58" i="31"/>
  <c r="M58" i="31"/>
  <c r="J58" i="31"/>
  <c r="G58" i="31"/>
  <c r="AE57" i="31"/>
  <c r="U57" i="31"/>
  <c r="Q57" i="31"/>
  <c r="M57" i="31"/>
  <c r="J57" i="31"/>
  <c r="G57" i="31"/>
  <c r="AE56" i="31"/>
  <c r="S56" i="31"/>
  <c r="Q56" i="31"/>
  <c r="M56" i="31"/>
  <c r="J56" i="31"/>
  <c r="G56" i="31"/>
  <c r="AE78" i="31"/>
  <c r="U78" i="31"/>
  <c r="Q78" i="31"/>
  <c r="M78" i="31"/>
  <c r="J78" i="31"/>
  <c r="G78" i="31"/>
  <c r="AE77" i="31"/>
  <c r="Q77" i="31"/>
  <c r="M77" i="31"/>
  <c r="J77" i="31"/>
  <c r="G77" i="31"/>
  <c r="AE55" i="31"/>
  <c r="U55" i="31"/>
  <c r="S55" i="31"/>
  <c r="Q55" i="31"/>
  <c r="M55" i="31"/>
  <c r="J55" i="31"/>
  <c r="G55" i="31"/>
  <c r="AE54" i="31"/>
  <c r="U54" i="31"/>
  <c r="Q54" i="31"/>
  <c r="M54" i="31"/>
  <c r="J54" i="31"/>
  <c r="G54" i="31"/>
  <c r="AE53" i="31"/>
  <c r="U53" i="31"/>
  <c r="S53" i="31"/>
  <c r="Q53" i="31"/>
  <c r="M53" i="31"/>
  <c r="J53" i="31"/>
  <c r="G53" i="31"/>
  <c r="AE52" i="31"/>
  <c r="U52" i="31"/>
  <c r="S52" i="31"/>
  <c r="Q52" i="31"/>
  <c r="M52" i="31"/>
  <c r="J52" i="31"/>
  <c r="G52" i="31"/>
  <c r="AE51" i="31"/>
  <c r="U51" i="31"/>
  <c r="S51" i="31"/>
  <c r="Q51" i="31"/>
  <c r="M51" i="31"/>
  <c r="J51" i="31"/>
  <c r="G51" i="31"/>
  <c r="AE50" i="31"/>
  <c r="U50" i="31"/>
  <c r="Q50" i="31"/>
  <c r="M50" i="31"/>
  <c r="J50" i="31"/>
  <c r="G50" i="31"/>
  <c r="AE49" i="31"/>
  <c r="U49" i="31"/>
  <c r="Q49" i="31"/>
  <c r="M49" i="31"/>
  <c r="J49" i="31"/>
  <c r="G49" i="31"/>
  <c r="AE48" i="31"/>
  <c r="U48" i="31"/>
  <c r="Q48" i="31"/>
  <c r="M48" i="31"/>
  <c r="J48" i="31"/>
  <c r="G48" i="31"/>
  <c r="AE68" i="31"/>
  <c r="U68" i="31"/>
  <c r="Q68" i="31"/>
  <c r="M68" i="31"/>
  <c r="J68" i="31"/>
  <c r="G68" i="31"/>
  <c r="AE47" i="31"/>
  <c r="U47" i="31"/>
  <c r="S47" i="31"/>
  <c r="Q47" i="31"/>
  <c r="M47" i="31"/>
  <c r="J47" i="31"/>
  <c r="G47" i="31"/>
  <c r="AE46" i="31"/>
  <c r="U46" i="31"/>
  <c r="Q46" i="31"/>
  <c r="M46" i="31"/>
  <c r="J46" i="31"/>
  <c r="G46" i="31"/>
  <c r="AE65" i="31"/>
  <c r="U65" i="31"/>
  <c r="Q65" i="31"/>
  <c r="M65" i="31"/>
  <c r="J65" i="31"/>
  <c r="G65" i="31"/>
  <c r="AE45" i="31"/>
  <c r="U45" i="31"/>
  <c r="Q45" i="31"/>
  <c r="J45" i="31"/>
  <c r="G45" i="31"/>
  <c r="AE42" i="31"/>
  <c r="Q42" i="31"/>
  <c r="M42" i="31"/>
  <c r="J42" i="31"/>
  <c r="G42" i="31"/>
  <c r="AE62" i="31"/>
  <c r="Q62" i="31"/>
  <c r="M62" i="31"/>
  <c r="J62" i="31"/>
  <c r="G62" i="31"/>
  <c r="AE41" i="31"/>
  <c r="Q41" i="31"/>
  <c r="M41" i="31"/>
  <c r="J41" i="31"/>
  <c r="G41" i="31"/>
  <c r="AE60" i="31"/>
  <c r="Q60" i="31"/>
  <c r="M60" i="31"/>
  <c r="J60" i="31"/>
  <c r="G60" i="31"/>
  <c r="AE59" i="31"/>
  <c r="Q59" i="31"/>
  <c r="M59" i="31"/>
  <c r="J59" i="31"/>
  <c r="G59" i="31"/>
  <c r="AE40" i="31"/>
  <c r="U40" i="31"/>
  <c r="S40" i="31"/>
  <c r="Q40" i="31"/>
  <c r="M40" i="31"/>
  <c r="J40" i="31"/>
  <c r="G40" i="31"/>
  <c r="AE37" i="31"/>
  <c r="U37" i="31"/>
  <c r="Q37" i="31"/>
  <c r="M37" i="31"/>
  <c r="J37" i="31"/>
  <c r="G37" i="31"/>
  <c r="AE35" i="31"/>
  <c r="U35" i="31"/>
  <c r="Q35" i="31"/>
  <c r="M35" i="31"/>
  <c r="J35" i="31"/>
  <c r="G35" i="31"/>
  <c r="AE34" i="31"/>
  <c r="U34" i="31"/>
  <c r="Q34" i="31"/>
  <c r="M34" i="31"/>
  <c r="J34" i="31"/>
  <c r="G34" i="31"/>
  <c r="AE33" i="31"/>
  <c r="U33" i="31"/>
  <c r="Q33" i="31"/>
  <c r="M33" i="31"/>
  <c r="J33" i="31"/>
  <c r="G33" i="31"/>
  <c r="AE32" i="31"/>
  <c r="U32" i="31"/>
  <c r="Q32" i="31"/>
  <c r="M32" i="31"/>
  <c r="J32" i="31"/>
  <c r="G32" i="31"/>
  <c r="AE31" i="31"/>
  <c r="U31" i="31"/>
  <c r="Q31" i="31"/>
  <c r="M31" i="31"/>
  <c r="J31" i="31"/>
  <c r="G31" i="31"/>
  <c r="AE30" i="31"/>
  <c r="U30" i="31"/>
  <c r="Q30" i="31"/>
  <c r="M30" i="31"/>
  <c r="J30" i="31"/>
  <c r="G30" i="31"/>
  <c r="AE29" i="31"/>
  <c r="U29" i="31"/>
  <c r="Q29" i="31"/>
  <c r="M29" i="31"/>
  <c r="J29" i="31"/>
  <c r="G29" i="31"/>
  <c r="AE28" i="31"/>
  <c r="U28" i="31"/>
  <c r="Q28" i="31"/>
  <c r="M28" i="31"/>
  <c r="J28" i="31"/>
  <c r="G28" i="31"/>
  <c r="AE27" i="31"/>
  <c r="S27" i="31"/>
  <c r="Q27" i="31"/>
  <c r="M27" i="31"/>
  <c r="J27" i="31"/>
  <c r="G27" i="31"/>
  <c r="AE26" i="31"/>
  <c r="U26" i="31"/>
  <c r="Q26" i="31"/>
  <c r="M26" i="31"/>
  <c r="J26" i="31"/>
  <c r="G26" i="31"/>
  <c r="AE23" i="31"/>
  <c r="U23" i="31"/>
  <c r="Q23" i="31"/>
  <c r="M23" i="31"/>
  <c r="J23" i="31"/>
  <c r="G23" i="31"/>
  <c r="AE22" i="31"/>
  <c r="U22" i="31"/>
  <c r="S22" i="31"/>
  <c r="Q22" i="31"/>
  <c r="M22" i="31"/>
  <c r="J22" i="31"/>
  <c r="G22" i="31"/>
  <c r="AE44" i="31"/>
  <c r="Q44" i="31"/>
  <c r="M44" i="31"/>
  <c r="J44" i="31"/>
  <c r="G44" i="31"/>
  <c r="AE43" i="31"/>
  <c r="U43" i="31"/>
  <c r="Q43" i="31"/>
  <c r="M43" i="31"/>
  <c r="J43" i="31"/>
  <c r="G43" i="31"/>
  <c r="AE19" i="31"/>
  <c r="U19" i="31"/>
  <c r="Q19" i="31"/>
  <c r="M19" i="31"/>
  <c r="J19" i="31"/>
  <c r="G19" i="31"/>
  <c r="AE18" i="31"/>
  <c r="U18" i="31"/>
  <c r="Q18" i="31"/>
  <c r="M18" i="31"/>
  <c r="J18" i="31"/>
  <c r="G18" i="31"/>
  <c r="AE17" i="31"/>
  <c r="U17" i="31"/>
  <c r="Q17" i="31"/>
  <c r="M17" i="31"/>
  <c r="J17" i="31"/>
  <c r="G17" i="31"/>
  <c r="AE39" i="31"/>
  <c r="U39" i="31"/>
  <c r="Q39" i="31"/>
  <c r="M39" i="31"/>
  <c r="J39" i="31"/>
  <c r="G39" i="31"/>
  <c r="AE38" i="31"/>
  <c r="U38" i="31"/>
  <c r="Q38" i="31"/>
  <c r="M38" i="31"/>
  <c r="J38" i="31"/>
  <c r="G38" i="31"/>
  <c r="AE14" i="31"/>
  <c r="U14" i="31"/>
  <c r="Q14" i="31"/>
  <c r="M14" i="31"/>
  <c r="J14" i="31"/>
  <c r="G14" i="31"/>
  <c r="AE36" i="31"/>
  <c r="U36" i="31"/>
  <c r="Q36" i="31"/>
  <c r="M36" i="31"/>
  <c r="J36" i="31"/>
  <c r="G36" i="31"/>
  <c r="AE13" i="31"/>
  <c r="U13" i="31"/>
  <c r="Q13" i="31"/>
  <c r="M13" i="31"/>
  <c r="J13" i="31"/>
  <c r="G13" i="31"/>
  <c r="AE6" i="31"/>
  <c r="U6" i="31"/>
  <c r="Q6" i="31"/>
  <c r="M6" i="31"/>
  <c r="J6" i="31"/>
  <c r="G6" i="31"/>
  <c r="AE12" i="31"/>
  <c r="U12" i="31"/>
  <c r="Q12" i="31"/>
  <c r="M12" i="31"/>
  <c r="J12" i="31"/>
  <c r="G12" i="31"/>
  <c r="AF12" i="31" s="1"/>
  <c r="AE11" i="31"/>
  <c r="U11" i="31"/>
  <c r="Q11" i="31"/>
  <c r="M11" i="31"/>
  <c r="J11" i="31"/>
  <c r="G11" i="31"/>
  <c r="AF11" i="31" s="1"/>
  <c r="AE10" i="31"/>
  <c r="U10" i="31"/>
  <c r="Q10" i="31"/>
  <c r="M10" i="31"/>
  <c r="J10" i="31"/>
  <c r="G10" i="31"/>
  <c r="AF10" i="31" s="1"/>
  <c r="AE185" i="31"/>
  <c r="U185" i="31"/>
  <c r="Q185" i="31"/>
  <c r="M185" i="31"/>
  <c r="J185" i="31"/>
  <c r="G185" i="31"/>
  <c r="AE184" i="31"/>
  <c r="U184" i="31"/>
  <c r="S184" i="31"/>
  <c r="Q184" i="31"/>
  <c r="M184" i="31"/>
  <c r="J184" i="31"/>
  <c r="G184" i="31"/>
  <c r="AE9" i="31"/>
  <c r="U9" i="31"/>
  <c r="Q9" i="31"/>
  <c r="M9" i="31"/>
  <c r="J9" i="31"/>
  <c r="G9" i="31"/>
  <c r="AF9" i="31" s="1"/>
  <c r="AE183" i="31"/>
  <c r="U183" i="31"/>
  <c r="Q183" i="31"/>
  <c r="M183" i="31"/>
  <c r="J183" i="31"/>
  <c r="G183" i="31"/>
  <c r="AE8" i="31"/>
  <c r="U8" i="31"/>
  <c r="Q8" i="31"/>
  <c r="M8" i="31"/>
  <c r="J8" i="31"/>
  <c r="G8" i="31"/>
  <c r="AF8" i="31" s="1"/>
  <c r="AE25" i="31"/>
  <c r="S25" i="31"/>
  <c r="Q25" i="31"/>
  <c r="M25" i="31"/>
  <c r="J25" i="31"/>
  <c r="G25" i="31"/>
  <c r="AF25" i="31" s="1"/>
  <c r="AE24" i="31"/>
  <c r="M24" i="31"/>
  <c r="J24" i="31"/>
  <c r="G24" i="31"/>
  <c r="AF24" i="31" s="1"/>
  <c r="AE3" i="31"/>
  <c r="U3" i="31"/>
  <c r="S3" i="31"/>
  <c r="Q3" i="31"/>
  <c r="M3" i="31"/>
  <c r="J3" i="31"/>
  <c r="G3" i="31"/>
  <c r="AE7" i="31"/>
  <c r="U7" i="31"/>
  <c r="Q7" i="31"/>
  <c r="J7" i="31"/>
  <c r="N7" i="31" s="1"/>
  <c r="G7" i="31"/>
  <c r="AF7" i="31" s="1"/>
  <c r="AE21" i="31"/>
  <c r="Q21" i="31"/>
  <c r="M21" i="31"/>
  <c r="J21" i="31"/>
  <c r="G21" i="31"/>
  <c r="AF21" i="31" s="1"/>
  <c r="AE20" i="31"/>
  <c r="Q20" i="31"/>
  <c r="M20" i="31"/>
  <c r="J20" i="31"/>
  <c r="G20" i="31"/>
  <c r="AF20" i="31" s="1"/>
  <c r="AE182" i="31"/>
  <c r="U182" i="31"/>
  <c r="Q182" i="31"/>
  <c r="M182" i="31"/>
  <c r="J182" i="31"/>
  <c r="G182" i="31"/>
  <c r="AE181" i="31"/>
  <c r="U181" i="31"/>
  <c r="Q181" i="31"/>
  <c r="J181" i="31"/>
  <c r="N181" i="31" s="1"/>
  <c r="G181" i="31"/>
  <c r="AE180" i="31"/>
  <c r="U180" i="31"/>
  <c r="S180" i="31"/>
  <c r="Q180" i="31"/>
  <c r="M180" i="31"/>
  <c r="J180" i="31"/>
  <c r="G180" i="31"/>
  <c r="AE16" i="31"/>
  <c r="U16" i="31"/>
  <c r="Q16" i="31"/>
  <c r="M16" i="31"/>
  <c r="J16" i="31"/>
  <c r="G16" i="31"/>
  <c r="AF16" i="31" s="1"/>
  <c r="AE15" i="31"/>
  <c r="U15" i="31"/>
  <c r="Q15" i="31"/>
  <c r="M15" i="31"/>
  <c r="J15" i="31"/>
  <c r="G15" i="31"/>
  <c r="AE179" i="31"/>
  <c r="U179" i="31"/>
  <c r="Q179" i="31"/>
  <c r="M179" i="31"/>
  <c r="J179" i="31"/>
  <c r="G179" i="31"/>
  <c r="A14" i="31"/>
  <c r="A15" i="31" s="1"/>
  <c r="A16" i="31" s="1"/>
  <c r="A17" i="31" s="1"/>
  <c r="A18" i="31" s="1"/>
  <c r="A19" i="31" s="1"/>
  <c r="A20" i="31" s="1"/>
  <c r="A21" i="31" s="1"/>
  <c r="A22" i="31" s="1"/>
  <c r="A23" i="31" s="1"/>
  <c r="A24" i="31" s="1"/>
  <c r="A25" i="31" s="1"/>
  <c r="A26" i="31" s="1"/>
  <c r="A27" i="31" s="1"/>
  <c r="A28" i="31" s="1"/>
  <c r="A29" i="31" s="1"/>
  <c r="AE178" i="31"/>
  <c r="U178" i="31"/>
  <c r="Q178" i="31"/>
  <c r="M178" i="31"/>
  <c r="J178" i="31"/>
  <c r="G178" i="31"/>
  <c r="AE2" i="31"/>
  <c r="U2" i="31"/>
  <c r="Q2" i="31"/>
  <c r="M2" i="31"/>
  <c r="J2" i="31"/>
  <c r="G2" i="31"/>
  <c r="AE173" i="31"/>
  <c r="U173" i="31"/>
  <c r="Q173" i="31"/>
  <c r="M173" i="31"/>
  <c r="J173" i="31"/>
  <c r="G173" i="31"/>
  <c r="AE172" i="31"/>
  <c r="U172" i="31"/>
  <c r="Q172" i="31"/>
  <c r="M172" i="31"/>
  <c r="J172" i="31"/>
  <c r="G172" i="31"/>
  <c r="AE171" i="31"/>
  <c r="U171" i="31"/>
  <c r="Q171" i="31"/>
  <c r="M171" i="31"/>
  <c r="J171" i="31"/>
  <c r="G171" i="31"/>
  <c r="AE170" i="31"/>
  <c r="U170" i="31"/>
  <c r="Q170" i="31"/>
  <c r="M170" i="31"/>
  <c r="J170" i="31"/>
  <c r="G170" i="31"/>
  <c r="AE161" i="31"/>
  <c r="U161" i="31"/>
  <c r="Q161" i="31"/>
  <c r="M161" i="31"/>
  <c r="J161" i="31"/>
  <c r="G161" i="31"/>
  <c r="AE159" i="31"/>
  <c r="U159" i="31"/>
  <c r="Q159" i="31"/>
  <c r="M159" i="31"/>
  <c r="J159" i="31"/>
  <c r="G159" i="31"/>
  <c r="AE5" i="31"/>
  <c r="Q5" i="31"/>
  <c r="M5" i="31"/>
  <c r="J5" i="31"/>
  <c r="G5" i="31"/>
  <c r="AE4" i="31"/>
  <c r="U4" i="31"/>
  <c r="S4" i="31"/>
  <c r="Q4" i="31"/>
  <c r="M4" i="31"/>
  <c r="J4" i="31"/>
  <c r="G4" i="31"/>
  <c r="AE157" i="31"/>
  <c r="U157" i="31"/>
  <c r="Q157" i="31"/>
  <c r="M157" i="31"/>
  <c r="J157" i="31"/>
  <c r="G157" i="31"/>
  <c r="AE153" i="31"/>
  <c r="U153" i="31"/>
  <c r="Q153" i="31"/>
  <c r="M153" i="31"/>
  <c r="J153" i="31"/>
  <c r="G153" i="31"/>
  <c r="N188" i="32" l="1"/>
  <c r="AF180" i="31"/>
  <c r="N201" i="31"/>
  <c r="AF3" i="31"/>
  <c r="AF184" i="31"/>
  <c r="N201" i="32"/>
  <c r="N184" i="32"/>
  <c r="N194" i="32"/>
  <c r="N195" i="32"/>
  <c r="N185" i="32"/>
  <c r="AF197" i="32"/>
  <c r="N194" i="31"/>
  <c r="AF67" i="32"/>
  <c r="AF91" i="32"/>
  <c r="AF73" i="32"/>
  <c r="AF104" i="32"/>
  <c r="AF161" i="32"/>
  <c r="AF195" i="32"/>
  <c r="AF45" i="32"/>
  <c r="N193" i="32"/>
  <c r="N5" i="32"/>
  <c r="AF58" i="32"/>
  <c r="AF83" i="32"/>
  <c r="AF95" i="32"/>
  <c r="AF141" i="32"/>
  <c r="AF157" i="32"/>
  <c r="N199" i="32"/>
  <c r="AF76" i="32"/>
  <c r="AF143" i="32"/>
  <c r="AF162" i="31"/>
  <c r="AF188" i="32"/>
  <c r="AF4" i="32"/>
  <c r="AF189" i="32"/>
  <c r="A31" i="32"/>
  <c r="A30" i="32"/>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7" i="32" s="1"/>
  <c r="N20" i="32"/>
  <c r="AF74" i="32"/>
  <c r="AF137" i="32"/>
  <c r="AF154" i="32"/>
  <c r="AF156" i="32"/>
  <c r="N17" i="32"/>
  <c r="AF90" i="32"/>
  <c r="AF68" i="32"/>
  <c r="AF94" i="32"/>
  <c r="AF186" i="32"/>
  <c r="AF72" i="32"/>
  <c r="AF135" i="32"/>
  <c r="AF144" i="32"/>
  <c r="AF155" i="32"/>
  <c r="AF194" i="32"/>
  <c r="AF51" i="31"/>
  <c r="AF61" i="31"/>
  <c r="AF100" i="31"/>
  <c r="N147" i="31"/>
  <c r="N195" i="31"/>
  <c r="N199" i="31"/>
  <c r="N143" i="31"/>
  <c r="AF189" i="31"/>
  <c r="N180" i="31"/>
  <c r="N24" i="31"/>
  <c r="AF82" i="31"/>
  <c r="AF71" i="31"/>
  <c r="AF69" i="31"/>
  <c r="AF187" i="31"/>
  <c r="N193" i="31"/>
  <c r="AF55" i="31"/>
  <c r="N5" i="31"/>
  <c r="AF53" i="31"/>
  <c r="AF70" i="31"/>
  <c r="AF105" i="31"/>
  <c r="AF158" i="31"/>
  <c r="AF197" i="31"/>
  <c r="AF103" i="31"/>
  <c r="AF186" i="31"/>
  <c r="AF194" i="31"/>
  <c r="AF148" i="31"/>
  <c r="AF160" i="31"/>
  <c r="AF188" i="31"/>
  <c r="AF4" i="31"/>
  <c r="AF40" i="31"/>
  <c r="AF79" i="31"/>
  <c r="A31" i="31"/>
  <c r="A30" i="3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7" i="31" s="1"/>
  <c r="AF195" i="31"/>
  <c r="AF47" i="31"/>
  <c r="AF52" i="31"/>
  <c r="N188" i="31"/>
  <c r="AF22" i="31"/>
  <c r="AF72" i="31"/>
  <c r="AF104" i="31"/>
  <c r="AF112" i="31"/>
  <c r="AF117" i="31"/>
  <c r="H281" i="27"/>
  <c r="R281" i="27"/>
  <c r="V281" i="27"/>
  <c r="AG281" i="27"/>
  <c r="R25" i="27" l="1"/>
  <c r="V25" i="27"/>
  <c r="AG25" i="27"/>
  <c r="H25" i="27" l="1"/>
  <c r="AH25" i="27" s="1"/>
  <c r="K25" i="27"/>
  <c r="R174" i="27"/>
  <c r="V174" i="27"/>
  <c r="AG174" i="27"/>
  <c r="R8" i="27"/>
  <c r="V8" i="27"/>
  <c r="AG8" i="27"/>
  <c r="H8" i="27"/>
  <c r="K8" i="27"/>
  <c r="R225" i="27"/>
  <c r="V225" i="27"/>
  <c r="H225" i="27"/>
  <c r="K225" i="27"/>
  <c r="N225" i="27"/>
  <c r="AG225" i="27"/>
  <c r="V223" i="27"/>
  <c r="R223" i="27"/>
  <c r="H223" i="27"/>
  <c r="K223" i="27"/>
  <c r="N223" i="27"/>
  <c r="AG223" i="27"/>
  <c r="H174" i="27" l="1"/>
  <c r="K174" i="27"/>
  <c r="N174" i="27"/>
  <c r="H206" i="27" l="1"/>
  <c r="K206" i="27"/>
  <c r="N206" i="27"/>
  <c r="R206" i="27"/>
  <c r="V206" i="27"/>
  <c r="AG206" i="27"/>
  <c r="V246" i="27"/>
  <c r="R246" i="27"/>
  <c r="H246" i="27"/>
  <c r="K246" i="27"/>
  <c r="N246" i="27"/>
  <c r="AG246" i="27"/>
  <c r="AG90" i="27" l="1"/>
  <c r="V90" i="27"/>
  <c r="R90" i="27"/>
  <c r="N90" i="27"/>
  <c r="K90" i="27"/>
  <c r="H90" i="27"/>
  <c r="AG239" i="27" l="1"/>
  <c r="T239" i="27"/>
  <c r="R239" i="27"/>
  <c r="H239" i="27"/>
  <c r="K239" i="27"/>
  <c r="N239" i="27"/>
  <c r="R224" i="27" l="1"/>
  <c r="H224" i="27"/>
  <c r="K224" i="27"/>
  <c r="AG224" i="27"/>
  <c r="R15" i="27" l="1"/>
  <c r="V15" i="27"/>
  <c r="AG15" i="27"/>
  <c r="V227" i="27"/>
  <c r="AG227" i="27"/>
  <c r="H15" i="27"/>
  <c r="K15" i="27"/>
  <c r="N15" i="27"/>
  <c r="R227" i="27" l="1"/>
  <c r="H227" i="27"/>
  <c r="K227" i="27"/>
  <c r="N227" i="27"/>
  <c r="R290" i="27" l="1"/>
  <c r="H251" i="27"/>
  <c r="H177" i="27"/>
  <c r="H37" i="27"/>
  <c r="H254" i="27"/>
  <c r="H266" i="27"/>
  <c r="H194" i="27"/>
  <c r="H182" i="27"/>
  <c r="H262" i="27"/>
  <c r="H45" i="27"/>
  <c r="H19" i="27"/>
  <c r="H271" i="27"/>
  <c r="H185" i="27"/>
  <c r="H253" i="27"/>
  <c r="H264" i="27"/>
  <c r="H270" i="27"/>
  <c r="H252" i="27"/>
  <c r="H23" i="27"/>
  <c r="H207" i="27"/>
  <c r="H10" i="27"/>
  <c r="H208" i="27"/>
  <c r="H192" i="27"/>
  <c r="H186" i="27"/>
  <c r="H272" i="27"/>
  <c r="H20" i="27"/>
  <c r="H102" i="27"/>
  <c r="H60" i="27"/>
  <c r="H21" i="27"/>
  <c r="H180" i="27"/>
  <c r="H214" i="27"/>
  <c r="H196" i="27"/>
  <c r="H197" i="27"/>
  <c r="H190" i="27"/>
  <c r="H7" i="27"/>
  <c r="H67" i="27"/>
  <c r="H68" i="27"/>
  <c r="H263" i="27"/>
  <c r="H69" i="27"/>
  <c r="H41" i="27"/>
  <c r="H82" i="27"/>
  <c r="H77" i="27"/>
  <c r="H76" i="27"/>
  <c r="H78" i="27"/>
  <c r="H211" i="27"/>
  <c r="H114" i="27"/>
  <c r="H212" i="27"/>
  <c r="H213" i="27"/>
  <c r="H204" i="27"/>
  <c r="H79" i="27"/>
  <c r="H228" i="27"/>
  <c r="H110" i="27"/>
  <c r="H63" i="27"/>
  <c r="H105" i="27"/>
  <c r="H96" i="27"/>
  <c r="H81" i="27"/>
  <c r="H65" i="27"/>
  <c r="H276" i="27"/>
  <c r="H285" i="27"/>
  <c r="H265" i="27"/>
  <c r="H282" i="27"/>
  <c r="H85" i="27"/>
  <c r="H216" i="27"/>
  <c r="H287" i="27"/>
  <c r="H149" i="27"/>
  <c r="H108" i="27"/>
  <c r="H209" i="27"/>
  <c r="H133" i="27"/>
  <c r="H217" i="27"/>
  <c r="H286" i="27"/>
  <c r="H71" i="27"/>
  <c r="H91" i="27"/>
  <c r="H279" i="27"/>
  <c r="H111" i="27"/>
  <c r="H95" i="27"/>
  <c r="H210" i="27"/>
  <c r="H97" i="27"/>
  <c r="H84" i="27"/>
  <c r="H99" i="27"/>
  <c r="H137" i="27"/>
  <c r="H218" i="27"/>
  <c r="H101" i="27"/>
  <c r="H16" i="27"/>
  <c r="H93" i="27"/>
  <c r="H199" i="27"/>
  <c r="H201" i="27"/>
  <c r="H195" i="27"/>
  <c r="H284" i="27"/>
  <c r="H89" i="27"/>
  <c r="H116" i="27"/>
  <c r="H117" i="27"/>
  <c r="H18" i="27"/>
  <c r="H145" i="27"/>
  <c r="H151" i="27"/>
  <c r="H66" i="27"/>
  <c r="H277" i="27"/>
  <c r="H120" i="27"/>
  <c r="H157" i="27"/>
  <c r="H11" i="27"/>
  <c r="H100" i="27"/>
  <c r="H288" i="27"/>
  <c r="H162" i="27"/>
  <c r="H158" i="27"/>
  <c r="H220" i="27"/>
  <c r="H129" i="27"/>
  <c r="H92" i="27"/>
  <c r="H131" i="27"/>
  <c r="H104" i="27"/>
  <c r="H98" i="27"/>
  <c r="H136" i="27"/>
  <c r="H155" i="27"/>
  <c r="H75" i="27"/>
  <c r="H168" i="27"/>
  <c r="H141" i="27"/>
  <c r="H122" i="27"/>
  <c r="H172" i="27"/>
  <c r="H289" i="27"/>
  <c r="H198" i="27"/>
  <c r="H170" i="27"/>
  <c r="H83" i="27"/>
  <c r="H200" i="27"/>
  <c r="H202" i="27"/>
  <c r="H123" i="27"/>
  <c r="H87" i="27"/>
  <c r="H176" i="27"/>
  <c r="H203" i="27"/>
  <c r="H219" i="27"/>
  <c r="H103" i="27"/>
  <c r="H127" i="27"/>
  <c r="H150" i="27"/>
  <c r="H26" i="27"/>
  <c r="AH26" i="27" s="1"/>
  <c r="H154" i="27"/>
  <c r="H156" i="27"/>
  <c r="H113" i="27"/>
  <c r="H146" i="27"/>
  <c r="H164" i="27"/>
  <c r="H166" i="27"/>
  <c r="H160" i="27"/>
  <c r="H188" i="27"/>
  <c r="H175" i="27"/>
  <c r="H138" i="27"/>
  <c r="H169" i="27"/>
  <c r="H163" i="27"/>
  <c r="H187" i="27"/>
  <c r="H167" i="27"/>
  <c r="H278" i="27"/>
  <c r="H173" i="27"/>
  <c r="H179" i="27"/>
  <c r="H191" i="27"/>
  <c r="H215" i="27"/>
  <c r="AH215" i="27" s="1"/>
  <c r="H259" i="27"/>
  <c r="H268" i="27"/>
  <c r="H274" i="27"/>
  <c r="H247" i="27"/>
  <c r="H280" i="27"/>
  <c r="H14" i="27"/>
  <c r="H243" i="27"/>
  <c r="H250" i="27"/>
  <c r="V228" i="27" l="1"/>
  <c r="R278" i="27"/>
  <c r="V282" i="27"/>
  <c r="R282" i="27"/>
  <c r="H193" i="27"/>
  <c r="AG247" i="27"/>
  <c r="AG266" i="27"/>
  <c r="AG197" i="27"/>
  <c r="AG271" i="27"/>
  <c r="AG137" i="27"/>
  <c r="AG10" i="27"/>
  <c r="AG196" i="27"/>
  <c r="AG116" i="27"/>
  <c r="AG100" i="27"/>
  <c r="AG270" i="27"/>
  <c r="AG262" i="27"/>
  <c r="AG252" i="27"/>
  <c r="AG14" i="27"/>
  <c r="AG204" i="27"/>
  <c r="AG280" i="27"/>
  <c r="V247" i="27"/>
  <c r="V266" i="27"/>
  <c r="V271" i="27"/>
  <c r="V10" i="27"/>
  <c r="V116" i="27"/>
  <c r="V100" i="27"/>
  <c r="V270" i="27"/>
  <c r="V262" i="27"/>
  <c r="V252" i="27"/>
  <c r="V14" i="27"/>
  <c r="V204" i="27"/>
  <c r="V280" i="27"/>
  <c r="T197" i="27"/>
  <c r="T196" i="27"/>
  <c r="T204" i="27"/>
  <c r="R247" i="27"/>
  <c r="R266" i="27"/>
  <c r="R197" i="27"/>
  <c r="R271" i="27"/>
  <c r="R137" i="27"/>
  <c r="R10" i="27"/>
  <c r="R196" i="27"/>
  <c r="R116" i="27"/>
  <c r="R100" i="27"/>
  <c r="R270" i="27"/>
  <c r="R262" i="27"/>
  <c r="R252" i="27"/>
  <c r="R14" i="27"/>
  <c r="R204" i="27"/>
  <c r="R280" i="27"/>
  <c r="K14" i="27"/>
  <c r="AH204" i="27" l="1"/>
  <c r="K100" i="27"/>
  <c r="N100" i="27"/>
  <c r="K270" i="27"/>
  <c r="N270" i="27"/>
  <c r="K262" i="27"/>
  <c r="N262" i="27"/>
  <c r="K252" i="27"/>
  <c r="N252" i="27"/>
  <c r="N280" i="27"/>
  <c r="K280" i="27"/>
  <c r="K196" i="27" l="1"/>
  <c r="N196" i="27"/>
  <c r="K116" i="27"/>
  <c r="N116" i="27"/>
  <c r="K137" i="27" l="1"/>
  <c r="N137" i="27"/>
  <c r="K10" i="27"/>
  <c r="K247" i="27" l="1"/>
  <c r="K266" i="27"/>
  <c r="N247" i="27"/>
  <c r="N266" i="27"/>
  <c r="K197" i="27"/>
  <c r="K271" i="27"/>
  <c r="N271" i="27"/>
  <c r="AG234" i="27" l="1"/>
  <c r="AG235" i="27"/>
  <c r="AG236" i="27"/>
  <c r="J258" i="27" l="1"/>
  <c r="I283" i="27"/>
  <c r="N260" i="27"/>
  <c r="N290" i="27"/>
  <c r="N215" i="27"/>
  <c r="N283" i="27"/>
  <c r="K260" i="27"/>
  <c r="K290" i="27"/>
  <c r="K215" i="27"/>
  <c r="K283" i="27" l="1"/>
  <c r="O283" i="27" s="1"/>
  <c r="O215" i="27"/>
  <c r="O260" i="27"/>
  <c r="K234" i="27" l="1"/>
  <c r="M234" i="27" s="1"/>
  <c r="K233" i="27"/>
  <c r="M233" i="27" s="1"/>
  <c r="K235" i="27"/>
  <c r="K236" i="27"/>
  <c r="M236" i="27" s="1"/>
  <c r="K232" i="27"/>
  <c r="K237" i="27"/>
  <c r="K238" i="27"/>
  <c r="K248" i="27"/>
  <c r="K258" i="27"/>
  <c r="K9" i="27"/>
  <c r="K278" i="27"/>
  <c r="K2" i="27"/>
  <c r="K249" i="27"/>
  <c r="K146" i="27"/>
  <c r="K24" i="27"/>
  <c r="K27" i="27"/>
  <c r="K221" i="27"/>
  <c r="K226" i="27"/>
  <c r="K245" i="27"/>
  <c r="K177" i="27"/>
  <c r="K254" i="27"/>
  <c r="K257" i="27"/>
  <c r="K255" i="27"/>
  <c r="K256" i="27"/>
  <c r="K259" i="27"/>
  <c r="K178" i="27"/>
  <c r="K250" i="27"/>
  <c r="K194" i="27"/>
  <c r="K182" i="27"/>
  <c r="K37" i="27"/>
  <c r="K45" i="27"/>
  <c r="K110" i="27"/>
  <c r="K261" i="27"/>
  <c r="K208" i="27"/>
  <c r="K268" i="27"/>
  <c r="K185" i="27"/>
  <c r="K253" i="27"/>
  <c r="K267" i="27"/>
  <c r="K18" i="27"/>
  <c r="K269" i="27"/>
  <c r="K251" i="27"/>
  <c r="K264" i="27"/>
  <c r="K243" i="27"/>
  <c r="K23" i="27"/>
  <c r="K184" i="27"/>
  <c r="K207" i="27"/>
  <c r="K189" i="27"/>
  <c r="K273" i="27"/>
  <c r="K192" i="27"/>
  <c r="K287" i="27"/>
  <c r="K186" i="27"/>
  <c r="K214" i="27"/>
  <c r="K81" i="27"/>
  <c r="K274" i="27"/>
  <c r="K210" i="27"/>
  <c r="K102" i="27"/>
  <c r="K60" i="27"/>
  <c r="K21" i="27"/>
  <c r="K79" i="27"/>
  <c r="K68" i="27"/>
  <c r="K190" i="27"/>
  <c r="K7" i="27"/>
  <c r="K41" i="27"/>
  <c r="K67" i="27"/>
  <c r="K82" i="27"/>
  <c r="K263" i="27"/>
  <c r="K211" i="27"/>
  <c r="K84" i="27"/>
  <c r="K63" i="27"/>
  <c r="K285" i="27"/>
  <c r="K105" i="27"/>
  <c r="K96" i="27"/>
  <c r="K77" i="27"/>
  <c r="K180" i="27"/>
  <c r="K78" i="27"/>
  <c r="K288" i="27"/>
  <c r="K76" i="27"/>
  <c r="K212" i="27"/>
  <c r="K213" i="27"/>
  <c r="K133" i="27"/>
  <c r="K114" i="27"/>
  <c r="K216" i="27"/>
  <c r="K85" i="27"/>
  <c r="K193" i="27"/>
  <c r="K65" i="27"/>
  <c r="K276" i="27"/>
  <c r="K265" i="27"/>
  <c r="K69" i="27"/>
  <c r="K149" i="27"/>
  <c r="K108" i="27"/>
  <c r="K123" i="27"/>
  <c r="K111" i="27"/>
  <c r="K209" i="27"/>
  <c r="K95" i="27"/>
  <c r="K168" i="27"/>
  <c r="K217" i="27"/>
  <c r="K286" i="27"/>
  <c r="K71" i="27"/>
  <c r="K91" i="27"/>
  <c r="K279" i="27"/>
  <c r="K99" i="27"/>
  <c r="K272" i="27"/>
  <c r="K198" i="27"/>
  <c r="K97" i="27"/>
  <c r="K101" i="27"/>
  <c r="K16" i="27"/>
  <c r="K218" i="27"/>
  <c r="K240" i="27"/>
  <c r="K93" i="27"/>
  <c r="K170" i="27"/>
  <c r="K199" i="27"/>
  <c r="K201" i="27"/>
  <c r="K195" i="27"/>
  <c r="K284" i="27"/>
  <c r="K228" i="27"/>
  <c r="K89" i="27"/>
  <c r="K117" i="27"/>
  <c r="K66" i="27"/>
  <c r="K277" i="27"/>
  <c r="K145" i="27"/>
  <c r="K151" i="27"/>
  <c r="K120" i="27"/>
  <c r="K157" i="27"/>
  <c r="K11" i="27"/>
  <c r="K162" i="27"/>
  <c r="K158" i="27"/>
  <c r="K129" i="27"/>
  <c r="K92" i="27"/>
  <c r="K131" i="27"/>
  <c r="K220" i="27"/>
  <c r="K98" i="27"/>
  <c r="K136" i="27"/>
  <c r="K155" i="27"/>
  <c r="K104" i="27"/>
  <c r="K179" i="27"/>
  <c r="K141" i="27"/>
  <c r="K122" i="27"/>
  <c r="K75" i="27"/>
  <c r="K172" i="27"/>
  <c r="K289" i="27"/>
  <c r="K83" i="27"/>
  <c r="K200" i="27"/>
  <c r="K202" i="27"/>
  <c r="K87" i="27"/>
  <c r="K176" i="27"/>
  <c r="K203" i="27"/>
  <c r="K167" i="27"/>
  <c r="K103" i="27"/>
  <c r="K127" i="27"/>
  <c r="K150" i="27"/>
  <c r="K26" i="27"/>
  <c r="K219" i="27"/>
  <c r="K154" i="27"/>
  <c r="K156" i="27"/>
  <c r="K113" i="27"/>
  <c r="K166" i="27"/>
  <c r="K160" i="27"/>
  <c r="K188" i="27"/>
  <c r="K175" i="27"/>
  <c r="K138" i="27"/>
  <c r="K169" i="27"/>
  <c r="K187" i="27"/>
  <c r="K163" i="27"/>
  <c r="K173" i="27"/>
  <c r="K164" i="27"/>
  <c r="K191" i="27"/>
  <c r="K282" i="27"/>
  <c r="K204" i="27"/>
  <c r="N235" i="27"/>
  <c r="N232" i="27"/>
  <c r="N237" i="27"/>
  <c r="N238" i="27"/>
  <c r="N248" i="27"/>
  <c r="N258" i="27"/>
  <c r="N278" i="27"/>
  <c r="N2" i="27"/>
  <c r="N249" i="27"/>
  <c r="N146" i="27"/>
  <c r="N27" i="27"/>
  <c r="N221" i="27"/>
  <c r="N226" i="27"/>
  <c r="N177" i="27"/>
  <c r="N257" i="27"/>
  <c r="N255" i="27"/>
  <c r="N256" i="27"/>
  <c r="N259" i="27"/>
  <c r="N178" i="27"/>
  <c r="N250" i="27"/>
  <c r="N194" i="27"/>
  <c r="N182" i="27"/>
  <c r="N37" i="27"/>
  <c r="N45" i="27"/>
  <c r="N110" i="27"/>
  <c r="N261" i="27"/>
  <c r="N208" i="27"/>
  <c r="N268" i="27"/>
  <c r="N185" i="27"/>
  <c r="N267" i="27"/>
  <c r="N269" i="27"/>
  <c r="N251" i="27"/>
  <c r="N264" i="27"/>
  <c r="N243" i="27"/>
  <c r="N184" i="27"/>
  <c r="N207" i="27"/>
  <c r="N189" i="27"/>
  <c r="N20" i="27"/>
  <c r="N273" i="27"/>
  <c r="N192" i="27"/>
  <c r="N287" i="27"/>
  <c r="N186" i="27"/>
  <c r="N214" i="27"/>
  <c r="N81" i="27"/>
  <c r="N274" i="27"/>
  <c r="N210" i="27"/>
  <c r="N102" i="27"/>
  <c r="N60" i="27"/>
  <c r="N21" i="27"/>
  <c r="N79" i="27"/>
  <c r="N68" i="27"/>
  <c r="N190" i="27"/>
  <c r="N67" i="27"/>
  <c r="N82" i="27"/>
  <c r="N263" i="27"/>
  <c r="N211" i="27"/>
  <c r="N84" i="27"/>
  <c r="N63" i="27"/>
  <c r="N285" i="27"/>
  <c r="N105" i="27"/>
  <c r="N96" i="27"/>
  <c r="N77" i="27"/>
  <c r="N180" i="27"/>
  <c r="N78" i="27"/>
  <c r="N288" i="27"/>
  <c r="N76" i="27"/>
  <c r="N212" i="27"/>
  <c r="N213" i="27"/>
  <c r="N133" i="27"/>
  <c r="N114" i="27"/>
  <c r="N216" i="27"/>
  <c r="N85" i="27"/>
  <c r="N193" i="27"/>
  <c r="N65" i="27"/>
  <c r="N276" i="27"/>
  <c r="N265" i="27"/>
  <c r="N69" i="27"/>
  <c r="N149" i="27"/>
  <c r="N108" i="27"/>
  <c r="N123" i="27"/>
  <c r="N111" i="27"/>
  <c r="N209" i="27"/>
  <c r="N95" i="27"/>
  <c r="N168" i="27"/>
  <c r="N217" i="27"/>
  <c r="N286" i="27"/>
  <c r="N71" i="27"/>
  <c r="N91" i="27"/>
  <c r="N279" i="27"/>
  <c r="N99" i="27"/>
  <c r="N272" i="27"/>
  <c r="N198" i="27"/>
  <c r="N97" i="27"/>
  <c r="N101" i="27"/>
  <c r="N218" i="27"/>
  <c r="N240" i="27"/>
  <c r="N93" i="27"/>
  <c r="N170" i="27"/>
  <c r="N199" i="27"/>
  <c r="N201" i="27"/>
  <c r="N195" i="27"/>
  <c r="N284" i="27"/>
  <c r="N228" i="27"/>
  <c r="N89" i="27"/>
  <c r="N117" i="27"/>
  <c r="N66" i="27"/>
  <c r="N277" i="27"/>
  <c r="N145" i="27"/>
  <c r="N151" i="27"/>
  <c r="N120" i="27"/>
  <c r="N157" i="27"/>
  <c r="N162" i="27"/>
  <c r="N158" i="27"/>
  <c r="N129" i="27"/>
  <c r="N92" i="27"/>
  <c r="N131" i="27"/>
  <c r="N220" i="27"/>
  <c r="N98" i="27"/>
  <c r="N136" i="27"/>
  <c r="N155" i="27"/>
  <c r="N104" i="27"/>
  <c r="N179" i="27"/>
  <c r="N141" i="27"/>
  <c r="N122" i="27"/>
  <c r="N75" i="27"/>
  <c r="N172" i="27"/>
  <c r="N289" i="27"/>
  <c r="N83" i="27"/>
  <c r="N200" i="27"/>
  <c r="N202" i="27"/>
  <c r="N87" i="27"/>
  <c r="N176" i="27"/>
  <c r="N203" i="27"/>
  <c r="N167" i="27"/>
  <c r="N103" i="27"/>
  <c r="N127" i="27"/>
  <c r="N150" i="27"/>
  <c r="N26" i="27"/>
  <c r="N219" i="27"/>
  <c r="N154" i="27"/>
  <c r="N156" i="27"/>
  <c r="N113" i="27"/>
  <c r="N166" i="27"/>
  <c r="N160" i="27"/>
  <c r="N188" i="27"/>
  <c r="N175" i="27"/>
  <c r="N138" i="27"/>
  <c r="N169" i="27"/>
  <c r="N187" i="27"/>
  <c r="N163" i="27"/>
  <c r="N173" i="27"/>
  <c r="N164" i="27"/>
  <c r="N191" i="27"/>
  <c r="N282" i="27"/>
  <c r="N204" i="27"/>
  <c r="N236" i="27" l="1"/>
  <c r="O236" i="27" s="1"/>
  <c r="N233" i="27"/>
  <c r="O233" i="27" s="1"/>
  <c r="N234" i="27"/>
  <c r="O234" i="27" s="1"/>
  <c r="O237" i="27"/>
  <c r="O238" i="27"/>
  <c r="O221" i="27"/>
  <c r="O259" i="27"/>
  <c r="O278" i="27"/>
  <c r="O235" i="27"/>
  <c r="O232" i="27"/>
  <c r="O27" i="27"/>
  <c r="H236" i="27"/>
  <c r="AH236" i="27" s="1"/>
  <c r="H235" i="27"/>
  <c r="AH235" i="27" s="1"/>
  <c r="H234" i="27"/>
  <c r="AH234" i="27" s="1"/>
  <c r="AG237" i="27"/>
  <c r="V237" i="27"/>
  <c r="T237" i="27"/>
  <c r="R237" i="27"/>
  <c r="H237" i="27"/>
  <c r="AH237" i="27" l="1"/>
  <c r="H27" i="27"/>
  <c r="AH27" i="27" s="1"/>
  <c r="AG27" i="27"/>
  <c r="H226" i="27"/>
  <c r="R226" i="27"/>
  <c r="V226" i="27"/>
  <c r="AG226" i="27"/>
  <c r="AG282" i="27" l="1"/>
  <c r="R221" i="27"/>
  <c r="AG258" i="27"/>
  <c r="AG260" i="27"/>
  <c r="AG290" i="27"/>
  <c r="H240" i="27" l="1"/>
  <c r="R240" i="27"/>
  <c r="R228" i="27"/>
  <c r="R11" i="27"/>
  <c r="R92" i="27"/>
  <c r="R98" i="27"/>
  <c r="R122" i="27"/>
  <c r="AG92" i="27"/>
  <c r="AG11" i="27"/>
  <c r="AG98" i="27"/>
  <c r="AG240" i="27"/>
  <c r="AG228" i="27"/>
  <c r="AG122" i="27"/>
  <c r="H221" i="27"/>
  <c r="AG221" i="27"/>
  <c r="AG191" i="27" l="1"/>
  <c r="T191" i="27"/>
  <c r="R191" i="27"/>
  <c r="AG164" i="27"/>
  <c r="T164" i="27"/>
  <c r="R164" i="27"/>
  <c r="AG173" i="27"/>
  <c r="T173" i="27"/>
  <c r="R173" i="27"/>
  <c r="AG163" i="27"/>
  <c r="R163" i="27"/>
  <c r="AG187" i="27"/>
  <c r="R187" i="27"/>
  <c r="AG169" i="27"/>
  <c r="R169" i="27"/>
  <c r="AG138" i="27"/>
  <c r="R138" i="27"/>
  <c r="AG175" i="27"/>
  <c r="T175" i="27"/>
  <c r="R175" i="27"/>
  <c r="AG188" i="27"/>
  <c r="T188" i="27"/>
  <c r="R188" i="27"/>
  <c r="AG160" i="27"/>
  <c r="R160" i="27"/>
  <c r="AG166" i="27"/>
  <c r="T166" i="27"/>
  <c r="R166" i="27"/>
  <c r="AG113" i="27"/>
  <c r="V113" i="27"/>
  <c r="T113" i="27"/>
  <c r="R113" i="27"/>
  <c r="AG156" i="27"/>
  <c r="V156" i="27"/>
  <c r="T156" i="27"/>
  <c r="R156" i="27"/>
  <c r="AG154" i="27"/>
  <c r="V154" i="27"/>
  <c r="T154" i="27"/>
  <c r="R154" i="27"/>
  <c r="AG219" i="27"/>
  <c r="V219" i="27"/>
  <c r="T219" i="27"/>
  <c r="R219" i="27"/>
  <c r="AG26" i="27"/>
  <c r="R26" i="27"/>
  <c r="AG150" i="27"/>
  <c r="V150" i="27"/>
  <c r="T150" i="27"/>
  <c r="R150" i="27"/>
  <c r="AG127" i="27"/>
  <c r="R127" i="27"/>
  <c r="AG103" i="27"/>
  <c r="R103" i="27"/>
  <c r="AG167" i="27"/>
  <c r="T167" i="27"/>
  <c r="R167" i="27"/>
  <c r="AG203" i="27"/>
  <c r="R203" i="27"/>
  <c r="AG16" i="27"/>
  <c r="V16" i="27"/>
  <c r="R16" i="27"/>
  <c r="AG176" i="27"/>
  <c r="R176" i="27"/>
  <c r="AG87" i="27"/>
  <c r="R87" i="27"/>
  <c r="AG202" i="27"/>
  <c r="V202" i="27"/>
  <c r="T202" i="27"/>
  <c r="R202" i="27"/>
  <c r="AG200" i="27"/>
  <c r="R200" i="27"/>
  <c r="AG83" i="27"/>
  <c r="T83" i="27"/>
  <c r="R83" i="27"/>
  <c r="AG289" i="27"/>
  <c r="T289" i="27"/>
  <c r="R289" i="27"/>
  <c r="AG172" i="27"/>
  <c r="T172" i="27"/>
  <c r="R172" i="27"/>
  <c r="AG75" i="27"/>
  <c r="V75" i="27"/>
  <c r="R75" i="27"/>
  <c r="AG141" i="27"/>
  <c r="R141" i="27"/>
  <c r="AG179" i="27"/>
  <c r="R179" i="27"/>
  <c r="AG104" i="27"/>
  <c r="V104" i="27"/>
  <c r="R104" i="27"/>
  <c r="AG136" i="27"/>
  <c r="T136" i="27"/>
  <c r="R136" i="27"/>
  <c r="AG155" i="27"/>
  <c r="T155" i="27"/>
  <c r="R155" i="27"/>
  <c r="AG220" i="27"/>
  <c r="V220" i="27"/>
  <c r="T220" i="27"/>
  <c r="R220" i="27"/>
  <c r="AG131" i="27"/>
  <c r="T131" i="27"/>
  <c r="R131" i="27"/>
  <c r="AG129" i="27"/>
  <c r="T129" i="27"/>
  <c r="R129" i="27"/>
  <c r="AG158" i="27"/>
  <c r="R158" i="27"/>
  <c r="AG162" i="27"/>
  <c r="R162" i="27"/>
  <c r="AG120" i="27"/>
  <c r="R120" i="27"/>
  <c r="AG151" i="27"/>
  <c r="R151" i="27"/>
  <c r="AG145" i="27"/>
  <c r="R145" i="27"/>
  <c r="AG277" i="27"/>
  <c r="T277" i="27"/>
  <c r="R277" i="27"/>
  <c r="AG157" i="27"/>
  <c r="R157" i="27"/>
  <c r="AG66" i="27"/>
  <c r="V66" i="27"/>
  <c r="T66" i="27"/>
  <c r="R66" i="27"/>
  <c r="AG117" i="27"/>
  <c r="R117" i="27"/>
  <c r="AG89" i="27"/>
  <c r="V89" i="27"/>
  <c r="R89" i="27"/>
  <c r="AG284" i="27"/>
  <c r="T284" i="27"/>
  <c r="R284" i="27"/>
  <c r="AG195" i="27"/>
  <c r="R195" i="27"/>
  <c r="AG201" i="27"/>
  <c r="R201" i="27"/>
  <c r="AG199" i="27"/>
  <c r="R199" i="27"/>
  <c r="AG170" i="27"/>
  <c r="R170" i="27"/>
  <c r="AG93" i="27"/>
  <c r="R93" i="27"/>
  <c r="AG218" i="27"/>
  <c r="V218" i="27"/>
  <c r="R218" i="27"/>
  <c r="AG101" i="27"/>
  <c r="R101" i="27"/>
  <c r="AG97" i="27"/>
  <c r="V97" i="27"/>
  <c r="T97" i="27"/>
  <c r="R97" i="27"/>
  <c r="AG198" i="27"/>
  <c r="V198" i="27"/>
  <c r="T198" i="27"/>
  <c r="R198" i="27"/>
  <c r="AG272" i="27"/>
  <c r="V272" i="27"/>
  <c r="R272" i="27"/>
  <c r="AG99" i="27"/>
  <c r="R99" i="27"/>
  <c r="AG279" i="27"/>
  <c r="V279" i="27"/>
  <c r="T279" i="27"/>
  <c r="R279" i="27"/>
  <c r="AG91" i="27"/>
  <c r="V91" i="27"/>
  <c r="T91" i="27"/>
  <c r="R91" i="27"/>
  <c r="AG71" i="27"/>
  <c r="V71" i="27"/>
  <c r="T71" i="27"/>
  <c r="R71" i="27"/>
  <c r="AG286" i="27"/>
  <c r="V286" i="27"/>
  <c r="R286" i="27"/>
  <c r="AG217" i="27"/>
  <c r="V217" i="27"/>
  <c r="T217" i="27"/>
  <c r="R217" i="27"/>
  <c r="AG95" i="27"/>
  <c r="T95" i="27"/>
  <c r="R95" i="27"/>
  <c r="AG168" i="27"/>
  <c r="T168" i="27"/>
  <c r="R168" i="27"/>
  <c r="AG209" i="27"/>
  <c r="V209" i="27"/>
  <c r="R209" i="27"/>
  <c r="AG123" i="27"/>
  <c r="R123" i="27"/>
  <c r="AG111" i="27"/>
  <c r="R111" i="27"/>
  <c r="AG108" i="27"/>
  <c r="V108" i="27"/>
  <c r="R108" i="27"/>
  <c r="AG149" i="27"/>
  <c r="R149" i="27"/>
  <c r="AG69" i="27"/>
  <c r="V69" i="27"/>
  <c r="R69" i="27"/>
  <c r="AG265" i="27"/>
  <c r="V265" i="27"/>
  <c r="R265" i="27"/>
  <c r="AG276" i="27"/>
  <c r="V276" i="27"/>
  <c r="R276" i="27"/>
  <c r="AG65" i="27"/>
  <c r="V65" i="27"/>
  <c r="R65" i="27"/>
  <c r="AG193" i="27"/>
  <c r="V193" i="27"/>
  <c r="R193" i="27"/>
  <c r="AG85" i="27"/>
  <c r="R85" i="27"/>
  <c r="AG216" i="27"/>
  <c r="V216" i="27"/>
  <c r="T216" i="27"/>
  <c r="R216" i="27"/>
  <c r="AG114" i="27"/>
  <c r="V114" i="27"/>
  <c r="R114" i="27"/>
  <c r="AG133" i="27"/>
  <c r="V133" i="27"/>
  <c r="R133" i="27"/>
  <c r="AG213" i="27"/>
  <c r="V213" i="27"/>
  <c r="T213" i="27"/>
  <c r="R213" i="27"/>
  <c r="AG212" i="27"/>
  <c r="V212" i="27"/>
  <c r="T212" i="27"/>
  <c r="R212" i="27"/>
  <c r="AG76" i="27"/>
  <c r="V76" i="27"/>
  <c r="R76" i="27"/>
  <c r="AG288" i="27"/>
  <c r="R288" i="27"/>
  <c r="AG78" i="27"/>
  <c r="V78" i="27"/>
  <c r="R78" i="27"/>
  <c r="AG180" i="27"/>
  <c r="R180" i="27"/>
  <c r="AG77" i="27"/>
  <c r="V77" i="27"/>
  <c r="R77" i="27"/>
  <c r="AG96" i="27"/>
  <c r="V96" i="27"/>
  <c r="R96" i="27"/>
  <c r="AG105" i="27"/>
  <c r="V105" i="27"/>
  <c r="R105" i="27"/>
  <c r="AG285" i="27"/>
  <c r="V285" i="27"/>
  <c r="R285" i="27"/>
  <c r="AG63" i="27"/>
  <c r="T63" i="27"/>
  <c r="R63" i="27"/>
  <c r="AG84" i="27"/>
  <c r="R84" i="27"/>
  <c r="AG211" i="27"/>
  <c r="V211" i="27"/>
  <c r="T211" i="27"/>
  <c r="R211" i="27"/>
  <c r="AG263" i="27"/>
  <c r="V263" i="27"/>
  <c r="R263" i="27"/>
  <c r="AG82" i="27"/>
  <c r="R82" i="27"/>
  <c r="AG41" i="27"/>
  <c r="R41" i="27"/>
  <c r="AG67" i="27"/>
  <c r="R67" i="27"/>
  <c r="AG7" i="27"/>
  <c r="V7" i="27"/>
  <c r="R7" i="27"/>
  <c r="AG190" i="27"/>
  <c r="V190" i="27"/>
  <c r="R190" i="27"/>
  <c r="AG68" i="27"/>
  <c r="R68" i="27"/>
  <c r="AG79" i="27"/>
  <c r="V79" i="27"/>
  <c r="R79" i="27"/>
  <c r="AG21" i="27"/>
  <c r="V21" i="27"/>
  <c r="R21" i="27"/>
  <c r="AG60" i="27"/>
  <c r="V60" i="27"/>
  <c r="R60" i="27"/>
  <c r="AG102" i="27"/>
  <c r="R102" i="27"/>
  <c r="AG210" i="27"/>
  <c r="V210" i="27"/>
  <c r="T210" i="27"/>
  <c r="R210" i="27"/>
  <c r="AG274" i="27"/>
  <c r="V274" i="27"/>
  <c r="R274" i="27"/>
  <c r="AG81" i="27"/>
  <c r="V81" i="27"/>
  <c r="R81" i="27"/>
  <c r="AG214" i="27"/>
  <c r="V214" i="27"/>
  <c r="T214" i="27"/>
  <c r="R214" i="27"/>
  <c r="AG186" i="27"/>
  <c r="V186" i="27"/>
  <c r="R186" i="27"/>
  <c r="AG287" i="27"/>
  <c r="V287" i="27"/>
  <c r="R287" i="27"/>
  <c r="AG192" i="27"/>
  <c r="V192" i="27"/>
  <c r="R192" i="27"/>
  <c r="AG273" i="27"/>
  <c r="V273" i="27"/>
  <c r="T273" i="27"/>
  <c r="R273" i="27"/>
  <c r="H273" i="27"/>
  <c r="AG20" i="27"/>
  <c r="R20" i="27"/>
  <c r="AG207" i="27"/>
  <c r="V207" i="27"/>
  <c r="R207" i="27"/>
  <c r="AG184" i="27"/>
  <c r="V184" i="27"/>
  <c r="R184" i="27"/>
  <c r="H184" i="27"/>
  <c r="AG23" i="27"/>
  <c r="V23" i="27"/>
  <c r="R23" i="27"/>
  <c r="AG189" i="27"/>
  <c r="V189" i="27"/>
  <c r="R189" i="27"/>
  <c r="H189" i="27"/>
  <c r="AG243" i="27"/>
  <c r="V243" i="27"/>
  <c r="R243" i="27"/>
  <c r="AG264" i="27"/>
  <c r="V264" i="27"/>
  <c r="R264" i="27"/>
  <c r="AG251" i="27"/>
  <c r="V251" i="27"/>
  <c r="R251" i="27"/>
  <c r="AG269" i="27"/>
  <c r="V269" i="27"/>
  <c r="R269" i="27"/>
  <c r="H269" i="27"/>
  <c r="AG18" i="27"/>
  <c r="R18" i="27"/>
  <c r="AG267" i="27"/>
  <c r="V267" i="27"/>
  <c r="T267" i="27"/>
  <c r="R267" i="27"/>
  <c r="H267" i="27"/>
  <c r="AG19" i="27"/>
  <c r="V19" i="27"/>
  <c r="R19" i="27"/>
  <c r="AG253" i="27"/>
  <c r="R253" i="27"/>
  <c r="AG185" i="27"/>
  <c r="V185" i="27"/>
  <c r="R185" i="27"/>
  <c r="AG268" i="27"/>
  <c r="R268" i="27"/>
  <c r="AG208" i="27"/>
  <c r="V208" i="27"/>
  <c r="R208" i="27"/>
  <c r="AG261" i="27"/>
  <c r="V261" i="27"/>
  <c r="R261" i="27"/>
  <c r="H261" i="27"/>
  <c r="AG110" i="27"/>
  <c r="V110" i="27"/>
  <c r="R110" i="27"/>
  <c r="AG45" i="27"/>
  <c r="V45" i="27"/>
  <c r="R45" i="27"/>
  <c r="AG37" i="27"/>
  <c r="V37" i="27"/>
  <c r="R37" i="27"/>
  <c r="AG182" i="27"/>
  <c r="V182" i="27"/>
  <c r="R182" i="27"/>
  <c r="AG194" i="27"/>
  <c r="R194" i="27"/>
  <c r="AG250" i="27"/>
  <c r="V250" i="27"/>
  <c r="R250" i="27"/>
  <c r="AG178" i="27"/>
  <c r="V178" i="27"/>
  <c r="R178" i="27"/>
  <c r="H178" i="27"/>
  <c r="AG259" i="27"/>
  <c r="V259" i="27"/>
  <c r="R259" i="27"/>
  <c r="AG256" i="27"/>
  <c r="V256" i="27"/>
  <c r="R256" i="27"/>
  <c r="H256" i="27"/>
  <c r="AG255" i="27"/>
  <c r="V255" i="27"/>
  <c r="R255" i="27"/>
  <c r="H255" i="27"/>
  <c r="AG257" i="27"/>
  <c r="V257" i="27"/>
  <c r="R257" i="27"/>
  <c r="H257" i="27"/>
  <c r="AG254" i="27"/>
  <c r="V254" i="27"/>
  <c r="R254" i="27"/>
  <c r="AG177" i="27"/>
  <c r="V177" i="27"/>
  <c r="R177" i="27"/>
  <c r="AG245" i="27"/>
  <c r="V245" i="27"/>
  <c r="R245" i="27"/>
  <c r="H245" i="27"/>
  <c r="AG24" i="27"/>
  <c r="R24" i="27"/>
  <c r="H24" i="27"/>
  <c r="AH24" i="27" s="1"/>
  <c r="AG283" i="27"/>
  <c r="V283" i="27"/>
  <c r="R283" i="27"/>
  <c r="H283" i="27"/>
  <c r="AG146" i="27"/>
  <c r="R146" i="27"/>
  <c r="AG9" i="27"/>
  <c r="V9" i="27"/>
  <c r="R9" i="27"/>
  <c r="H9" i="27"/>
  <c r="AG248" i="27"/>
  <c r="V248" i="27"/>
  <c r="R248" i="27"/>
  <c r="H248" i="27"/>
  <c r="AG249" i="27"/>
  <c r="V249" i="27"/>
  <c r="R249" i="27"/>
  <c r="H249" i="27"/>
  <c r="H290" i="27"/>
  <c r="V260" i="27"/>
  <c r="R260" i="27"/>
  <c r="H260" i="27"/>
  <c r="V258" i="27"/>
  <c r="R258" i="27"/>
  <c r="H258" i="27"/>
  <c r="AG278" i="27"/>
  <c r="T278" i="27"/>
  <c r="AG238" i="27"/>
  <c r="V238" i="27"/>
  <c r="T238" i="27"/>
  <c r="R238" i="27"/>
  <c r="H238" i="27"/>
  <c r="AG232" i="27"/>
  <c r="V232" i="27"/>
  <c r="T232" i="27"/>
  <c r="R232" i="27"/>
  <c r="H232" i="27"/>
  <c r="AG2" i="27"/>
  <c r="V2" i="27"/>
  <c r="R2" i="27"/>
  <c r="H2" i="27"/>
  <c r="AG233" i="27"/>
  <c r="V233" i="27"/>
  <c r="T233" i="27"/>
  <c r="R233" i="27"/>
  <c r="H233" i="27"/>
  <c r="AH154" i="27" l="1"/>
  <c r="AH113" i="27"/>
  <c r="AH232" i="27"/>
  <c r="AH71" i="27"/>
  <c r="AH273" i="27"/>
  <c r="AH238" i="27"/>
  <c r="AH213" i="27"/>
  <c r="AH279" i="27"/>
  <c r="AH66" i="27"/>
  <c r="AH217" i="27"/>
  <c r="AH198" i="27"/>
  <c r="AH220" i="27"/>
  <c r="AH202" i="27"/>
  <c r="AH233" i="27"/>
  <c r="AH267" i="27"/>
  <c r="AH216" i="27"/>
  <c r="AH219" i="27"/>
  <c r="AH156" i="27"/>
  <c r="AH212" i="27"/>
  <c r="AH91" i="27"/>
  <c r="AH214" i="27"/>
  <c r="AH210" i="27"/>
  <c r="AH211" i="27"/>
  <c r="AH97" i="27"/>
  <c r="AH150" i="27"/>
  <c r="S223" i="26"/>
  <c r="R223" i="26"/>
  <c r="H223" i="26"/>
  <c r="H222" i="26" s="1"/>
  <c r="G223" i="26"/>
  <c r="S222" i="26"/>
  <c r="R222" i="26"/>
  <c r="G222" i="26"/>
  <c r="R221" i="26"/>
  <c r="M221" i="26"/>
  <c r="K221" i="26"/>
  <c r="G221" i="26"/>
  <c r="R220" i="26"/>
  <c r="M220" i="26"/>
  <c r="K220" i="26"/>
  <c r="G220" i="26"/>
  <c r="R219" i="26"/>
  <c r="M219" i="26"/>
  <c r="K219" i="26"/>
  <c r="R218" i="26"/>
  <c r="K218" i="26"/>
  <c r="G218" i="26"/>
  <c r="R217" i="26"/>
  <c r="K217" i="26"/>
  <c r="G217" i="26"/>
  <c r="R216" i="26"/>
  <c r="K216" i="26"/>
  <c r="G216" i="26"/>
  <c r="R215" i="26"/>
  <c r="K215" i="26"/>
  <c r="G215" i="26"/>
  <c r="R214" i="26"/>
  <c r="M214" i="26"/>
  <c r="K214" i="26"/>
  <c r="G214" i="26"/>
  <c r="R213" i="26"/>
  <c r="M213" i="26"/>
  <c r="K213" i="26"/>
  <c r="G213" i="26"/>
  <c r="R212" i="26"/>
  <c r="M212" i="26"/>
  <c r="K212" i="26"/>
  <c r="G212" i="26"/>
  <c r="R211" i="26"/>
  <c r="K211" i="26"/>
  <c r="G211" i="26"/>
  <c r="R210" i="26"/>
  <c r="M210" i="26"/>
  <c r="K210" i="26"/>
  <c r="G210" i="26"/>
  <c r="R209" i="26"/>
  <c r="O209" i="26"/>
  <c r="M209" i="26"/>
  <c r="K209" i="26"/>
  <c r="G209" i="26"/>
  <c r="R208" i="26"/>
  <c r="O208" i="26"/>
  <c r="M208" i="26"/>
  <c r="K208" i="26"/>
  <c r="G208" i="26"/>
  <c r="R207" i="26"/>
  <c r="O207" i="26"/>
  <c r="M207" i="26"/>
  <c r="K207" i="26"/>
  <c r="G207" i="26"/>
  <c r="R206" i="26"/>
  <c r="M206" i="26"/>
  <c r="K206" i="26"/>
  <c r="G206" i="26"/>
  <c r="R205" i="26"/>
  <c r="M205" i="26"/>
  <c r="K205" i="26"/>
  <c r="G205" i="26"/>
  <c r="R204" i="26"/>
  <c r="O204" i="26"/>
  <c r="M204" i="26"/>
  <c r="K204" i="26"/>
  <c r="G204" i="26"/>
  <c r="R203" i="26"/>
  <c r="M203" i="26"/>
  <c r="K203" i="26"/>
  <c r="G203" i="26"/>
  <c r="R202" i="26"/>
  <c r="O202" i="26"/>
  <c r="M202" i="26"/>
  <c r="K202" i="26"/>
  <c r="G202" i="26"/>
  <c r="R201" i="26"/>
  <c r="K201" i="26"/>
  <c r="G201" i="26"/>
  <c r="R200" i="26"/>
  <c r="K200" i="26"/>
  <c r="G200" i="26"/>
  <c r="R199" i="26"/>
  <c r="M199" i="26"/>
  <c r="K199" i="26"/>
  <c r="G199" i="26"/>
  <c r="R198" i="26"/>
  <c r="M198" i="26"/>
  <c r="K198" i="26"/>
  <c r="G198" i="26"/>
  <c r="R197" i="26"/>
  <c r="K197" i="26"/>
  <c r="G197" i="26"/>
  <c r="R196" i="26"/>
  <c r="K196" i="26"/>
  <c r="G196" i="26"/>
  <c r="R195" i="26"/>
  <c r="K195" i="26"/>
  <c r="G195" i="26"/>
  <c r="R194" i="26"/>
  <c r="K194" i="26"/>
  <c r="G194" i="26"/>
  <c r="R193" i="26"/>
  <c r="O193" i="26"/>
  <c r="M193" i="26"/>
  <c r="K193" i="26"/>
  <c r="G193" i="26"/>
  <c r="R192" i="26"/>
  <c r="M192" i="26"/>
  <c r="K192" i="26"/>
  <c r="G192" i="26"/>
  <c r="R191" i="26"/>
  <c r="K191" i="26"/>
  <c r="G191" i="26"/>
  <c r="R190" i="26"/>
  <c r="M190" i="26"/>
  <c r="K190" i="26"/>
  <c r="G190" i="26"/>
  <c r="R189" i="26"/>
  <c r="M189" i="26"/>
  <c r="K189" i="26"/>
  <c r="G189" i="26"/>
  <c r="R188" i="26"/>
  <c r="M188" i="26"/>
  <c r="K188" i="26"/>
  <c r="G188" i="26"/>
  <c r="R187" i="26"/>
  <c r="O187" i="26"/>
  <c r="K187" i="26"/>
  <c r="G187" i="26"/>
  <c r="R186" i="26"/>
  <c r="M186" i="26"/>
  <c r="K186" i="26"/>
  <c r="G186" i="26"/>
  <c r="R185" i="26"/>
  <c r="M185" i="26"/>
  <c r="K185" i="26"/>
  <c r="G185" i="26"/>
  <c r="R184" i="26"/>
  <c r="O184" i="26"/>
  <c r="K184" i="26"/>
  <c r="G184" i="26"/>
  <c r="R183" i="26"/>
  <c r="O183" i="26"/>
  <c r="K183" i="26"/>
  <c r="G183" i="26"/>
  <c r="R182" i="26"/>
  <c r="M182" i="26"/>
  <c r="K182" i="26"/>
  <c r="G182" i="26"/>
  <c r="R181" i="26"/>
  <c r="M181" i="26"/>
  <c r="K181" i="26"/>
  <c r="G181" i="26"/>
  <c r="R180" i="26"/>
  <c r="O180" i="26"/>
  <c r="M180" i="26"/>
  <c r="K180" i="26"/>
  <c r="G180" i="26"/>
  <c r="R179" i="26"/>
  <c r="K179" i="26"/>
  <c r="G179" i="26"/>
  <c r="R178" i="26"/>
  <c r="O178" i="26"/>
  <c r="K178" i="26"/>
  <c r="G178" i="26"/>
  <c r="R177" i="26"/>
  <c r="M177" i="26"/>
  <c r="K177" i="26"/>
  <c r="G177" i="26"/>
  <c r="R176" i="26"/>
  <c r="M176" i="26"/>
  <c r="K176" i="26"/>
  <c r="G176" i="26"/>
  <c r="R175" i="26"/>
  <c r="K175" i="26"/>
  <c r="G175" i="26"/>
  <c r="R174" i="26"/>
  <c r="K174" i="26"/>
  <c r="G174" i="26"/>
  <c r="R173" i="26"/>
  <c r="K173" i="26"/>
  <c r="G173" i="26"/>
  <c r="R172" i="26"/>
  <c r="K172" i="26"/>
  <c r="G172" i="26"/>
  <c r="R171" i="26"/>
  <c r="K171" i="26"/>
  <c r="G171" i="26"/>
  <c r="R170" i="26"/>
  <c r="K170" i="26"/>
  <c r="G170" i="26"/>
  <c r="R169" i="26"/>
  <c r="K169" i="26"/>
  <c r="G169" i="26"/>
  <c r="R168" i="26"/>
  <c r="M168" i="26"/>
  <c r="K168" i="26"/>
  <c r="G168" i="26"/>
  <c r="R167" i="26"/>
  <c r="K167" i="26"/>
  <c r="G167" i="26"/>
  <c r="R166" i="26"/>
  <c r="O166" i="26"/>
  <c r="M166" i="26"/>
  <c r="K166" i="26"/>
  <c r="G166" i="26"/>
  <c r="R165" i="26"/>
  <c r="K165" i="26"/>
  <c r="G165" i="26"/>
  <c r="R164" i="26"/>
  <c r="O164" i="26"/>
  <c r="K164" i="26"/>
  <c r="G164" i="26"/>
  <c r="R163" i="26"/>
  <c r="M163" i="26"/>
  <c r="K163" i="26"/>
  <c r="G163" i="26"/>
  <c r="R162" i="26"/>
  <c r="O162" i="26"/>
  <c r="K162" i="26"/>
  <c r="G162" i="26"/>
  <c r="R161" i="26"/>
  <c r="O161" i="26"/>
  <c r="K161" i="26"/>
  <c r="G161" i="26"/>
  <c r="R160" i="26"/>
  <c r="O160" i="26"/>
  <c r="K160" i="26"/>
  <c r="G160" i="26"/>
  <c r="R159" i="26"/>
  <c r="K159" i="26"/>
  <c r="G159" i="26"/>
  <c r="R158" i="26"/>
  <c r="K158" i="26"/>
  <c r="G158" i="26"/>
  <c r="R157" i="26"/>
  <c r="O157" i="26"/>
  <c r="K157" i="26"/>
  <c r="G157" i="26"/>
  <c r="R156" i="26"/>
  <c r="K156" i="26"/>
  <c r="G156" i="26"/>
  <c r="R155" i="26"/>
  <c r="O155" i="26"/>
  <c r="M155" i="26"/>
  <c r="K155" i="26"/>
  <c r="G155" i="26"/>
  <c r="R154" i="26"/>
  <c r="O154" i="26"/>
  <c r="M154" i="26"/>
  <c r="K154" i="26"/>
  <c r="G154" i="26"/>
  <c r="R153" i="26"/>
  <c r="O153" i="26"/>
  <c r="M153" i="26"/>
  <c r="K153" i="26"/>
  <c r="G153" i="26"/>
  <c r="R152" i="26"/>
  <c r="K152" i="26"/>
  <c r="G152" i="26"/>
  <c r="R151" i="26"/>
  <c r="K151" i="26"/>
  <c r="G151" i="26"/>
  <c r="R150" i="26"/>
  <c r="K150" i="26"/>
  <c r="G150" i="26"/>
  <c r="R149" i="26"/>
  <c r="K149" i="26"/>
  <c r="G149" i="26"/>
  <c r="R148" i="26"/>
  <c r="O148" i="26"/>
  <c r="M148" i="26"/>
  <c r="K148" i="26"/>
  <c r="G148" i="26"/>
  <c r="R147" i="26"/>
  <c r="O147" i="26"/>
  <c r="M147" i="26"/>
  <c r="K147" i="26"/>
  <c r="G147" i="26"/>
  <c r="R146" i="26"/>
  <c r="O146" i="26"/>
  <c r="M146" i="26"/>
  <c r="K146" i="26"/>
  <c r="G146" i="26"/>
  <c r="R145" i="26"/>
  <c r="O145" i="26"/>
  <c r="K145" i="26"/>
  <c r="G145" i="26"/>
  <c r="R144" i="26"/>
  <c r="O144" i="26"/>
  <c r="M144" i="26"/>
  <c r="K144" i="26"/>
  <c r="G144" i="26"/>
  <c r="R143" i="26"/>
  <c r="M143" i="26"/>
  <c r="K143" i="26"/>
  <c r="G143" i="26"/>
  <c r="R142" i="26"/>
  <c r="M142" i="26"/>
  <c r="K142" i="26"/>
  <c r="G142" i="26"/>
  <c r="R141" i="26"/>
  <c r="M141" i="26"/>
  <c r="K141" i="26"/>
  <c r="G141" i="26"/>
  <c r="R140" i="26"/>
  <c r="M140" i="26"/>
  <c r="K140" i="26"/>
  <c r="G140" i="26"/>
  <c r="R139" i="26"/>
  <c r="M139" i="26"/>
  <c r="K139" i="26"/>
  <c r="G139" i="26"/>
  <c r="R138" i="26"/>
  <c r="O138" i="26"/>
  <c r="K138" i="26"/>
  <c r="G138" i="26"/>
  <c r="R137" i="26"/>
  <c r="K137" i="26"/>
  <c r="G137" i="26"/>
  <c r="R136" i="26"/>
  <c r="K136" i="26"/>
  <c r="G136" i="26"/>
  <c r="R135" i="26"/>
  <c r="O135" i="26"/>
  <c r="K135" i="26"/>
  <c r="G135" i="26"/>
  <c r="R134" i="26"/>
  <c r="O134" i="26"/>
  <c r="K134" i="26"/>
  <c r="G134" i="26"/>
  <c r="R133" i="26"/>
  <c r="O133" i="26"/>
  <c r="K133" i="26"/>
  <c r="G133" i="26"/>
  <c r="R132" i="26"/>
  <c r="K132" i="26"/>
  <c r="G132" i="26"/>
  <c r="R131" i="26"/>
  <c r="K131" i="26"/>
  <c r="G131" i="26"/>
  <c r="R130" i="26"/>
  <c r="O130" i="26"/>
  <c r="M130" i="26"/>
  <c r="K130" i="26"/>
  <c r="G130" i="26"/>
  <c r="R129" i="26"/>
  <c r="O129" i="26"/>
  <c r="M129" i="26"/>
  <c r="K129" i="26"/>
  <c r="G129" i="26"/>
  <c r="R128" i="26"/>
  <c r="O128" i="26"/>
  <c r="K128" i="26"/>
  <c r="G128" i="26"/>
  <c r="R127" i="26"/>
  <c r="O127" i="26"/>
  <c r="K127" i="26"/>
  <c r="G127" i="26"/>
  <c r="R126" i="26"/>
  <c r="O126" i="26"/>
  <c r="K126" i="26"/>
  <c r="G126" i="26"/>
  <c r="R125" i="26"/>
  <c r="O125" i="26"/>
  <c r="K125" i="26"/>
  <c r="G125" i="26"/>
  <c r="R124" i="26"/>
  <c r="K124" i="26"/>
  <c r="G124" i="26"/>
  <c r="R123" i="26"/>
  <c r="K123" i="26"/>
  <c r="G123" i="26"/>
  <c r="R122" i="26"/>
  <c r="O122" i="26"/>
  <c r="M122" i="26"/>
  <c r="K122" i="26"/>
  <c r="G122" i="26"/>
  <c r="R121" i="26"/>
  <c r="O121" i="26"/>
  <c r="M121" i="26"/>
  <c r="K121" i="26"/>
  <c r="G121" i="26"/>
  <c r="R120" i="26"/>
  <c r="O120" i="26"/>
  <c r="M120" i="26"/>
  <c r="K120" i="26"/>
  <c r="G120" i="26"/>
  <c r="R119" i="26"/>
  <c r="O119" i="26"/>
  <c r="M119" i="26"/>
  <c r="K119" i="26"/>
  <c r="G119" i="26"/>
  <c r="R118" i="26"/>
  <c r="O118" i="26"/>
  <c r="M118" i="26"/>
  <c r="K118" i="26"/>
  <c r="G118" i="26"/>
  <c r="R117" i="26"/>
  <c r="O117" i="26"/>
  <c r="M117" i="26"/>
  <c r="K117" i="26"/>
  <c r="G117" i="26"/>
  <c r="R116" i="26"/>
  <c r="O116" i="26"/>
  <c r="M116" i="26"/>
  <c r="K116" i="26"/>
  <c r="G116" i="26"/>
  <c r="R115" i="26"/>
  <c r="O115" i="26"/>
  <c r="K115" i="26"/>
  <c r="G115" i="26"/>
  <c r="R114" i="26"/>
  <c r="O114" i="26"/>
  <c r="K114" i="26"/>
  <c r="G114" i="26"/>
  <c r="R113" i="26"/>
  <c r="O113" i="26"/>
  <c r="K113" i="26"/>
  <c r="G113" i="26"/>
  <c r="R112" i="26"/>
  <c r="O112" i="26"/>
  <c r="K112" i="26"/>
  <c r="G112" i="26"/>
  <c r="R111" i="26"/>
  <c r="O111" i="26"/>
  <c r="K111" i="26"/>
  <c r="G111" i="26"/>
  <c r="R110" i="26"/>
  <c r="O110" i="26"/>
  <c r="K110" i="26"/>
  <c r="G110" i="26"/>
  <c r="R109" i="26"/>
  <c r="O109" i="26"/>
  <c r="K109" i="26"/>
  <c r="G109" i="26"/>
  <c r="R108" i="26"/>
  <c r="O108" i="26"/>
  <c r="K108" i="26"/>
  <c r="G108" i="26"/>
  <c r="R107" i="26"/>
  <c r="O107" i="26"/>
  <c r="K107" i="26"/>
  <c r="G107" i="26"/>
  <c r="R106" i="26"/>
  <c r="M106" i="26"/>
  <c r="K106" i="26"/>
  <c r="G106" i="26"/>
  <c r="R105" i="26"/>
  <c r="M105" i="26"/>
  <c r="K105" i="26"/>
  <c r="G105" i="26"/>
  <c r="R104" i="26"/>
  <c r="O104" i="26"/>
  <c r="M104" i="26"/>
  <c r="K104" i="26"/>
  <c r="G104" i="26"/>
  <c r="R103" i="26"/>
  <c r="O103" i="26"/>
  <c r="K103" i="26"/>
  <c r="G103" i="26"/>
  <c r="R102" i="26"/>
  <c r="K102" i="26"/>
  <c r="G102" i="26"/>
  <c r="R101" i="26"/>
  <c r="K101" i="26"/>
  <c r="G101" i="26"/>
  <c r="R100" i="26"/>
  <c r="K100" i="26"/>
  <c r="G100" i="26"/>
  <c r="R99" i="26"/>
  <c r="O99" i="26"/>
  <c r="K99" i="26"/>
  <c r="G99" i="26"/>
  <c r="R98" i="26"/>
  <c r="O98" i="26"/>
  <c r="K98" i="26"/>
  <c r="G98" i="26"/>
  <c r="R97" i="26"/>
  <c r="O97" i="26"/>
  <c r="K97" i="26"/>
  <c r="G97" i="26"/>
  <c r="R96" i="26"/>
  <c r="K96" i="26"/>
  <c r="G96" i="26"/>
  <c r="R95" i="26"/>
  <c r="K95" i="26"/>
  <c r="G95" i="26"/>
  <c r="R94" i="26"/>
  <c r="M94" i="26"/>
  <c r="K94" i="26"/>
  <c r="G94" i="26"/>
  <c r="R93" i="26"/>
  <c r="O93" i="26"/>
  <c r="K93" i="26"/>
  <c r="G93" i="26"/>
  <c r="R92" i="26"/>
  <c r="O92" i="26"/>
  <c r="K92" i="26"/>
  <c r="G92" i="26"/>
  <c r="R91" i="26"/>
  <c r="O91" i="26"/>
  <c r="K91" i="26"/>
  <c r="G91" i="26"/>
  <c r="R90" i="26"/>
  <c r="O90" i="26"/>
  <c r="K90" i="26"/>
  <c r="G90" i="26"/>
  <c r="R89" i="26"/>
  <c r="O89" i="26"/>
  <c r="K89" i="26"/>
  <c r="G89" i="26"/>
  <c r="R88" i="26"/>
  <c r="O88" i="26"/>
  <c r="M88" i="26"/>
  <c r="K88" i="26"/>
  <c r="G88" i="26"/>
  <c r="R87" i="26"/>
  <c r="O87" i="26"/>
  <c r="K87" i="26"/>
  <c r="G87" i="26"/>
  <c r="R86" i="26"/>
  <c r="O86" i="26"/>
  <c r="K86" i="26"/>
  <c r="G86" i="26"/>
  <c r="R85" i="26"/>
  <c r="O85" i="26"/>
  <c r="M85" i="26"/>
  <c r="K85" i="26"/>
  <c r="G85" i="26"/>
  <c r="R84" i="26"/>
  <c r="O84" i="26"/>
  <c r="K84" i="26"/>
  <c r="G84" i="26"/>
  <c r="R83" i="26"/>
  <c r="O83" i="26"/>
  <c r="K83" i="26"/>
  <c r="G83" i="26"/>
  <c r="R82" i="26"/>
  <c r="O82" i="26"/>
  <c r="K82" i="26"/>
  <c r="G82" i="26"/>
  <c r="R81" i="26"/>
  <c r="O81" i="26"/>
  <c r="K81" i="26"/>
  <c r="G81" i="26"/>
  <c r="R80" i="26"/>
  <c r="O80" i="26"/>
  <c r="M80" i="26"/>
  <c r="K80" i="26"/>
  <c r="G80" i="26"/>
  <c r="R79" i="26"/>
  <c r="K79" i="26"/>
  <c r="G79" i="26"/>
  <c r="R78" i="26"/>
  <c r="O78" i="26"/>
  <c r="K78" i="26"/>
  <c r="G78" i="26"/>
  <c r="R77" i="26"/>
  <c r="O77" i="26"/>
  <c r="K77" i="26"/>
  <c r="G77" i="26"/>
  <c r="R76" i="26"/>
  <c r="O76" i="26"/>
  <c r="K76" i="26"/>
  <c r="G76" i="26"/>
  <c r="R75" i="26"/>
  <c r="O75" i="26"/>
  <c r="K75" i="26"/>
  <c r="G75" i="26"/>
  <c r="R74" i="26"/>
  <c r="O74" i="26"/>
  <c r="K74" i="26"/>
  <c r="G74" i="26"/>
  <c r="R73" i="26"/>
  <c r="O73" i="26"/>
  <c r="K73" i="26"/>
  <c r="G73" i="26"/>
  <c r="R72" i="26"/>
  <c r="O72" i="26"/>
  <c r="K72" i="26"/>
  <c r="G72" i="26"/>
  <c r="R71" i="26"/>
  <c r="O71" i="26"/>
  <c r="K71" i="26"/>
  <c r="G71" i="26"/>
  <c r="R70" i="26"/>
  <c r="K70" i="26"/>
  <c r="G70" i="26"/>
  <c r="R69" i="26"/>
  <c r="O69" i="26"/>
  <c r="M69" i="26"/>
  <c r="K69" i="26"/>
  <c r="G69" i="26"/>
  <c r="R68" i="26"/>
  <c r="O68" i="26"/>
  <c r="K68" i="26"/>
  <c r="G68" i="26"/>
  <c r="R67" i="26"/>
  <c r="O67" i="26"/>
  <c r="K67" i="26"/>
  <c r="G67" i="26"/>
  <c r="R66" i="26"/>
  <c r="O66" i="26"/>
  <c r="K66" i="26"/>
  <c r="G66" i="26"/>
  <c r="R65" i="26"/>
  <c r="M65" i="26"/>
  <c r="K65" i="26"/>
  <c r="G65" i="26"/>
  <c r="R64" i="26"/>
  <c r="O64" i="26"/>
  <c r="K64" i="26"/>
  <c r="G64" i="26"/>
  <c r="R63" i="26"/>
  <c r="K63" i="26"/>
  <c r="G63" i="26"/>
  <c r="R62" i="26"/>
  <c r="O62" i="26"/>
  <c r="K62" i="26"/>
  <c r="G62" i="26"/>
  <c r="R61" i="26"/>
  <c r="O61" i="26"/>
  <c r="K61" i="26"/>
  <c r="G61" i="26"/>
  <c r="R60" i="26"/>
  <c r="O60" i="26"/>
  <c r="K60" i="26"/>
  <c r="G60" i="26"/>
  <c r="R59" i="26"/>
  <c r="O59" i="26"/>
  <c r="K59" i="26"/>
  <c r="G59" i="26"/>
  <c r="R58" i="26"/>
  <c r="O58" i="26"/>
  <c r="K58" i="26"/>
  <c r="G58" i="26"/>
  <c r="R57" i="26"/>
  <c r="O57" i="26"/>
  <c r="K57" i="26"/>
  <c r="G57" i="26"/>
  <c r="R56" i="26"/>
  <c r="O56" i="26"/>
  <c r="K56" i="26"/>
  <c r="G56" i="26"/>
  <c r="R55" i="26"/>
  <c r="O55" i="26"/>
  <c r="K55" i="26"/>
  <c r="G55" i="26"/>
  <c r="R54" i="26"/>
  <c r="O54" i="26"/>
  <c r="K54" i="26"/>
  <c r="G54" i="26"/>
  <c r="R53" i="26"/>
  <c r="O53" i="26"/>
  <c r="K53" i="26"/>
  <c r="G53" i="26"/>
  <c r="R52" i="26"/>
  <c r="O52" i="26"/>
  <c r="K52" i="26"/>
  <c r="G52" i="26"/>
  <c r="R51" i="26"/>
  <c r="O51" i="26"/>
  <c r="K51" i="26"/>
  <c r="G51" i="26"/>
  <c r="R50" i="26"/>
  <c r="O50" i="26"/>
  <c r="K50" i="26"/>
  <c r="G50" i="26"/>
  <c r="R49" i="26"/>
  <c r="O49" i="26"/>
  <c r="K49" i="26"/>
  <c r="G49" i="26"/>
  <c r="R48" i="26"/>
  <c r="O48" i="26"/>
  <c r="K48" i="26"/>
  <c r="G48" i="26"/>
  <c r="R47" i="26"/>
  <c r="O47" i="26"/>
  <c r="K47" i="26"/>
  <c r="G47" i="26"/>
  <c r="R46" i="26"/>
  <c r="O46" i="26"/>
  <c r="K46" i="26"/>
  <c r="G46" i="26"/>
  <c r="R45" i="26"/>
  <c r="O45" i="26"/>
  <c r="K45" i="26"/>
  <c r="G45" i="26"/>
  <c r="R44" i="26"/>
  <c r="O44" i="26"/>
  <c r="K44" i="26"/>
  <c r="G44" i="26"/>
  <c r="R43" i="26"/>
  <c r="O43" i="26"/>
  <c r="K43" i="26"/>
  <c r="G43" i="26"/>
  <c r="R42" i="26"/>
  <c r="O42" i="26"/>
  <c r="K42" i="26"/>
  <c r="G42" i="26"/>
  <c r="R41" i="26"/>
  <c r="O41" i="26"/>
  <c r="K41" i="26"/>
  <c r="G41" i="26"/>
  <c r="R40" i="26"/>
  <c r="O40" i="26"/>
  <c r="K40" i="26"/>
  <c r="G40" i="26"/>
  <c r="R39" i="26"/>
  <c r="O39" i="26"/>
  <c r="K39" i="26"/>
  <c r="G39" i="26"/>
  <c r="R38" i="26"/>
  <c r="O38" i="26"/>
  <c r="K38" i="26"/>
  <c r="G38" i="26"/>
  <c r="R37" i="26"/>
  <c r="O37" i="26"/>
  <c r="K37" i="26"/>
  <c r="G37" i="26"/>
  <c r="R36" i="26"/>
  <c r="O36" i="26"/>
  <c r="K36" i="26"/>
  <c r="G36" i="26"/>
  <c r="R35" i="26"/>
  <c r="O35" i="26"/>
  <c r="K35" i="26"/>
  <c r="G35" i="26"/>
  <c r="R34" i="26"/>
  <c r="O34" i="26"/>
  <c r="K34" i="26"/>
  <c r="G34" i="26"/>
  <c r="R33" i="26"/>
  <c r="O33" i="26"/>
  <c r="K33" i="26"/>
  <c r="G33" i="26"/>
  <c r="R32" i="26"/>
  <c r="O32" i="26"/>
  <c r="K32" i="26"/>
  <c r="G32" i="26"/>
  <c r="R31" i="26"/>
  <c r="O31" i="26"/>
  <c r="K31" i="26"/>
  <c r="G31" i="26"/>
  <c r="R30" i="26"/>
  <c r="O30" i="26"/>
  <c r="K30" i="26"/>
  <c r="G30" i="26"/>
  <c r="R29" i="26"/>
  <c r="K29" i="26"/>
  <c r="G29" i="26"/>
  <c r="S29" i="26" s="1"/>
  <c r="R28" i="26"/>
  <c r="K28" i="26"/>
  <c r="G28" i="26"/>
  <c r="S28" i="26" s="1"/>
  <c r="R27" i="26"/>
  <c r="K27" i="26"/>
  <c r="G27" i="26"/>
  <c r="S27" i="26" s="1"/>
  <c r="R26" i="26"/>
  <c r="O26" i="26"/>
  <c r="K26" i="26"/>
  <c r="G26" i="26"/>
  <c r="S26" i="26" s="1"/>
  <c r="R25" i="26"/>
  <c r="O25" i="26"/>
  <c r="K25" i="26"/>
  <c r="G25" i="26"/>
  <c r="S25" i="26" s="1"/>
  <c r="R24" i="26"/>
  <c r="O24" i="26"/>
  <c r="K24" i="26"/>
  <c r="G24" i="26"/>
  <c r="S24" i="26" s="1"/>
  <c r="R23" i="26"/>
  <c r="O23" i="26"/>
  <c r="K23" i="26"/>
  <c r="G23" i="26"/>
  <c r="S23" i="26" s="1"/>
  <c r="R22" i="26"/>
  <c r="O22" i="26"/>
  <c r="K22" i="26"/>
  <c r="G22" i="26"/>
  <c r="S22" i="26" s="1"/>
  <c r="R21" i="26"/>
  <c r="O21" i="26"/>
  <c r="K21" i="26"/>
  <c r="G21" i="26"/>
  <c r="S21" i="26" s="1"/>
  <c r="R20" i="26"/>
  <c r="O20" i="26"/>
  <c r="M20" i="26"/>
  <c r="K20" i="26"/>
  <c r="G20" i="26"/>
  <c r="S20" i="26" s="1"/>
  <c r="R19" i="26"/>
  <c r="O19" i="26"/>
  <c r="K19" i="26"/>
  <c r="G19" i="26"/>
  <c r="S19" i="26" s="1"/>
  <c r="R18" i="26"/>
  <c r="O18" i="26"/>
  <c r="K18" i="26"/>
  <c r="G18" i="26"/>
  <c r="S18" i="26" s="1"/>
  <c r="R17" i="26"/>
  <c r="O17" i="26"/>
  <c r="K17" i="26"/>
  <c r="G17" i="26"/>
  <c r="S17" i="26" s="1"/>
  <c r="R16" i="26"/>
  <c r="O16" i="26"/>
  <c r="K16" i="26"/>
  <c r="G16" i="26"/>
  <c r="S16" i="26" s="1"/>
  <c r="R15" i="26"/>
  <c r="O15" i="26"/>
  <c r="K15" i="26"/>
  <c r="G15" i="26"/>
  <c r="S15" i="26" s="1"/>
  <c r="R14" i="26"/>
  <c r="O14" i="26"/>
  <c r="K14" i="26"/>
  <c r="G14" i="26"/>
  <c r="S14" i="26" s="1"/>
  <c r="R13" i="26"/>
  <c r="O13" i="26"/>
  <c r="M13" i="26"/>
  <c r="K13" i="26"/>
  <c r="G13" i="26"/>
  <c r="S13" i="26" s="1"/>
  <c r="R12" i="26"/>
  <c r="O12" i="26"/>
  <c r="M12" i="26"/>
  <c r="K12" i="26"/>
  <c r="G12" i="26"/>
  <c r="S12" i="26" s="1"/>
  <c r="R11" i="26"/>
  <c r="O11" i="26"/>
  <c r="M11" i="26"/>
  <c r="K11" i="26"/>
  <c r="G11" i="26"/>
  <c r="S11" i="26" s="1"/>
  <c r="R10" i="26"/>
  <c r="O10" i="26"/>
  <c r="M10" i="26"/>
  <c r="K10" i="26"/>
  <c r="G10" i="26"/>
  <c r="S10" i="26" s="1"/>
  <c r="R9" i="26"/>
  <c r="O9" i="26"/>
  <c r="M9" i="26"/>
  <c r="K9" i="26"/>
  <c r="G9" i="26"/>
  <c r="S9" i="26" s="1"/>
  <c r="R8" i="26"/>
  <c r="O8" i="26"/>
  <c r="M8" i="26"/>
  <c r="K8" i="26"/>
  <c r="G8" i="26"/>
  <c r="S8" i="26" s="1"/>
  <c r="R7" i="26"/>
  <c r="O7" i="26"/>
  <c r="M7" i="26"/>
  <c r="K7" i="26"/>
  <c r="G7" i="26"/>
  <c r="S7" i="26" s="1"/>
  <c r="R6" i="26"/>
  <c r="O6" i="26"/>
  <c r="M6" i="26"/>
  <c r="K6" i="26"/>
  <c r="G6" i="26"/>
  <c r="S6" i="26" s="1"/>
  <c r="R5" i="26"/>
  <c r="O5" i="26"/>
  <c r="M5" i="26"/>
  <c r="K5" i="26"/>
  <c r="G5" i="26"/>
  <c r="S5" i="26" s="1"/>
  <c r="R4" i="26"/>
  <c r="O4" i="26"/>
  <c r="M4" i="26"/>
  <c r="K4" i="26"/>
  <c r="G4" i="26"/>
  <c r="S4" i="26" s="1"/>
  <c r="R3" i="26"/>
  <c r="O3" i="26"/>
  <c r="M3" i="26"/>
  <c r="K3" i="26"/>
  <c r="G3" i="26"/>
  <c r="S3" i="26" s="1"/>
  <c r="R2" i="26"/>
  <c r="O2" i="26"/>
  <c r="M2" i="26"/>
  <c r="K2" i="26"/>
  <c r="G2" i="26"/>
  <c r="S2" i="26" s="1"/>
  <c r="S116" i="26" l="1"/>
  <c r="S148" i="26"/>
  <c r="S180" i="26"/>
  <c r="S204" i="26"/>
  <c r="S69" i="26"/>
  <c r="S85" i="26"/>
  <c r="S117" i="26"/>
  <c r="S121" i="26"/>
  <c r="S129" i="26"/>
  <c r="S153" i="26"/>
  <c r="S193" i="26"/>
  <c r="S209" i="26"/>
  <c r="S118" i="26"/>
  <c r="S166" i="26"/>
  <c r="S119" i="26"/>
  <c r="S147" i="26"/>
  <c r="S155" i="26"/>
  <c r="S207" i="26"/>
  <c r="S122" i="26"/>
  <c r="S130" i="26"/>
  <c r="S146" i="26"/>
  <c r="S154" i="26"/>
  <c r="S202" i="26"/>
  <c r="S80" i="26"/>
  <c r="S88" i="26"/>
  <c r="S104" i="26"/>
  <c r="S120" i="26"/>
  <c r="S144" i="26"/>
  <c r="S208" i="26"/>
  <c r="K10" i="2" l="1"/>
  <c r="V183" i="27" s="1"/>
  <c r="H10" i="2"/>
  <c r="K9" i="2"/>
  <c r="V152" i="27" s="1"/>
  <c r="H9" i="2"/>
  <c r="K8" i="2"/>
  <c r="H8" i="2"/>
  <c r="H7" i="2"/>
  <c r="H6" i="2"/>
  <c r="H5" i="2"/>
  <c r="T4" i="27" l="1"/>
  <c r="AH4" i="27" s="1"/>
  <c r="T80" i="27"/>
  <c r="AH80" i="27" s="1"/>
  <c r="T39" i="27"/>
  <c r="AH39" i="27" s="1"/>
  <c r="T144" i="27"/>
  <c r="T36" i="27"/>
  <c r="AH36" i="27" s="1"/>
  <c r="T40" i="27"/>
  <c r="AH40" i="27" s="1"/>
  <c r="T32" i="27"/>
  <c r="AH32" i="27" s="1"/>
  <c r="T43" i="27"/>
  <c r="AH43" i="27" s="1"/>
  <c r="T35" i="27"/>
  <c r="AH35" i="27" s="1"/>
  <c r="T49" i="27"/>
  <c r="AH49" i="27" s="1"/>
  <c r="T34" i="27"/>
  <c r="AH34" i="27" s="1"/>
  <c r="T31" i="27"/>
  <c r="AH31" i="27" s="1"/>
  <c r="T142" i="27"/>
  <c r="T205" i="27"/>
  <c r="AH205" i="27" s="1"/>
  <c r="T50" i="27"/>
  <c r="AH50" i="27" s="1"/>
  <c r="T244" i="27"/>
  <c r="AH244" i="27" s="1"/>
  <c r="T115" i="27"/>
  <c r="AH115" i="27" s="1"/>
  <c r="T119" i="27"/>
  <c r="AH119" i="27" s="1"/>
  <c r="T141" i="27"/>
  <c r="T44" i="27"/>
  <c r="AH44" i="27" s="1"/>
  <c r="T94" i="27"/>
  <c r="AH94" i="27" s="1"/>
  <c r="T51" i="27"/>
  <c r="AH51" i="27" s="1"/>
  <c r="T109" i="27"/>
  <c r="AH109" i="27" s="1"/>
  <c r="T88" i="27"/>
  <c r="T48" i="27"/>
  <c r="AH48" i="27" s="1"/>
  <c r="T73" i="27"/>
  <c r="AH73" i="27" s="1"/>
  <c r="T126" i="27"/>
  <c r="AH126" i="27" s="1"/>
  <c r="T125" i="27"/>
  <c r="AH125" i="27" s="1"/>
  <c r="T72" i="27"/>
  <c r="AH72" i="27" s="1"/>
  <c r="T52" i="27"/>
  <c r="AH52" i="27" s="1"/>
  <c r="T54" i="27"/>
  <c r="AH54" i="27" s="1"/>
  <c r="T55" i="27"/>
  <c r="AH55" i="27" s="1"/>
  <c r="T53" i="27"/>
  <c r="AH53" i="27" s="1"/>
  <c r="T56" i="27"/>
  <c r="AH56" i="27" s="1"/>
  <c r="T47" i="27"/>
  <c r="AH47" i="27" s="1"/>
  <c r="T128" i="27"/>
  <c r="AH128" i="27" s="1"/>
  <c r="T152" i="27"/>
  <c r="AH152" i="27" s="1"/>
  <c r="T74" i="27"/>
  <c r="T62" i="27"/>
  <c r="AH62" i="27" s="1"/>
  <c r="T135" i="27"/>
  <c r="T143" i="27"/>
  <c r="T153" i="27"/>
  <c r="T130" i="27"/>
  <c r="AH130" i="27" s="1"/>
  <c r="T148" i="27"/>
  <c r="V143" i="27"/>
  <c r="V88" i="27"/>
  <c r="V74" i="27"/>
  <c r="V135" i="27"/>
  <c r="V144" i="27"/>
  <c r="V94" i="27"/>
  <c r="V153" i="27"/>
  <c r="V142" i="27"/>
  <c r="V148" i="27"/>
  <c r="T86" i="27"/>
  <c r="AH86" i="27" s="1"/>
  <c r="T107" i="27"/>
  <c r="AH107" i="27" s="1"/>
  <c r="T124" i="27"/>
  <c r="AH124" i="27" s="1"/>
  <c r="T70" i="27"/>
  <c r="T159" i="27"/>
  <c r="T38" i="27"/>
  <c r="T118" i="27"/>
  <c r="AH118" i="27" s="1"/>
  <c r="T121" i="27"/>
  <c r="AH121" i="27" s="1"/>
  <c r="T28" i="27"/>
  <c r="T181" i="27"/>
  <c r="AH181" i="27" s="1"/>
  <c r="T5" i="27"/>
  <c r="AH5" i="27" s="1"/>
  <c r="T183" i="27"/>
  <c r="AH183" i="27" s="1"/>
  <c r="V165" i="27"/>
  <c r="V171" i="27"/>
  <c r="T281" i="27"/>
  <c r="AH281" i="27" s="1"/>
  <c r="T242" i="27"/>
  <c r="AH242" i="27" s="1"/>
  <c r="T241" i="27"/>
  <c r="AH241" i="27" s="1"/>
  <c r="T229" i="27"/>
  <c r="AH229" i="27" s="1"/>
  <c r="T147" i="27"/>
  <c r="AH147" i="27" s="1"/>
  <c r="T106" i="27"/>
  <c r="AH106" i="27" s="1"/>
  <c r="T13" i="27"/>
  <c r="AH13" i="27" s="1"/>
  <c r="T12" i="27"/>
  <c r="AH12" i="27" s="1"/>
  <c r="T275" i="27"/>
  <c r="AH275" i="27" s="1"/>
  <c r="T112" i="27"/>
  <c r="AH112" i="27" s="1"/>
  <c r="T42" i="27"/>
  <c r="AH42" i="27" s="1"/>
  <c r="T132" i="27"/>
  <c r="AH132" i="27" s="1"/>
  <c r="T134" i="27"/>
  <c r="T64" i="27"/>
  <c r="AH64" i="27" s="1"/>
  <c r="T165" i="27"/>
  <c r="T57" i="27"/>
  <c r="AH57" i="27" s="1"/>
  <c r="V159" i="27"/>
  <c r="V38" i="27"/>
  <c r="V134" i="27"/>
  <c r="V70" i="27"/>
  <c r="T140" i="27"/>
  <c r="AH140" i="27" s="1"/>
  <c r="T171" i="27"/>
  <c r="V46" i="27"/>
  <c r="V58" i="27"/>
  <c r="V161" i="27"/>
  <c r="V102" i="27"/>
  <c r="T17" i="27"/>
  <c r="AH17" i="27" s="1"/>
  <c r="T2" i="27"/>
  <c r="AH2" i="27" s="1"/>
  <c r="T46" i="27"/>
  <c r="T58" i="27"/>
  <c r="T230" i="27"/>
  <c r="AH230" i="27" s="1"/>
  <c r="T265" i="27"/>
  <c r="AH265" i="27" s="1"/>
  <c r="T139" i="27"/>
  <c r="T161" i="27"/>
  <c r="V139" i="27"/>
  <c r="T6" i="27"/>
  <c r="AH6" i="27" s="1"/>
  <c r="T29" i="27"/>
  <c r="T222" i="27"/>
  <c r="AH222" i="27" s="1"/>
  <c r="T231" i="27"/>
  <c r="AH231" i="27" s="1"/>
  <c r="T3" i="27"/>
  <c r="AH3" i="27" s="1"/>
  <c r="T253" i="27"/>
  <c r="U164" i="32"/>
  <c r="U25" i="31"/>
  <c r="U21" i="31"/>
  <c r="U102" i="31"/>
  <c r="AF102" i="31" s="1"/>
  <c r="U154" i="31"/>
  <c r="U184" i="32"/>
  <c r="AF184" i="32" s="1"/>
  <c r="U149" i="32"/>
  <c r="U136" i="32"/>
  <c r="AF136" i="32" s="1"/>
  <c r="U121" i="32"/>
  <c r="U123" i="31"/>
  <c r="AF123" i="31" s="1"/>
  <c r="U97" i="31"/>
  <c r="AF97" i="31" s="1"/>
  <c r="U89" i="31"/>
  <c r="U123" i="32"/>
  <c r="U167" i="31"/>
  <c r="U166" i="32"/>
  <c r="AF166" i="32" s="1"/>
  <c r="U129" i="32"/>
  <c r="U129" i="31"/>
  <c r="U165" i="31"/>
  <c r="U149" i="31"/>
  <c r="U150" i="32"/>
  <c r="U174" i="31"/>
  <c r="AF174" i="31" s="1"/>
  <c r="U166" i="31"/>
  <c r="U90" i="31"/>
  <c r="U172" i="32"/>
  <c r="AF172" i="32" s="1"/>
  <c r="U21" i="32"/>
  <c r="U15" i="32"/>
  <c r="U143" i="31"/>
  <c r="AF143" i="31" s="1"/>
  <c r="U152" i="31"/>
  <c r="U94" i="31"/>
  <c r="U167" i="32"/>
  <c r="AF167" i="32" s="1"/>
  <c r="U163" i="32"/>
  <c r="U91" i="31"/>
  <c r="U173" i="32"/>
  <c r="U162" i="32"/>
  <c r="U145" i="32"/>
  <c r="U133" i="32"/>
  <c r="AF133" i="32" s="1"/>
  <c r="U78" i="32"/>
  <c r="U169" i="31"/>
  <c r="AF169" i="31" s="1"/>
  <c r="S182" i="32"/>
  <c r="AF182" i="32" s="1"/>
  <c r="S122" i="32"/>
  <c r="AF122" i="32" s="1"/>
  <c r="S66" i="32"/>
  <c r="AF66" i="32" s="1"/>
  <c r="S51" i="32"/>
  <c r="AF51" i="32" s="1"/>
  <c r="S154" i="31"/>
  <c r="S146" i="31"/>
  <c r="S131" i="31"/>
  <c r="S91" i="31"/>
  <c r="S150" i="32"/>
  <c r="S142" i="32"/>
  <c r="S113" i="31"/>
  <c r="AF113" i="31" s="1"/>
  <c r="S145" i="31"/>
  <c r="S108" i="32"/>
  <c r="AF108" i="32" s="1"/>
  <c r="S75" i="32"/>
  <c r="AF75" i="32" s="1"/>
  <c r="S52" i="32"/>
  <c r="AF52" i="32" s="1"/>
  <c r="S38" i="32"/>
  <c r="S133" i="31"/>
  <c r="AF133" i="31" s="1"/>
  <c r="S106" i="31"/>
  <c r="S96" i="31"/>
  <c r="AF96" i="31" s="1"/>
  <c r="S67" i="31"/>
  <c r="S18" i="31"/>
  <c r="AF18" i="31" s="1"/>
  <c r="S15" i="31"/>
  <c r="AF15" i="31" s="1"/>
  <c r="S140" i="32"/>
  <c r="S137" i="31"/>
  <c r="AF137" i="31" s="1"/>
  <c r="S31" i="31"/>
  <c r="AF31" i="31" s="1"/>
  <c r="S98" i="32"/>
  <c r="AF98" i="32" s="1"/>
  <c r="S82" i="32"/>
  <c r="AF82" i="32" s="1"/>
  <c r="S60" i="32"/>
  <c r="AF60" i="32" s="1"/>
  <c r="S53" i="32"/>
  <c r="AF53" i="32" s="1"/>
  <c r="S89" i="31"/>
  <c r="AF89" i="31" s="1"/>
  <c r="S65" i="31"/>
  <c r="AF65" i="31" s="1"/>
  <c r="S8" i="31"/>
  <c r="S54" i="31"/>
  <c r="AF54" i="31" s="1"/>
  <c r="S44" i="31"/>
  <c r="S62" i="32"/>
  <c r="S46" i="32"/>
  <c r="AF46" i="32" s="1"/>
  <c r="S3" i="32"/>
  <c r="AF3" i="32" s="1"/>
  <c r="S126" i="31"/>
  <c r="AF126" i="31" s="1"/>
  <c r="S46" i="31"/>
  <c r="AF46" i="31" s="1"/>
  <c r="S30" i="31"/>
  <c r="AF30" i="31" s="1"/>
  <c r="S179" i="32"/>
  <c r="AF179" i="32" s="1"/>
  <c r="S147" i="32"/>
  <c r="S126" i="32"/>
  <c r="S123" i="32"/>
  <c r="S12" i="32"/>
  <c r="AF12" i="32" s="1"/>
  <c r="S107" i="31"/>
  <c r="AF107" i="31" s="1"/>
  <c r="S92" i="31"/>
  <c r="AF92" i="31" s="1"/>
  <c r="S68" i="31"/>
  <c r="AF68" i="31" s="1"/>
  <c r="S32" i="31"/>
  <c r="AF32" i="31" s="1"/>
  <c r="S157" i="31"/>
  <c r="AF157" i="31" s="1"/>
  <c r="S23" i="31"/>
  <c r="AF23" i="31" s="1"/>
  <c r="S89" i="32"/>
  <c r="AF89" i="32" s="1"/>
  <c r="S88" i="32"/>
  <c r="S41" i="32"/>
  <c r="AF41" i="32" s="1"/>
  <c r="S175" i="32"/>
  <c r="AF175" i="32" s="1"/>
  <c r="S77" i="31"/>
  <c r="S78" i="32"/>
  <c r="S59" i="32"/>
  <c r="AF59" i="32" s="1"/>
  <c r="S26" i="32"/>
  <c r="S2" i="31"/>
  <c r="AF2" i="31" s="1"/>
  <c r="T90" i="27"/>
  <c r="AH90" i="27" s="1"/>
  <c r="S163" i="32"/>
  <c r="S128" i="32"/>
  <c r="S105" i="32"/>
  <c r="S39" i="32"/>
  <c r="S204" i="31"/>
  <c r="AF204" i="31" s="1"/>
  <c r="S178" i="31"/>
  <c r="AF178" i="31" s="1"/>
  <c r="S183" i="32"/>
  <c r="AF183" i="32" s="1"/>
  <c r="S106" i="32"/>
  <c r="S28" i="32"/>
  <c r="S139" i="31"/>
  <c r="S57" i="31"/>
  <c r="AF57" i="31" s="1"/>
  <c r="S9" i="31"/>
  <c r="S61" i="32"/>
  <c r="S125" i="31"/>
  <c r="S111" i="31"/>
  <c r="S58" i="31"/>
  <c r="AF58" i="31" s="1"/>
  <c r="S81" i="31"/>
  <c r="S204" i="32"/>
  <c r="AF204" i="32" s="1"/>
  <c r="S111" i="32"/>
  <c r="AF111" i="32" s="1"/>
  <c r="S96" i="32"/>
  <c r="AF96" i="32" s="1"/>
  <c r="S198" i="31"/>
  <c r="AF198" i="31" s="1"/>
  <c r="S134" i="31"/>
  <c r="S80" i="31"/>
  <c r="S59" i="31"/>
  <c r="S166" i="31"/>
  <c r="S198" i="32"/>
  <c r="AF198" i="32" s="1"/>
  <c r="S141" i="31"/>
  <c r="AF141" i="31" s="1"/>
  <c r="S41" i="31"/>
  <c r="S107" i="32"/>
  <c r="S132" i="32"/>
  <c r="S80" i="32"/>
  <c r="AF80" i="32" s="1"/>
  <c r="S13" i="32"/>
  <c r="AF13" i="32" s="1"/>
  <c r="S115" i="31"/>
  <c r="AF115" i="31" s="1"/>
  <c r="S101" i="31"/>
  <c r="AF101" i="31" s="1"/>
  <c r="S119" i="32"/>
  <c r="S81" i="32"/>
  <c r="AF81" i="32" s="1"/>
  <c r="S83" i="31"/>
  <c r="S66" i="31"/>
  <c r="S60" i="31"/>
  <c r="S138" i="32"/>
  <c r="S43" i="32"/>
  <c r="S124" i="31"/>
  <c r="AF124" i="31" s="1"/>
  <c r="S45" i="31"/>
  <c r="AF45" i="31" s="1"/>
  <c r="S121" i="32"/>
  <c r="AF121" i="32" s="1"/>
  <c r="S156" i="31"/>
  <c r="S140" i="31"/>
  <c r="S142" i="31"/>
  <c r="S115" i="32"/>
  <c r="AF115" i="32" s="1"/>
  <c r="S129" i="31"/>
  <c r="AF129" i="31" s="1"/>
  <c r="S149" i="31"/>
  <c r="S77" i="32"/>
  <c r="S109" i="32"/>
  <c r="S87" i="32"/>
  <c r="S90" i="31"/>
  <c r="S145" i="32"/>
  <c r="S152" i="32"/>
  <c r="S118" i="32"/>
  <c r="AF118" i="32" s="1"/>
  <c r="S64" i="32"/>
  <c r="AF64" i="32" s="1"/>
  <c r="S122" i="31"/>
  <c r="AF122" i="31" s="1"/>
  <c r="S173" i="32"/>
  <c r="AF173" i="32" s="1"/>
  <c r="S134" i="32"/>
  <c r="S86" i="31"/>
  <c r="T25" i="27"/>
  <c r="S85" i="31"/>
  <c r="S164" i="32"/>
  <c r="AF164" i="32" s="1"/>
  <c r="S131" i="32"/>
  <c r="AF131" i="32" s="1"/>
  <c r="S138" i="31"/>
  <c r="AF138" i="31" s="1"/>
  <c r="S203" i="32"/>
  <c r="AF203" i="32" s="1"/>
  <c r="S169" i="32"/>
  <c r="S125" i="32"/>
  <c r="AF125" i="32" s="1"/>
  <c r="S139" i="32"/>
  <c r="S54" i="32"/>
  <c r="AF54" i="32" s="1"/>
  <c r="S165" i="31"/>
  <c r="AF165" i="31" s="1"/>
  <c r="S203" i="31"/>
  <c r="AF203" i="31" s="1"/>
  <c r="S116" i="32"/>
  <c r="S167" i="31"/>
  <c r="S128" i="31"/>
  <c r="AF128" i="31" s="1"/>
  <c r="S33" i="31"/>
  <c r="AF33" i="31" s="1"/>
  <c r="S176" i="31"/>
  <c r="S144" i="31"/>
  <c r="S162" i="32"/>
  <c r="AF162" i="32" s="1"/>
  <c r="S112" i="32"/>
  <c r="AF112" i="32" s="1"/>
  <c r="S50" i="31"/>
  <c r="AF50" i="31" s="1"/>
  <c r="S35" i="31"/>
  <c r="AF35" i="31" s="1"/>
  <c r="S26" i="31"/>
  <c r="AF26" i="31" s="1"/>
  <c r="S202" i="32"/>
  <c r="S168" i="32"/>
  <c r="S159" i="32"/>
  <c r="S93" i="32"/>
  <c r="AF93" i="32" s="1"/>
  <c r="S24" i="32"/>
  <c r="AF24" i="32" s="1"/>
  <c r="S132" i="31"/>
  <c r="AF132" i="31" s="1"/>
  <c r="S110" i="31"/>
  <c r="AF110" i="31" s="1"/>
  <c r="S37" i="31"/>
  <c r="AF37" i="31" s="1"/>
  <c r="S21" i="31"/>
  <c r="S70" i="32"/>
  <c r="AF70" i="32" s="1"/>
  <c r="S99" i="31"/>
  <c r="AF99" i="31" s="1"/>
  <c r="S36" i="31"/>
  <c r="AF36" i="31" s="1"/>
  <c r="S153" i="31"/>
  <c r="AF153" i="31" s="1"/>
  <c r="S149" i="32"/>
  <c r="S37" i="32"/>
  <c r="AF37" i="32" s="1"/>
  <c r="S2" i="32"/>
  <c r="AF2" i="32" s="1"/>
  <c r="S73" i="31"/>
  <c r="S55" i="32"/>
  <c r="AF55" i="32" s="1"/>
  <c r="S47" i="32"/>
  <c r="AF47" i="32" s="1"/>
  <c r="S49" i="31"/>
  <c r="AF49" i="31" s="1"/>
  <c r="S129" i="32"/>
  <c r="S99" i="32"/>
  <c r="AF99" i="32" s="1"/>
  <c r="S69" i="32"/>
  <c r="AF69" i="32" s="1"/>
  <c r="S44" i="32"/>
  <c r="S84" i="31"/>
  <c r="AF84" i="31" s="1"/>
  <c r="S34" i="31"/>
  <c r="AF34" i="31" s="1"/>
  <c r="S71" i="32"/>
  <c r="AF71" i="32" s="1"/>
  <c r="S56" i="32"/>
  <c r="AF56" i="32" s="1"/>
  <c r="S175" i="31"/>
  <c r="S116" i="31"/>
  <c r="S14" i="31"/>
  <c r="AF14" i="31" s="1"/>
  <c r="S48" i="31"/>
  <c r="AF48" i="31" s="1"/>
  <c r="S127" i="32"/>
  <c r="AF127" i="32" s="1"/>
  <c r="S101" i="32"/>
  <c r="AF101" i="32" s="1"/>
  <c r="S57" i="32"/>
  <c r="AF57" i="32" s="1"/>
  <c r="S15" i="32"/>
  <c r="AF15" i="32" s="1"/>
  <c r="S202" i="31"/>
  <c r="S152" i="31"/>
  <c r="S94" i="31"/>
  <c r="S108" i="31"/>
  <c r="AF108" i="31" s="1"/>
  <c r="S62" i="31"/>
  <c r="S97" i="32"/>
  <c r="U202" i="32"/>
  <c r="U148" i="32"/>
  <c r="AF148" i="32" s="1"/>
  <c r="U138" i="32"/>
  <c r="U106" i="32"/>
  <c r="U43" i="32"/>
  <c r="U38" i="32"/>
  <c r="U163" i="31"/>
  <c r="AF163" i="31" s="1"/>
  <c r="U155" i="31"/>
  <c r="AF155" i="31" s="1"/>
  <c r="U106" i="31"/>
  <c r="U139" i="31"/>
  <c r="U87" i="31"/>
  <c r="AF87" i="31" s="1"/>
  <c r="U76" i="31"/>
  <c r="AF76" i="31" s="1"/>
  <c r="U67" i="31"/>
  <c r="U158" i="32"/>
  <c r="AF158" i="32" s="1"/>
  <c r="U116" i="32"/>
  <c r="U87" i="32"/>
  <c r="U79" i="32"/>
  <c r="AF79" i="32" s="1"/>
  <c r="U63" i="31"/>
  <c r="AF63" i="31" s="1"/>
  <c r="U85" i="31"/>
  <c r="U165" i="32"/>
  <c r="AF165" i="32" s="1"/>
  <c r="U100" i="32"/>
  <c r="AF100" i="32" s="1"/>
  <c r="U84" i="32"/>
  <c r="AF84" i="32" s="1"/>
  <c r="U61" i="32"/>
  <c r="U156" i="31"/>
  <c r="U140" i="31"/>
  <c r="U125" i="31"/>
  <c r="U118" i="31"/>
  <c r="U111" i="31"/>
  <c r="U73" i="31"/>
  <c r="U151" i="32"/>
  <c r="AF151" i="32" s="1"/>
  <c r="U48" i="32"/>
  <c r="AF48" i="32" s="1"/>
  <c r="U146" i="31"/>
  <c r="U153" i="32"/>
  <c r="AF153" i="32" s="1"/>
  <c r="U139" i="32"/>
  <c r="U85" i="32"/>
  <c r="U62" i="32"/>
  <c r="U44" i="32"/>
  <c r="U134" i="31"/>
  <c r="U119" i="31"/>
  <c r="U80" i="31"/>
  <c r="U59" i="31"/>
  <c r="U109" i="32"/>
  <c r="U151" i="31"/>
  <c r="AF151" i="31" s="1"/>
  <c r="U74" i="31"/>
  <c r="AF74" i="31" s="1"/>
  <c r="U131" i="31"/>
  <c r="U142" i="32"/>
  <c r="U140" i="32"/>
  <c r="U130" i="32"/>
  <c r="AF130" i="32" s="1"/>
  <c r="U102" i="32"/>
  <c r="AF102" i="32" s="1"/>
  <c r="U77" i="32"/>
  <c r="U63" i="32"/>
  <c r="U190" i="31"/>
  <c r="AF190" i="31" s="1"/>
  <c r="U150" i="31"/>
  <c r="AF150" i="31" s="1"/>
  <c r="U142" i="31"/>
  <c r="U81" i="31"/>
  <c r="U60" i="31"/>
  <c r="U44" i="31"/>
  <c r="U147" i="32"/>
  <c r="U126" i="32"/>
  <c r="U41" i="31"/>
  <c r="U56" i="31"/>
  <c r="AF56" i="31" s="1"/>
  <c r="U152" i="32"/>
  <c r="U132" i="32"/>
  <c r="U117" i="32"/>
  <c r="AF117" i="32" s="1"/>
  <c r="U103" i="32"/>
  <c r="AF103" i="32" s="1"/>
  <c r="U88" i="32"/>
  <c r="U202" i="31"/>
  <c r="U168" i="31"/>
  <c r="AF168" i="31" s="1"/>
  <c r="U144" i="31"/>
  <c r="U64" i="31"/>
  <c r="U77" i="31"/>
  <c r="U62" i="31"/>
  <c r="U42" i="31"/>
  <c r="U114" i="32"/>
  <c r="U66" i="31"/>
  <c r="U190" i="32"/>
  <c r="AF190" i="32" s="1"/>
  <c r="U134" i="32"/>
  <c r="U119" i="32"/>
  <c r="U113" i="32"/>
  <c r="U107" i="32"/>
  <c r="U97" i="32"/>
  <c r="U109" i="31"/>
  <c r="AF109" i="31" s="1"/>
  <c r="U145" i="31"/>
  <c r="U95" i="31"/>
  <c r="AF95" i="31" s="1"/>
  <c r="U75" i="31"/>
  <c r="AF75" i="31" s="1"/>
  <c r="U86" i="31"/>
  <c r="U146" i="32"/>
  <c r="AF146" i="32" s="1"/>
  <c r="U128" i="32"/>
  <c r="U105" i="32"/>
  <c r="U39" i="32"/>
  <c r="U83" i="31"/>
  <c r="U27" i="31"/>
  <c r="AF27" i="31" s="1"/>
  <c r="V180" i="27"/>
  <c r="S201" i="32"/>
  <c r="AF201" i="32" s="1"/>
  <c r="S191" i="32"/>
  <c r="AF191" i="32" s="1"/>
  <c r="S114" i="32"/>
  <c r="S92" i="32"/>
  <c r="AF92" i="32" s="1"/>
  <c r="S36" i="32"/>
  <c r="AF36" i="32" s="1"/>
  <c r="S35" i="32"/>
  <c r="AF35" i="32" s="1"/>
  <c r="S27" i="32"/>
  <c r="S22" i="32"/>
  <c r="S7" i="32"/>
  <c r="AF7" i="32" s="1"/>
  <c r="S130" i="31"/>
  <c r="AF130" i="31" s="1"/>
  <c r="S17" i="31"/>
  <c r="AF17" i="31" s="1"/>
  <c r="S11" i="31"/>
  <c r="S179" i="31"/>
  <c r="AF179" i="31" s="1"/>
  <c r="S16" i="32"/>
  <c r="AF16" i="32" s="1"/>
  <c r="S31" i="32"/>
  <c r="S200" i="31"/>
  <c r="S171" i="31"/>
  <c r="AF171" i="31" s="1"/>
  <c r="S78" i="31"/>
  <c r="AF78" i="31" s="1"/>
  <c r="S10" i="31"/>
  <c r="S192" i="32"/>
  <c r="AF192" i="32" s="1"/>
  <c r="S124" i="32"/>
  <c r="S120" i="32"/>
  <c r="AF120" i="32" s="1"/>
  <c r="S8" i="32"/>
  <c r="AF8" i="32" s="1"/>
  <c r="S205" i="31"/>
  <c r="AF205" i="31" s="1"/>
  <c r="S196" i="31"/>
  <c r="AF196" i="31" s="1"/>
  <c r="S28" i="31"/>
  <c r="AF28" i="31" s="1"/>
  <c r="S12" i="31"/>
  <c r="S159" i="31"/>
  <c r="AF159" i="31" s="1"/>
  <c r="S127" i="31"/>
  <c r="S193" i="31"/>
  <c r="AF193" i="31" s="1"/>
  <c r="S193" i="32"/>
  <c r="AF193" i="32" s="1"/>
  <c r="S110" i="32"/>
  <c r="AF110" i="32" s="1"/>
  <c r="S18" i="32"/>
  <c r="S9" i="32"/>
  <c r="AF9" i="32" s="1"/>
  <c r="S135" i="31"/>
  <c r="AF135" i="31" s="1"/>
  <c r="S118" i="31"/>
  <c r="S29" i="31"/>
  <c r="AF29" i="31" s="1"/>
  <c r="S19" i="31"/>
  <c r="AF19" i="31" s="1"/>
  <c r="S6" i="31"/>
  <c r="AF6" i="31" s="1"/>
  <c r="S16" i="31"/>
  <c r="S161" i="31"/>
  <c r="AF161" i="31" s="1"/>
  <c r="S205" i="32"/>
  <c r="AF205" i="32" s="1"/>
  <c r="S65" i="32"/>
  <c r="AF65" i="32" s="1"/>
  <c r="S63" i="32"/>
  <c r="S11" i="32"/>
  <c r="AF11" i="32" s="1"/>
  <c r="S88" i="31"/>
  <c r="AF88" i="31" s="1"/>
  <c r="S176" i="32"/>
  <c r="AF176" i="32" s="1"/>
  <c r="S42" i="31"/>
  <c r="S196" i="32"/>
  <c r="AF196" i="32" s="1"/>
  <c r="S86" i="32"/>
  <c r="AF86" i="32" s="1"/>
  <c r="S85" i="32"/>
  <c r="S25" i="32"/>
  <c r="AF25" i="32" s="1"/>
  <c r="S30" i="32"/>
  <c r="S19" i="32"/>
  <c r="S10" i="32"/>
  <c r="AF10" i="32" s="1"/>
  <c r="S199" i="31"/>
  <c r="AF199" i="31" s="1"/>
  <c r="S136" i="31"/>
  <c r="AF136" i="31" s="1"/>
  <c r="S119" i="31"/>
  <c r="AF119" i="31" s="1"/>
  <c r="S98" i="31"/>
  <c r="AF98" i="31" s="1"/>
  <c r="S43" i="31"/>
  <c r="AF43" i="31" s="1"/>
  <c r="S13" i="31"/>
  <c r="AF13" i="31" s="1"/>
  <c r="S183" i="31"/>
  <c r="AF183" i="31" s="1"/>
  <c r="S7" i="31"/>
  <c r="S170" i="31"/>
  <c r="AF170" i="31" s="1"/>
  <c r="S178" i="32"/>
  <c r="AF178" i="32" s="1"/>
  <c r="S177" i="32"/>
  <c r="AF177" i="32" s="1"/>
  <c r="S6" i="32"/>
  <c r="AF6" i="32" s="1"/>
  <c r="S40" i="32"/>
  <c r="AF40" i="32" s="1"/>
  <c r="S32" i="32"/>
  <c r="S5" i="32"/>
  <c r="AF5" i="32" s="1"/>
  <c r="S201" i="31"/>
  <c r="AF201" i="31" s="1"/>
  <c r="S191" i="31"/>
  <c r="AF191" i="31" s="1"/>
  <c r="S114" i="31"/>
  <c r="AF114" i="31" s="1"/>
  <c r="S181" i="31"/>
  <c r="AF181" i="31" s="1"/>
  <c r="S172" i="31"/>
  <c r="AF172" i="31" s="1"/>
  <c r="S185" i="31"/>
  <c r="AF185" i="31" s="1"/>
  <c r="S182" i="31"/>
  <c r="AF182" i="31" s="1"/>
  <c r="S42" i="32"/>
  <c r="AF42" i="32" s="1"/>
  <c r="S199" i="32"/>
  <c r="AF199" i="32" s="1"/>
  <c r="S180" i="32"/>
  <c r="AF180" i="32" s="1"/>
  <c r="S49" i="32"/>
  <c r="AF49" i="32" s="1"/>
  <c r="S33" i="32"/>
  <c r="S14" i="32"/>
  <c r="AF14" i="32" s="1"/>
  <c r="S192" i="31"/>
  <c r="AF192" i="31" s="1"/>
  <c r="S93" i="31"/>
  <c r="AF93" i="31" s="1"/>
  <c r="S64" i="31"/>
  <c r="S38" i="31"/>
  <c r="AF38" i="31" s="1"/>
  <c r="S173" i="31"/>
  <c r="AF173" i="31" s="1"/>
  <c r="S200" i="32"/>
  <c r="S181" i="32"/>
  <c r="AF181" i="32" s="1"/>
  <c r="S113" i="32"/>
  <c r="S50" i="32"/>
  <c r="AF50" i="32" s="1"/>
  <c r="S34" i="32"/>
  <c r="AF34" i="32" s="1"/>
  <c r="S39" i="31"/>
  <c r="AF39" i="31" s="1"/>
  <c r="S20" i="31"/>
  <c r="S5" i="31"/>
  <c r="AF5" i="31" s="1"/>
  <c r="T8" i="27"/>
  <c r="AH8" i="27" s="1"/>
  <c r="T174" i="27"/>
  <c r="AH174" i="27" s="1"/>
  <c r="T225" i="27"/>
  <c r="AH225" i="27" s="1"/>
  <c r="T223" i="27"/>
  <c r="AH223" i="27" s="1"/>
  <c r="T246" i="27"/>
  <c r="AH246" i="27" s="1"/>
  <c r="T206" i="27"/>
  <c r="AH206" i="27" s="1"/>
  <c r="T26" i="27"/>
  <c r="U168" i="32"/>
  <c r="U159" i="32"/>
  <c r="U124" i="32"/>
  <c r="U121" i="31"/>
  <c r="AF121" i="31" s="1"/>
  <c r="U169" i="32"/>
  <c r="U164" i="31"/>
  <c r="AF164" i="31" s="1"/>
  <c r="U171" i="32"/>
  <c r="AF171" i="32" s="1"/>
  <c r="U120" i="31"/>
  <c r="AF120" i="31" s="1"/>
  <c r="U174" i="32"/>
  <c r="AF174" i="32" s="1"/>
  <c r="U116" i="31"/>
  <c r="U170" i="32"/>
  <c r="AF170" i="32" s="1"/>
  <c r="U200" i="31"/>
  <c r="U127" i="31"/>
  <c r="U175" i="31"/>
  <c r="U160" i="32"/>
  <c r="AF160" i="32" s="1"/>
  <c r="U176" i="31"/>
  <c r="U200" i="32"/>
  <c r="U177" i="31"/>
  <c r="AF177" i="31" s="1"/>
  <c r="V239" i="27"/>
  <c r="AH239" i="27" s="1"/>
  <c r="V224" i="27"/>
  <c r="V197" i="27"/>
  <c r="AH197" i="27" s="1"/>
  <c r="V196" i="27"/>
  <c r="AH196" i="27" s="1"/>
  <c r="V137" i="27"/>
  <c r="V166" i="27"/>
  <c r="AH166" i="27" s="1"/>
  <c r="V127" i="27"/>
  <c r="V203" i="27"/>
  <c r="V87" i="27"/>
  <c r="V200" i="27"/>
  <c r="V83" i="27"/>
  <c r="AH83" i="27" s="1"/>
  <c r="V289" i="27"/>
  <c r="AH289" i="27" s="1"/>
  <c r="V172" i="27"/>
  <c r="AH172" i="27" s="1"/>
  <c r="V141" i="27"/>
  <c r="AH141" i="27" s="1"/>
  <c r="V155" i="27"/>
  <c r="AH155" i="27" s="1"/>
  <c r="V129" i="27"/>
  <c r="AH129" i="27" s="1"/>
  <c r="V158" i="27"/>
  <c r="V162" i="27"/>
  <c r="V151" i="27"/>
  <c r="V145" i="27"/>
  <c r="V277" i="27"/>
  <c r="AH277" i="27" s="1"/>
  <c r="V157" i="27"/>
  <c r="V284" i="27"/>
  <c r="AH284" i="27" s="1"/>
  <c r="V195" i="27"/>
  <c r="V201" i="27"/>
  <c r="V199" i="27"/>
  <c r="V93" i="27"/>
  <c r="V101" i="27"/>
  <c r="V99" i="27"/>
  <c r="V95" i="27"/>
  <c r="AH95" i="27" s="1"/>
  <c r="V168" i="27"/>
  <c r="AH168" i="27" s="1"/>
  <c r="V111" i="27"/>
  <c r="V149" i="27"/>
  <c r="V85" i="27"/>
  <c r="V63" i="27"/>
  <c r="AH63" i="27" s="1"/>
  <c r="V84" i="27"/>
  <c r="V82" i="27"/>
  <c r="V41" i="27"/>
  <c r="V67" i="27"/>
  <c r="V68" i="27"/>
  <c r="V18" i="27"/>
  <c r="V20" i="27"/>
  <c r="V253" i="27"/>
  <c r="V268" i="27"/>
  <c r="O205" i="26"/>
  <c r="S205" i="26" s="1"/>
  <c r="O201" i="26"/>
  <c r="O197" i="26"/>
  <c r="O189" i="26"/>
  <c r="S189" i="26" s="1"/>
  <c r="O185" i="26"/>
  <c r="S185" i="26" s="1"/>
  <c r="O181" i="26"/>
  <c r="S181" i="26" s="1"/>
  <c r="O173" i="26"/>
  <c r="O169" i="26"/>
  <c r="O149" i="26"/>
  <c r="O141" i="26"/>
  <c r="S141" i="26" s="1"/>
  <c r="O105" i="26"/>
  <c r="S105" i="26" s="1"/>
  <c r="O101" i="26"/>
  <c r="O65" i="26"/>
  <c r="S65" i="26" s="1"/>
  <c r="O188" i="26"/>
  <c r="S188" i="26" s="1"/>
  <c r="O176" i="26"/>
  <c r="S176" i="26" s="1"/>
  <c r="O172" i="26"/>
  <c r="O168" i="26"/>
  <c r="S168" i="26" s="1"/>
  <c r="O156" i="26"/>
  <c r="O152" i="26"/>
  <c r="O140" i="26"/>
  <c r="S140" i="26" s="1"/>
  <c r="O136" i="26"/>
  <c r="O132" i="26"/>
  <c r="O124" i="26"/>
  <c r="O100" i="26"/>
  <c r="O96" i="26"/>
  <c r="O27" i="26"/>
  <c r="O191" i="26"/>
  <c r="O179" i="26"/>
  <c r="O175" i="26"/>
  <c r="O167" i="26"/>
  <c r="O163" i="26"/>
  <c r="S163" i="26" s="1"/>
  <c r="O159" i="26"/>
  <c r="O143" i="26"/>
  <c r="S143" i="26" s="1"/>
  <c r="O139" i="26"/>
  <c r="S139" i="26" s="1"/>
  <c r="O131" i="26"/>
  <c r="O123" i="26"/>
  <c r="O95" i="26"/>
  <c r="O79" i="26"/>
  <c r="O63" i="26"/>
  <c r="O214" i="26"/>
  <c r="S214" i="26" s="1"/>
  <c r="O210" i="26"/>
  <c r="S210" i="26" s="1"/>
  <c r="O206" i="26"/>
  <c r="S206" i="26" s="1"/>
  <c r="O194" i="26"/>
  <c r="O190" i="26"/>
  <c r="S190" i="26" s="1"/>
  <c r="O186" i="26"/>
  <c r="S186" i="26" s="1"/>
  <c r="O174" i="26"/>
  <c r="O170" i="26"/>
  <c r="O158" i="26"/>
  <c r="O150" i="26"/>
  <c r="O142" i="26"/>
  <c r="S142" i="26" s="1"/>
  <c r="O106" i="26"/>
  <c r="S106" i="26" s="1"/>
  <c r="O102" i="26"/>
  <c r="O94" i="26"/>
  <c r="S94" i="26" s="1"/>
  <c r="O70" i="26"/>
  <c r="T15" i="27"/>
  <c r="AH15" i="27" s="1"/>
  <c r="T282" i="27"/>
  <c r="AH282" i="27" s="1"/>
  <c r="T100" i="27"/>
  <c r="AH100" i="27" s="1"/>
  <c r="T10" i="27"/>
  <c r="AH10" i="27" s="1"/>
  <c r="T228" i="27"/>
  <c r="AH228" i="27" s="1"/>
  <c r="T45" i="27"/>
  <c r="AH45" i="27" s="1"/>
  <c r="T194" i="27"/>
  <c r="T250" i="27"/>
  <c r="AH250" i="27" s="1"/>
  <c r="T178" i="27"/>
  <c r="AH178" i="27" s="1"/>
  <c r="T20" i="27"/>
  <c r="T19" i="27"/>
  <c r="AH19" i="27" s="1"/>
  <c r="T185" i="27"/>
  <c r="AH185" i="27" s="1"/>
  <c r="T146" i="27"/>
  <c r="T208" i="27"/>
  <c r="AH208" i="27" s="1"/>
  <c r="T200" i="27"/>
  <c r="T120" i="27"/>
  <c r="T195" i="27"/>
  <c r="T201" i="27"/>
  <c r="T199" i="27"/>
  <c r="T272" i="27"/>
  <c r="AH272" i="27" s="1"/>
  <c r="T108" i="27"/>
  <c r="AH108" i="27" s="1"/>
  <c r="T149" i="27"/>
  <c r="T69" i="27"/>
  <c r="AH69" i="27" s="1"/>
  <c r="T263" i="27"/>
  <c r="AH263" i="27" s="1"/>
  <c r="T82" i="27"/>
  <c r="T79" i="27"/>
  <c r="AH79" i="27" s="1"/>
  <c r="T186" i="27"/>
  <c r="AH186" i="27" s="1"/>
  <c r="T287" i="27"/>
  <c r="AH287" i="27" s="1"/>
  <c r="T192" i="27"/>
  <c r="AH192" i="27" s="1"/>
  <c r="M178" i="26"/>
  <c r="S178" i="26" s="1"/>
  <c r="M162" i="26"/>
  <c r="S162" i="26" s="1"/>
  <c r="M134" i="26"/>
  <c r="S134" i="26" s="1"/>
  <c r="M102" i="26"/>
  <c r="M82" i="26"/>
  <c r="S82" i="26" s="1"/>
  <c r="M62" i="26"/>
  <c r="S62" i="26" s="1"/>
  <c r="M58" i="26"/>
  <c r="S58" i="26" s="1"/>
  <c r="M54" i="26"/>
  <c r="S54" i="26" s="1"/>
  <c r="M50" i="26"/>
  <c r="S50" i="26" s="1"/>
  <c r="M46" i="26"/>
  <c r="S46" i="26" s="1"/>
  <c r="M38" i="26"/>
  <c r="S38" i="26" s="1"/>
  <c r="M161" i="26"/>
  <c r="S161" i="26" s="1"/>
  <c r="M133" i="26"/>
  <c r="S133" i="26" s="1"/>
  <c r="M125" i="26"/>
  <c r="S125" i="26" s="1"/>
  <c r="M81" i="26"/>
  <c r="S81" i="26" s="1"/>
  <c r="M61" i="26"/>
  <c r="S61" i="26" s="1"/>
  <c r="M49" i="26"/>
  <c r="S49" i="26" s="1"/>
  <c r="M37" i="26"/>
  <c r="S37" i="26" s="1"/>
  <c r="M160" i="26"/>
  <c r="S160" i="26" s="1"/>
  <c r="M132" i="26"/>
  <c r="M84" i="26"/>
  <c r="S84" i="26" s="1"/>
  <c r="M64" i="26"/>
  <c r="S64" i="26" s="1"/>
  <c r="M60" i="26"/>
  <c r="S60" i="26" s="1"/>
  <c r="M56" i="26"/>
  <c r="S56" i="26" s="1"/>
  <c r="M48" i="26"/>
  <c r="S48" i="26" s="1"/>
  <c r="M36" i="26"/>
  <c r="S36" i="26" s="1"/>
  <c r="M32" i="26"/>
  <c r="S32" i="26" s="1"/>
  <c r="M191" i="26"/>
  <c r="M171" i="26"/>
  <c r="M151" i="26"/>
  <c r="M131" i="26"/>
  <c r="M103" i="26"/>
  <c r="S103" i="26" s="1"/>
  <c r="M83" i="26"/>
  <c r="S83" i="26" s="1"/>
  <c r="M79" i="26"/>
  <c r="M59" i="26"/>
  <c r="S59" i="26" s="1"/>
  <c r="M55" i="26"/>
  <c r="S55" i="26" s="1"/>
  <c r="M47" i="26"/>
  <c r="S47" i="26" s="1"/>
  <c r="M26" i="26"/>
  <c r="T98" i="27"/>
  <c r="AH98" i="27" s="1"/>
  <c r="T169" i="27"/>
  <c r="T138" i="27"/>
  <c r="T203" i="27"/>
  <c r="T158" i="27"/>
  <c r="T162" i="27"/>
  <c r="T117" i="27"/>
  <c r="T218" i="27"/>
  <c r="AH218" i="27" s="1"/>
  <c r="T101" i="27"/>
  <c r="T41" i="27"/>
  <c r="M174" i="26"/>
  <c r="M197" i="26"/>
  <c r="M173" i="26"/>
  <c r="M165" i="26"/>
  <c r="M157" i="26"/>
  <c r="S157" i="26" s="1"/>
  <c r="M101" i="26"/>
  <c r="M216" i="26"/>
  <c r="M172" i="26"/>
  <c r="M156" i="26"/>
  <c r="M100" i="26"/>
  <c r="M215" i="26"/>
  <c r="M175" i="26"/>
  <c r="M135" i="26"/>
  <c r="S135" i="26" s="1"/>
  <c r="T224" i="27"/>
  <c r="T227" i="27"/>
  <c r="AH227" i="27" s="1"/>
  <c r="T262" i="27"/>
  <c r="AH262" i="27" s="1"/>
  <c r="T280" i="27"/>
  <c r="AH280" i="27" s="1"/>
  <c r="T266" i="27"/>
  <c r="AH266" i="27" s="1"/>
  <c r="T116" i="27"/>
  <c r="AH116" i="27" s="1"/>
  <c r="T252" i="27"/>
  <c r="AH252" i="27" s="1"/>
  <c r="T270" i="27"/>
  <c r="AH270" i="27" s="1"/>
  <c r="T247" i="27"/>
  <c r="AH247" i="27" s="1"/>
  <c r="T137" i="27"/>
  <c r="T14" i="27"/>
  <c r="AH14" i="27" s="1"/>
  <c r="T226" i="27"/>
  <c r="AH226" i="27" s="1"/>
  <c r="T221" i="27"/>
  <c r="AH221" i="27" s="1"/>
  <c r="T240" i="27"/>
  <c r="AH240" i="27" s="1"/>
  <c r="T23" i="27"/>
  <c r="AH23" i="27" s="1"/>
  <c r="T189" i="27"/>
  <c r="AH189" i="27" s="1"/>
  <c r="T110" i="27"/>
  <c r="AH110" i="27" s="1"/>
  <c r="T182" i="27"/>
  <c r="AH182" i="27" s="1"/>
  <c r="T254" i="27"/>
  <c r="AH254" i="27" s="1"/>
  <c r="T245" i="27"/>
  <c r="AH245" i="27" s="1"/>
  <c r="T248" i="27"/>
  <c r="AH248" i="27" s="1"/>
  <c r="T260" i="27"/>
  <c r="AH260" i="27" s="1"/>
  <c r="T258" i="27"/>
  <c r="AH258" i="27" s="1"/>
  <c r="T261" i="27"/>
  <c r="AH261" i="27" s="1"/>
  <c r="T9" i="27"/>
  <c r="AH9" i="27" s="1"/>
  <c r="T243" i="27"/>
  <c r="AH243" i="27" s="1"/>
  <c r="T259" i="27"/>
  <c r="AH259" i="27" s="1"/>
  <c r="T256" i="27"/>
  <c r="AH256" i="27" s="1"/>
  <c r="T249" i="27"/>
  <c r="AH249" i="27" s="1"/>
  <c r="T290" i="27"/>
  <c r="T207" i="27"/>
  <c r="AH207" i="27" s="1"/>
  <c r="T257" i="27"/>
  <c r="AH257" i="27" s="1"/>
  <c r="T89" i="27"/>
  <c r="AH89" i="27" s="1"/>
  <c r="T123" i="27"/>
  <c r="T85" i="27"/>
  <c r="T96" i="27"/>
  <c r="AH96" i="27" s="1"/>
  <c r="T105" i="27"/>
  <c r="AH105" i="27" s="1"/>
  <c r="T285" i="27"/>
  <c r="AH285" i="27" s="1"/>
  <c r="T7" i="27"/>
  <c r="AH7" i="27" s="1"/>
  <c r="T68" i="27"/>
  <c r="T255" i="27"/>
  <c r="AH255" i="27" s="1"/>
  <c r="T283" i="27"/>
  <c r="AH283" i="27" s="1"/>
  <c r="T184" i="27"/>
  <c r="AH184" i="27" s="1"/>
  <c r="M78" i="26"/>
  <c r="S78" i="26" s="1"/>
  <c r="M74" i="26"/>
  <c r="S74" i="26" s="1"/>
  <c r="M66" i="26"/>
  <c r="S66" i="26" s="1"/>
  <c r="M42" i="26"/>
  <c r="S42" i="26" s="1"/>
  <c r="M34" i="26"/>
  <c r="S34" i="26" s="1"/>
  <c r="M30" i="26"/>
  <c r="S30" i="26" s="1"/>
  <c r="M29" i="26"/>
  <c r="M25" i="26"/>
  <c r="M21" i="26"/>
  <c r="M17" i="26"/>
  <c r="M137" i="26"/>
  <c r="M109" i="26"/>
  <c r="S109" i="26" s="1"/>
  <c r="M89" i="26"/>
  <c r="S89" i="26" s="1"/>
  <c r="M77" i="26"/>
  <c r="S77" i="26" s="1"/>
  <c r="M57" i="26"/>
  <c r="S57" i="26" s="1"/>
  <c r="M45" i="26"/>
  <c r="S45" i="26" s="1"/>
  <c r="M41" i="26"/>
  <c r="S41" i="26" s="1"/>
  <c r="M33" i="26"/>
  <c r="S33" i="26" s="1"/>
  <c r="M24" i="26"/>
  <c r="M16" i="26"/>
  <c r="M164" i="26"/>
  <c r="S164" i="26" s="1"/>
  <c r="M152" i="26"/>
  <c r="M124" i="26"/>
  <c r="M108" i="26"/>
  <c r="S108" i="26" s="1"/>
  <c r="M96" i="26"/>
  <c r="M76" i="26"/>
  <c r="S76" i="26" s="1"/>
  <c r="M52" i="26"/>
  <c r="S52" i="26" s="1"/>
  <c r="M44" i="26"/>
  <c r="S44" i="26" s="1"/>
  <c r="M40" i="26"/>
  <c r="S40" i="26" s="1"/>
  <c r="M23" i="26"/>
  <c r="M19" i="26"/>
  <c r="M15" i="26"/>
  <c r="M123" i="26"/>
  <c r="M107" i="26"/>
  <c r="S107" i="26" s="1"/>
  <c r="M99" i="26"/>
  <c r="S99" i="26" s="1"/>
  <c r="M95" i="26"/>
  <c r="M75" i="26"/>
  <c r="S75" i="26" s="1"/>
  <c r="M51" i="26"/>
  <c r="S51" i="26" s="1"/>
  <c r="M43" i="26"/>
  <c r="S43" i="26" s="1"/>
  <c r="M39" i="26"/>
  <c r="S39" i="26" s="1"/>
  <c r="M35" i="26"/>
  <c r="S35" i="26" s="1"/>
  <c r="M31" i="26"/>
  <c r="S31" i="26" s="1"/>
  <c r="M22" i="26"/>
  <c r="M18" i="26"/>
  <c r="M14" i="26"/>
  <c r="T271" i="27"/>
  <c r="AH271" i="27" s="1"/>
  <c r="T11" i="27"/>
  <c r="AH11" i="27" s="1"/>
  <c r="T37" i="27"/>
  <c r="AH37" i="27" s="1"/>
  <c r="T177" i="27"/>
  <c r="AH177" i="27" s="1"/>
  <c r="T264" i="27"/>
  <c r="AH264" i="27" s="1"/>
  <c r="T24" i="27"/>
  <c r="T103" i="27"/>
  <c r="T179" i="27"/>
  <c r="T104" i="27"/>
  <c r="AH104" i="27" s="1"/>
  <c r="T170" i="27"/>
  <c r="T286" i="27"/>
  <c r="AH286" i="27" s="1"/>
  <c r="T111" i="27"/>
  <c r="T114" i="27"/>
  <c r="AH114" i="27" s="1"/>
  <c r="T133" i="27"/>
  <c r="AH133" i="27" s="1"/>
  <c r="T76" i="27"/>
  <c r="AH76" i="27" s="1"/>
  <c r="T288" i="27"/>
  <c r="T78" i="27"/>
  <c r="AH78" i="27" s="1"/>
  <c r="T180" i="27"/>
  <c r="T77" i="27"/>
  <c r="AH77" i="27" s="1"/>
  <c r="T21" i="27"/>
  <c r="AH21" i="27" s="1"/>
  <c r="T60" i="27"/>
  <c r="AH60" i="27" s="1"/>
  <c r="T102" i="27"/>
  <c r="T268" i="27"/>
  <c r="M114" i="26"/>
  <c r="S114" i="26" s="1"/>
  <c r="M110" i="26"/>
  <c r="S110" i="26" s="1"/>
  <c r="M90" i="26"/>
  <c r="S90" i="26" s="1"/>
  <c r="M145" i="26"/>
  <c r="S145" i="26" s="1"/>
  <c r="M113" i="26"/>
  <c r="S113" i="26" s="1"/>
  <c r="M93" i="26"/>
  <c r="S93" i="26" s="1"/>
  <c r="M73" i="26"/>
  <c r="S73" i="26" s="1"/>
  <c r="M53" i="26"/>
  <c r="S53" i="26" s="1"/>
  <c r="M28" i="26"/>
  <c r="M200" i="26"/>
  <c r="M184" i="26"/>
  <c r="S184" i="26" s="1"/>
  <c r="M136" i="26"/>
  <c r="M112" i="26"/>
  <c r="S112" i="26" s="1"/>
  <c r="M92" i="26"/>
  <c r="S92" i="26" s="1"/>
  <c r="M68" i="26"/>
  <c r="S68" i="26" s="1"/>
  <c r="M183" i="26"/>
  <c r="S183" i="26" s="1"/>
  <c r="M159" i="26"/>
  <c r="S159" i="26" s="1"/>
  <c r="M115" i="26"/>
  <c r="S115" i="26" s="1"/>
  <c r="M111" i="26"/>
  <c r="S111" i="26" s="1"/>
  <c r="M91" i="26"/>
  <c r="S91" i="26" s="1"/>
  <c r="M67" i="26"/>
  <c r="S67" i="26" s="1"/>
  <c r="M63" i="26"/>
  <c r="V24" i="27"/>
  <c r="V278" i="27"/>
  <c r="AH278" i="27" s="1"/>
  <c r="V173" i="27"/>
  <c r="AH173" i="27" s="1"/>
  <c r="V163" i="27"/>
  <c r="V187" i="27"/>
  <c r="V169" i="27"/>
  <c r="V138" i="27"/>
  <c r="V160" i="27"/>
  <c r="V26" i="27"/>
  <c r="V167" i="27"/>
  <c r="AH167" i="27" s="1"/>
  <c r="V176" i="27"/>
  <c r="V136" i="27"/>
  <c r="AH136" i="27" s="1"/>
  <c r="V131" i="27"/>
  <c r="AH131" i="27" s="1"/>
  <c r="V120" i="27"/>
  <c r="V117" i="27"/>
  <c r="V170" i="27"/>
  <c r="V288" i="27"/>
  <c r="V194" i="27"/>
  <c r="V146" i="27"/>
  <c r="O217" i="26"/>
  <c r="O177" i="26"/>
  <c r="S177" i="26" s="1"/>
  <c r="O165" i="26"/>
  <c r="O137" i="26"/>
  <c r="O28" i="26"/>
  <c r="O216" i="26"/>
  <c r="O196" i="26"/>
  <c r="O192" i="26"/>
  <c r="S192" i="26" s="1"/>
  <c r="O215" i="26"/>
  <c r="O211" i="26"/>
  <c r="O203" i="26"/>
  <c r="S203" i="26" s="1"/>
  <c r="O199" i="26"/>
  <c r="S199" i="26" s="1"/>
  <c r="O195" i="26"/>
  <c r="O171" i="26"/>
  <c r="O151" i="26"/>
  <c r="O219" i="26"/>
  <c r="S219" i="26" s="1"/>
  <c r="O218" i="26"/>
  <c r="O198" i="26"/>
  <c r="S198" i="26" s="1"/>
  <c r="O182" i="26"/>
  <c r="S182" i="26" s="1"/>
  <c r="T92" i="27"/>
  <c r="AH92" i="27" s="1"/>
  <c r="T251" i="27"/>
  <c r="AH251" i="27" s="1"/>
  <c r="T269" i="27"/>
  <c r="AH269" i="27" s="1"/>
  <c r="T160" i="27"/>
  <c r="T87" i="27"/>
  <c r="T75" i="27"/>
  <c r="AH75" i="27" s="1"/>
  <c r="T151" i="27"/>
  <c r="T145" i="27"/>
  <c r="T157" i="27"/>
  <c r="T99" i="27"/>
  <c r="T276" i="27"/>
  <c r="AH276" i="27" s="1"/>
  <c r="T65" i="27"/>
  <c r="AH65" i="27" s="1"/>
  <c r="T193" i="27"/>
  <c r="AH193" i="27" s="1"/>
  <c r="T84" i="27"/>
  <c r="T67" i="27"/>
  <c r="T190" i="27"/>
  <c r="AH190" i="27" s="1"/>
  <c r="T81" i="27"/>
  <c r="AH81" i="27" s="1"/>
  <c r="T18" i="27"/>
  <c r="AH18" i="27" s="1"/>
  <c r="M194" i="26"/>
  <c r="M170" i="26"/>
  <c r="M150" i="26"/>
  <c r="M126" i="26"/>
  <c r="S126" i="26" s="1"/>
  <c r="M98" i="26"/>
  <c r="S98" i="26" s="1"/>
  <c r="M86" i="26"/>
  <c r="S86" i="26" s="1"/>
  <c r="M70" i="26"/>
  <c r="M169" i="26"/>
  <c r="M149" i="26"/>
  <c r="M97" i="26"/>
  <c r="S97" i="26" s="1"/>
  <c r="M128" i="26"/>
  <c r="S128" i="26" s="1"/>
  <c r="M72" i="26"/>
  <c r="S72" i="26" s="1"/>
  <c r="M27" i="26"/>
  <c r="M211" i="26"/>
  <c r="M187" i="26"/>
  <c r="S187" i="26" s="1"/>
  <c r="M167" i="26"/>
  <c r="M127" i="26"/>
  <c r="S127" i="26" s="1"/>
  <c r="M71" i="26"/>
  <c r="S71" i="26" s="1"/>
  <c r="T122" i="27"/>
  <c r="AH122" i="27" s="1"/>
  <c r="T163" i="27"/>
  <c r="T187" i="27"/>
  <c r="T127" i="27"/>
  <c r="T16" i="27"/>
  <c r="AH16" i="27" s="1"/>
  <c r="T176" i="27"/>
  <c r="T93" i="27"/>
  <c r="T209" i="27"/>
  <c r="AH209" i="27" s="1"/>
  <c r="T274" i="27"/>
  <c r="AH274" i="27" s="1"/>
  <c r="M218" i="26"/>
  <c r="M158" i="26"/>
  <c r="M138" i="26"/>
  <c r="S138" i="26" s="1"/>
  <c r="M217" i="26"/>
  <c r="M201" i="26"/>
  <c r="M196" i="26"/>
  <c r="M195" i="26"/>
  <c r="M179" i="26"/>
  <c r="S179" i="26" s="1"/>
  <c r="M87" i="26"/>
  <c r="S87" i="26" s="1"/>
  <c r="V290" i="27"/>
  <c r="V191" i="27"/>
  <c r="AH191" i="27" s="1"/>
  <c r="V164" i="27"/>
  <c r="AH164" i="27" s="1"/>
  <c r="V175" i="27"/>
  <c r="AH175" i="27" s="1"/>
  <c r="V188" i="27"/>
  <c r="AH188" i="27" s="1"/>
  <c r="V103" i="27"/>
  <c r="V179" i="27"/>
  <c r="V123" i="27"/>
  <c r="O213" i="26"/>
  <c r="S213" i="26" s="1"/>
  <c r="O221" i="26"/>
  <c r="S221" i="26" s="1"/>
  <c r="O212" i="26"/>
  <c r="S212" i="26" s="1"/>
  <c r="O200" i="26"/>
  <c r="O220" i="26"/>
  <c r="S220" i="26" s="1"/>
  <c r="AH153" i="27" l="1"/>
  <c r="AH148" i="27"/>
  <c r="AH144" i="27"/>
  <c r="AH143" i="27"/>
  <c r="AH187" i="27"/>
  <c r="AH163" i="27"/>
  <c r="AH142" i="27"/>
  <c r="S172" i="26"/>
  <c r="AF150" i="32"/>
  <c r="AH135" i="27"/>
  <c r="AH88" i="27"/>
  <c r="AH74" i="27"/>
  <c r="AH253" i="27"/>
  <c r="AH165" i="27"/>
  <c r="AH38" i="27"/>
  <c r="S169" i="26"/>
  <c r="S197" i="26"/>
  <c r="AF149" i="32"/>
  <c r="AH159" i="27"/>
  <c r="AH84" i="27"/>
  <c r="S152" i="26"/>
  <c r="AH171" i="27"/>
  <c r="AH70" i="27"/>
  <c r="AH134" i="27"/>
  <c r="AH290" i="27"/>
  <c r="AH102" i="27"/>
  <c r="AH127" i="27"/>
  <c r="AH111" i="27"/>
  <c r="AH58" i="27"/>
  <c r="AH67" i="27"/>
  <c r="AH180" i="27"/>
  <c r="AH157" i="27"/>
  <c r="AH161" i="27"/>
  <c r="AH149" i="27"/>
  <c r="AH268" i="27"/>
  <c r="AH145" i="27"/>
  <c r="AH101" i="27"/>
  <c r="AH203" i="27"/>
  <c r="AH224" i="27"/>
  <c r="AH199" i="27"/>
  <c r="AH162" i="27"/>
  <c r="AH176" i="27"/>
  <c r="AH46" i="27"/>
  <c r="AH41" i="27"/>
  <c r="AH82" i="27"/>
  <c r="AH20" i="27"/>
  <c r="AH200" i="27"/>
  <c r="AH93" i="27"/>
  <c r="AH85" i="27"/>
  <c r="AH99" i="27"/>
  <c r="AH151" i="27"/>
  <c r="AH137" i="27"/>
  <c r="AH87" i="27"/>
  <c r="AH68" i="27"/>
  <c r="AH201" i="27"/>
  <c r="AH160" i="27"/>
  <c r="AH195" i="27"/>
  <c r="AH158" i="27"/>
  <c r="AH170" i="27"/>
  <c r="AH288" i="27"/>
  <c r="AH179" i="27"/>
  <c r="AH117" i="27"/>
  <c r="AH103" i="27"/>
  <c r="AH120" i="27"/>
  <c r="AH194" i="27"/>
  <c r="AH138" i="27"/>
  <c r="AH139" i="27"/>
  <c r="AH169" i="27"/>
  <c r="AH146" i="27"/>
  <c r="AH123" i="27"/>
  <c r="AF64" i="31"/>
  <c r="AF113" i="32"/>
  <c r="AF149" i="31"/>
  <c r="AF166" i="31"/>
  <c r="AF145" i="32"/>
  <c r="AF167" i="31"/>
  <c r="S191" i="26"/>
  <c r="S194" i="26"/>
  <c r="AF63" i="32"/>
  <c r="AF118" i="31"/>
  <c r="AF85" i="32"/>
  <c r="AF42" i="31"/>
  <c r="AF152" i="31"/>
  <c r="S174" i="26"/>
  <c r="AF94" i="31"/>
  <c r="AF87" i="32"/>
  <c r="AF156" i="31"/>
  <c r="AF83" i="31"/>
  <c r="AF107" i="32"/>
  <c r="AF61" i="32"/>
  <c r="AF147" i="32"/>
  <c r="AF44" i="31"/>
  <c r="AF106" i="31"/>
  <c r="AF142" i="32"/>
  <c r="AF116" i="31"/>
  <c r="AF116" i="32"/>
  <c r="AF109" i="32"/>
  <c r="AF39" i="32"/>
  <c r="AF78" i="32"/>
  <c r="AF97" i="32"/>
  <c r="AF154" i="31"/>
  <c r="AF123" i="32"/>
  <c r="AF127" i="31"/>
  <c r="AF124" i="32"/>
  <c r="AF202" i="31"/>
  <c r="AF175" i="31"/>
  <c r="AF129" i="32"/>
  <c r="AF77" i="32"/>
  <c r="AF119" i="32"/>
  <c r="AF105" i="32"/>
  <c r="AF77" i="31"/>
  <c r="AF38" i="32"/>
  <c r="AF91" i="31"/>
  <c r="AF139" i="31"/>
  <c r="AF128" i="32"/>
  <c r="AF140" i="32"/>
  <c r="AF131" i="31"/>
  <c r="AF134" i="32"/>
  <c r="S149" i="26"/>
  <c r="AF114" i="32"/>
  <c r="AF159" i="32"/>
  <c r="AF144" i="31"/>
  <c r="AF85" i="31"/>
  <c r="AF43" i="32"/>
  <c r="AF81" i="31"/>
  <c r="AF163" i="32"/>
  <c r="AF146" i="31"/>
  <c r="AF168" i="32"/>
  <c r="AF176" i="31"/>
  <c r="AF139" i="32"/>
  <c r="AF152" i="32"/>
  <c r="AF138" i="32"/>
  <c r="AF59" i="31"/>
  <c r="AF106" i="32"/>
  <c r="AF88" i="32"/>
  <c r="AF41" i="31"/>
  <c r="S96" i="26"/>
  <c r="AF200" i="32"/>
  <c r="AF62" i="31"/>
  <c r="AF73" i="31"/>
  <c r="AF202" i="32"/>
  <c r="AF142" i="31"/>
  <c r="AF60" i="31"/>
  <c r="AF80" i="31"/>
  <c r="AF111" i="31"/>
  <c r="AF67" i="31"/>
  <c r="AF145" i="31"/>
  <c r="S136" i="26"/>
  <c r="AF200" i="31"/>
  <c r="AF44" i="32"/>
  <c r="AF169" i="32"/>
  <c r="AF86" i="31"/>
  <c r="AF90" i="31"/>
  <c r="AF140" i="31"/>
  <c r="AF66" i="31"/>
  <c r="AF132" i="32"/>
  <c r="AF134" i="31"/>
  <c r="AF125" i="31"/>
  <c r="AF126" i="32"/>
  <c r="AF62" i="32"/>
  <c r="S158" i="26"/>
  <c r="S123" i="26"/>
  <c r="S156" i="26"/>
  <c r="S170" i="26"/>
  <c r="S63" i="26"/>
  <c r="S124" i="26"/>
  <c r="S173" i="26"/>
  <c r="S218" i="26"/>
  <c r="S217" i="26"/>
  <c r="S131" i="26"/>
  <c r="S195" i="26"/>
  <c r="S95" i="26"/>
  <c r="S175" i="26"/>
  <c r="S100" i="26"/>
  <c r="S101" i="26"/>
  <c r="S102" i="26"/>
  <c r="S211" i="26"/>
  <c r="S196" i="26"/>
  <c r="S70" i="26"/>
  <c r="S150" i="26"/>
  <c r="S167" i="26"/>
  <c r="S201" i="26"/>
  <c r="S165" i="26"/>
  <c r="S79" i="26"/>
  <c r="S151" i="26"/>
  <c r="S137" i="26"/>
  <c r="S215" i="26"/>
  <c r="S216" i="26"/>
  <c r="S171" i="26"/>
  <c r="S200" i="26"/>
  <c r="S132" i="26"/>
</calcChain>
</file>

<file path=xl/sharedStrings.xml><?xml version="1.0" encoding="utf-8"?>
<sst xmlns="http://schemas.openxmlformats.org/spreadsheetml/2006/main" count="10561" uniqueCount="1404">
  <si>
    <t>Current 2019 Projects</t>
  </si>
  <si>
    <t>ROM cost</t>
  </si>
  <si>
    <t>C</t>
  </si>
  <si>
    <t>VCT &amp; SBH Upgrades</t>
  </si>
  <si>
    <t>VCT Electrical</t>
  </si>
  <si>
    <t>VCT &amp; SBH Hi-Mast LEDs</t>
  </si>
  <si>
    <t>J</t>
  </si>
  <si>
    <t>Copper Piping / AII Rooms</t>
  </si>
  <si>
    <t>Swimming Pool Renovation</t>
  </si>
  <si>
    <t>Animal Shelter</t>
  </si>
  <si>
    <t>Force Main Design</t>
  </si>
  <si>
    <t>S</t>
  </si>
  <si>
    <t>Flooding</t>
  </si>
  <si>
    <t>Fire Station</t>
  </si>
  <si>
    <t>S. Meals Ave</t>
  </si>
  <si>
    <t>Civic Center Staining</t>
  </si>
  <si>
    <t>N</t>
  </si>
  <si>
    <t>Kelsey Dock Phase 2</t>
  </si>
  <si>
    <t>New Well</t>
  </si>
  <si>
    <t>Whalen Ave</t>
  </si>
  <si>
    <t>Imp. Score</t>
  </si>
  <si>
    <t>Priority Score</t>
  </si>
  <si>
    <t>Urg. Score</t>
  </si>
  <si>
    <t>Funding</t>
  </si>
  <si>
    <t>Elevated Priority</t>
  </si>
  <si>
    <t>Elevation Score</t>
  </si>
  <si>
    <t>Importance Category</t>
  </si>
  <si>
    <t>Department Priority</t>
  </si>
  <si>
    <t>Urgency</t>
  </si>
  <si>
    <t>-</t>
  </si>
  <si>
    <t>Maj. Maint.</t>
  </si>
  <si>
    <t>CM</t>
  </si>
  <si>
    <t>Life Safety</t>
  </si>
  <si>
    <t>Failed</t>
  </si>
  <si>
    <t>CIP</t>
  </si>
  <si>
    <t>Council</t>
  </si>
  <si>
    <t>Failed System</t>
  </si>
  <si>
    <t>&lt;1 Year</t>
  </si>
  <si>
    <t>CIP 2018</t>
  </si>
  <si>
    <t>In House</t>
  </si>
  <si>
    <t>Lifecycle replacement</t>
  </si>
  <si>
    <t>1-2 years</t>
  </si>
  <si>
    <t>Deferred Maintenance</t>
  </si>
  <si>
    <t>3-5 years</t>
  </si>
  <si>
    <t>Operational Improvement</t>
  </si>
  <si>
    <t>5-10 years</t>
  </si>
  <si>
    <t>Capital Investment</t>
  </si>
  <si>
    <t>10+ Years</t>
  </si>
  <si>
    <t>#</t>
  </si>
  <si>
    <t>Department</t>
  </si>
  <si>
    <t>Project Name</t>
  </si>
  <si>
    <t>Brief Description</t>
  </si>
  <si>
    <t>Justification</t>
  </si>
  <si>
    <t>Status</t>
  </si>
  <si>
    <t>Estimated Cost</t>
  </si>
  <si>
    <t>Fiscal Year Requested</t>
  </si>
  <si>
    <t>Score</t>
  </si>
  <si>
    <t>Score2</t>
  </si>
  <si>
    <t>Score3</t>
  </si>
  <si>
    <t>Project Ranking</t>
  </si>
  <si>
    <t xml:space="preserve">Estimated Cost total </t>
  </si>
  <si>
    <t>Ports &amp; Harbor</t>
  </si>
  <si>
    <t>In Progress</t>
  </si>
  <si>
    <t>Repair Items Identified in the 2015 Underwater Inspection Report. Defering this project will cause catostrophic failure of the VCT infrastructure.</t>
  </si>
  <si>
    <t>`</t>
  </si>
  <si>
    <t>Hospital</t>
  </si>
  <si>
    <t>Copper Piping / All Rooms</t>
  </si>
  <si>
    <t>Parks &amp; Recreation</t>
  </si>
  <si>
    <t>Swimming Pool Renovations</t>
  </si>
  <si>
    <t>Public Safety</t>
  </si>
  <si>
    <t>Public Works</t>
  </si>
  <si>
    <t>Community Development</t>
  </si>
  <si>
    <t>Fire</t>
  </si>
  <si>
    <t>Civic Center</t>
  </si>
  <si>
    <t>Fire Station Mitigation</t>
  </si>
  <si>
    <t>Roof, Decon Room, HVAC, Exhaust System</t>
  </si>
  <si>
    <t>Generator at PW Shop</t>
  </si>
  <si>
    <t>Emergency generator controls regularly malfunction</t>
  </si>
  <si>
    <t xml:space="preserve">Emergency generator controls </t>
  </si>
  <si>
    <t>Building Maintenance</t>
  </si>
  <si>
    <t>Baler OHD Replacement</t>
  </si>
  <si>
    <t>Replace Fabric doors at Baler</t>
  </si>
  <si>
    <t xml:space="preserve">Old doors are damaged and at end of life. </t>
  </si>
  <si>
    <t>The front doors are in dire need of repair. The locks are sticky and supposedly we cannot get parts for them anymore. The handicap automatic door is not a true automatic door becaue although the front door opens, the second door to the artic entryway does not. We need to either fix the doors or replace them.</t>
  </si>
  <si>
    <t>ATS &amp; Generator Extension to Hospital</t>
  </si>
  <si>
    <t>Evaluate &amp; replace ATS on generator to be effective during brown-outs. Expand service of generator to power Clinic.</t>
  </si>
  <si>
    <t>Regulatory mandated ATS' function within 10 seconds. Not currently automatically transfering during brown-outs. Clinic not on Hospital back-up power.</t>
  </si>
  <si>
    <t>Hospital*</t>
  </si>
  <si>
    <t>1 button Lockdown - security enhancements</t>
  </si>
  <si>
    <t>Install lock-down button at the nurses station</t>
  </si>
  <si>
    <t>facility security</t>
  </si>
  <si>
    <t>Park Maintenance</t>
  </si>
  <si>
    <t xml:space="preserve">Mitigate safety issues at shooting range </t>
  </si>
  <si>
    <t>Additional fill/targets/soil/fencing</t>
  </si>
  <si>
    <t>Valdez City Schools</t>
  </si>
  <si>
    <t>GMS &amp; VHS Concrete Replacement</t>
  </si>
  <si>
    <t>Mezanine at PW shop</t>
  </si>
  <si>
    <t>Needs weight rating/ OSHA Requirement</t>
  </si>
  <si>
    <t>Facility is quite old and has  shown severe signs of aging in the past 2 summers, It is a high use facility in the summer</t>
  </si>
  <si>
    <t>VHS-HHES Generator replacement (and switches)</t>
  </si>
  <si>
    <t>State has indicated replacement is nec</t>
  </si>
  <si>
    <t>Outlived life expectency</t>
  </si>
  <si>
    <t>Imaging Hallway Doors - Locked</t>
  </si>
  <si>
    <t xml:space="preserve">Add alarm lock to the fire system </t>
  </si>
  <si>
    <t>door can't be locked at all times, but would help deter people from coming down the hallway HIPA</t>
  </si>
  <si>
    <t>Exterior Signage for ER</t>
  </si>
  <si>
    <t>Lighted signage at both hospital entrance roads clearly identifying hospital, clinic and ER</t>
  </si>
  <si>
    <t>Emergency Lighting in Theatre</t>
  </si>
  <si>
    <t>When the theatre lights go down, the only lighting available to patrons are the theatre stair lights. It's incredibly hard to see in there and would be very hard to exit in a hurry in the event of an emergency.</t>
  </si>
  <si>
    <t>The level of difficulty to navigate the stairs during a movie is a safety hazzard.</t>
  </si>
  <si>
    <t>Station #4, Back up power</t>
  </si>
  <si>
    <t>Back-up Power for Station</t>
  </si>
  <si>
    <t>Designated shelter will not function with no power</t>
  </si>
  <si>
    <t>Panic Hardware and ADA upgrades</t>
  </si>
  <si>
    <t>Install Panic Hardware on Hall doors City Hall</t>
  </si>
  <si>
    <t xml:space="preserve">Doors are not in fire code compliance.  </t>
  </si>
  <si>
    <t>Replace Electrical Vaults in the Small Boat Harbor Maintenance Pads</t>
  </si>
  <si>
    <t>Replace Failing Electrical Service Vaults int eh Small Boat Harbor Uplands or in new location identified in the Master Plan</t>
  </si>
  <si>
    <t>Failed Sysytem with a poor design</t>
  </si>
  <si>
    <t>Tour Dock Pump Out Replacement</t>
  </si>
  <si>
    <t>Replace Failing Pump out System</t>
  </si>
  <si>
    <t>Ensure Tour Vessel Operators can Pump Effluent from vessels</t>
  </si>
  <si>
    <t xml:space="preserve">Glacier Haul Rd </t>
  </si>
  <si>
    <t>Emergency dike needs rebuilt to Engineer's specs</t>
  </si>
  <si>
    <t>Sewer / Grease Trap</t>
  </si>
  <si>
    <t>Big Dipper like at middle school</t>
  </si>
  <si>
    <t>Lift Install Phase II</t>
  </si>
  <si>
    <t>Install lifts as previously installed in facility</t>
  </si>
  <si>
    <t>approx. 1/3 of facility is complete</t>
  </si>
  <si>
    <t>Psych Ed</t>
  </si>
  <si>
    <t>Designate area for Psych</t>
  </si>
  <si>
    <t>need safe place for psych room</t>
  </si>
  <si>
    <t>Armor the edge by balefield/ add rip-rap and dig in a toe</t>
  </si>
  <si>
    <t>Landfill protection. Repair river scour from 2017</t>
  </si>
  <si>
    <t>Waterline replacement VHS</t>
  </si>
  <si>
    <t>Waterlines are nearly non functional</t>
  </si>
  <si>
    <t>Waterline replacement HHES</t>
  </si>
  <si>
    <t>waterlines are nearly non functional</t>
  </si>
  <si>
    <t>outlived life expectency</t>
  </si>
  <si>
    <t>Waterline Replacement District Office</t>
  </si>
  <si>
    <t>failed System</t>
  </si>
  <si>
    <t>Repair sewer main between Lift Stations 2 &amp;3</t>
  </si>
  <si>
    <t>Pipe was potentially damaged by well point installed for nearby water main construction; Recommend TV line to look at condition; Evaluate feasibility of trenchless repair.</t>
  </si>
  <si>
    <t>Police</t>
  </si>
  <si>
    <t>PD Storage (including secure evidence)</t>
  </si>
  <si>
    <t>A dedicated secure building for PD storage (bomb equipment, etc.) as well as secure evidence storage (vehicles).  Will require electric and heat - maybe not water</t>
  </si>
  <si>
    <t>Lack of storage and no secure evidence locations for large evidence items such as vehicles.  Basically a copy of the existing Trooper building near DOT.</t>
  </si>
  <si>
    <t>Public Works office- 2nd exit</t>
  </si>
  <si>
    <t xml:space="preserve">We have a emergency window ladder only </t>
  </si>
  <si>
    <t>White Noise Machines</t>
  </si>
  <si>
    <t>Add white noise machines at behavioral health</t>
  </si>
  <si>
    <t>Can hear in the hallway at times</t>
  </si>
  <si>
    <t>Valdez Senior Center, Inc.</t>
  </si>
  <si>
    <t xml:space="preserve">Hot Water Power Booster </t>
  </si>
  <si>
    <t>A hot water power booster is needed under the kitchen commercial dishwasher</t>
  </si>
  <si>
    <t>This is a safety issue. As a City facility in Valdez serving food, we are required to maintain certain water temperatures during dishwasher wash &amp; rinse cycles to assure items are being sterilized and sanitized.</t>
  </si>
  <si>
    <t>Station #4, Shelter Up-grade</t>
  </si>
  <si>
    <t xml:space="preserve">Design </t>
  </si>
  <si>
    <t>St #4 does not function as a shelter</t>
  </si>
  <si>
    <t>Library</t>
  </si>
  <si>
    <t>Water Drainage</t>
  </si>
  <si>
    <t>Loading Dock needs more drainage spring thaw and rain will fill the area.</t>
  </si>
  <si>
    <t>Need to remove water and ponding.</t>
  </si>
  <si>
    <t>Locker Room Remodel</t>
  </si>
  <si>
    <t>Update/Remodel existing PD locker rooms</t>
  </si>
  <si>
    <t>Locker rooms are outdated and in need of remodel/repair.  They have been the same since at least 1999</t>
  </si>
  <si>
    <t>PD Impound Lot</t>
  </si>
  <si>
    <t>Clear existing dedicated lot, establish driveway and install gate</t>
  </si>
  <si>
    <t>Lack of qualified impound options</t>
  </si>
  <si>
    <t>Fire Hydrant Replacement - In fill</t>
  </si>
  <si>
    <t xml:space="preserve">Replace out dated infrustructure </t>
  </si>
  <si>
    <t>On-going program, multi year</t>
  </si>
  <si>
    <t>Replace windows of VHS library</t>
  </si>
  <si>
    <t>Fire Wall Compliance Project</t>
  </si>
  <si>
    <t>Imaging Office window and Speech Office Window out of compliance.</t>
  </si>
  <si>
    <t>Boiler Revent</t>
  </si>
  <si>
    <t>Ventilation on boilers needs upgraded</t>
  </si>
  <si>
    <t>New weather stripping around catering doors, loading dock doors, roof access hatch and theatre man doors.</t>
  </si>
  <si>
    <t xml:space="preserve">Cold air just pours in around the doors near the kitchen and loading dock. </t>
  </si>
  <si>
    <t>Improvement of heating efficiency.</t>
  </si>
  <si>
    <t>WanderGuard Upgrade</t>
  </si>
  <si>
    <t>Current radio frequencies have multiple interferences</t>
  </si>
  <si>
    <t>Harbor Boardwalk Reconstruction</t>
  </si>
  <si>
    <t>Replace failling Harbor Boardwalks and Rest Shelters.</t>
  </si>
  <si>
    <t xml:space="preserve">Triping Hazzards and Failied Harbor walks.  </t>
  </si>
  <si>
    <t>Apartment Upgrades</t>
  </si>
  <si>
    <t xml:space="preserve">Replace carpeting &amp; vinyl flooring; refinish kitchen cabinets; replace existing appliances; new backsplashes and counter tops; replace built in wall ovens and flat top burners with single stove w/built in overhead microwave ovens; redo electrical wiring for stoves that isn't up to code; interior painting; replace existing overhead light fixtures; upgrade entire bathrooms with new vanities, raised toilets, light fixtures, medicine cabinets, and step in showers with grab bars &amp; shower seats.  </t>
  </si>
  <si>
    <t xml:space="preserve">The apartments are over 30 years old and are in serious need of upgrade. Approximately one-half of the apartments need most of the upgrades listed. All but 5 apartments need showers replaced due to inaccessible bathtubs. Two tenants are currently in serious need of shower replacements; both are unable to step over the high sides of their bathtubs to shower. </t>
  </si>
  <si>
    <t>Baler Roof</t>
  </si>
  <si>
    <t>Roof Repalcement</t>
  </si>
  <si>
    <t>Leaks</t>
  </si>
  <si>
    <t>Emergency Department Entrance Redesign</t>
  </si>
  <si>
    <t>Create a triage desk and waiting area upon entrance to the hospital.  Move the morgue to the back of the hospital.</t>
  </si>
  <si>
    <t>Infection Prevention, security, Privacy for removal of remains from the morgue, safety of employees moving remains - hard to lift and move remains from current room.</t>
  </si>
  <si>
    <t>Remove old Picnic Shelters at Civic Center</t>
  </si>
  <si>
    <t>Replace with decorative landscape</t>
  </si>
  <si>
    <t>Door cut between concession and tickets</t>
  </si>
  <si>
    <t>We desperately need a doorway between concessions and tickets to allow heat to disperse and communication between the two areas during a movie</t>
  </si>
  <si>
    <t>The concession stand gets so hot in the summer it melts the chocolate products. It would also allow us to potentially use less staff if you could move between one line and another with ease during a slower movie.</t>
  </si>
  <si>
    <t>Boiler Replacement Council Chambers</t>
  </si>
  <si>
    <t>Replace aged boiler</t>
  </si>
  <si>
    <t>Council Boiler is old and we can't get parts for it.</t>
  </si>
  <si>
    <t>New Carpet Council Chambers</t>
  </si>
  <si>
    <t>Replace warn out Carpet  in Council</t>
  </si>
  <si>
    <t xml:space="preserve">Carpet is warn and frayed causes a trip hazard. </t>
  </si>
  <si>
    <t>REC CENTER Remodel</t>
  </si>
  <si>
    <t>See combined Rec Center Scopes</t>
  </si>
  <si>
    <t>Facility has outlived current use and function.</t>
  </si>
  <si>
    <t>Chiller Replacement</t>
  </si>
  <si>
    <t>retrofit or replace the chiller</t>
  </si>
  <si>
    <t>Freon will become obsolete in 2020</t>
  </si>
  <si>
    <t xml:space="preserve">Replace Library Windows </t>
  </si>
  <si>
    <t>13 windows (7 that open) along the back wall of the main floor of the library need to be replaced with more energy efficient windows that can be locked.</t>
  </si>
  <si>
    <t xml:space="preserve">Of the seven windows that open,five have broken latches and cannot be closed securely.  Each window has a 1/2 inch gap in the top,so even when closed the windows are not air tight. In the winter, sometimes windows are drilled shut,to prevent them from blowing open in the wind.  This means the windows cannot be opened in case of fire or another emergency.  All of the windows have blinds inside the two panes of glass,and most of the blinds no longer work.  Bottom line,these  windows are energy
inefficient and pose a security risk.
</t>
  </si>
  <si>
    <t>Museum</t>
  </si>
  <si>
    <t>HVAC at Main Museum</t>
  </si>
  <si>
    <t>Replace Failing HVAC at Main Museum</t>
  </si>
  <si>
    <t>VCT Waterline Repair/Replacement</t>
  </si>
  <si>
    <t>Replace Failed Water System at the VCT</t>
  </si>
  <si>
    <t>Failed Does not supply enough water for Fire Safety.</t>
  </si>
  <si>
    <t>Information Technology</t>
  </si>
  <si>
    <t>Build New Data Center (Server Room)</t>
  </si>
  <si>
    <t>Current server room lacks proper climate control, fire suppression system, flooring, cooling, etc.  Timing might be dependent on future building (e.g. Fire Department).</t>
  </si>
  <si>
    <t>Existing server room has been "built over time" and lacks many of the industry standard attributes to run a safe and efficient location for IT servers and network equipment.</t>
  </si>
  <si>
    <t>TBD</t>
  </si>
  <si>
    <t>HVAC at Annex</t>
  </si>
  <si>
    <t>Replace Inadequate HVAC at Annex</t>
  </si>
  <si>
    <t>While the library is not the cause of the imbalance, the warehouse facility does not function well with the climate control system</t>
  </si>
  <si>
    <t>Harbor office fish clean station has water line break that needs repaired. Replace valves and sidewalk</t>
  </si>
  <si>
    <t xml:space="preserve">underground waterline break </t>
  </si>
  <si>
    <t>Aging infrastructure</t>
  </si>
  <si>
    <t>Roof has exhausted its life expectancy</t>
  </si>
  <si>
    <t>VHS Exterior Door Replacement &amp; Security Upgrades</t>
  </si>
  <si>
    <t>Replace exterior doors</t>
  </si>
  <si>
    <t>HHES Exterior Door Replacement &amp; Security Upgrades</t>
  </si>
  <si>
    <t>Sidewalk replacement District Office</t>
  </si>
  <si>
    <t xml:space="preserve">Existing sidewalks deteriorated </t>
  </si>
  <si>
    <t>District Office Boiler Replacement</t>
  </si>
  <si>
    <t>Replace boiler system</t>
  </si>
  <si>
    <t>Carpeting for VSC facility offices and stairs</t>
  </si>
  <si>
    <t>Replace original carpeting in two front offices, two upstairs offices and stairway. Repair damaged floor in Director's office.</t>
  </si>
  <si>
    <t>The carpeting in the facility is very old and stained. It is too worn to clean and is unsightly to the public. VSC needs to project a professional image to the public.</t>
  </si>
  <si>
    <t>Re-grade Black Gold Park for proper drainage and to make it usable area in the summer</t>
  </si>
  <si>
    <t>Regrade and improve drainage</t>
  </si>
  <si>
    <t>Large ponds form and water never drains off the park.</t>
  </si>
  <si>
    <t>Boiler Mates at the Senior Center</t>
  </si>
  <si>
    <t>Replace Domestic Hot Water makers at Senior Center</t>
  </si>
  <si>
    <t xml:space="preserve">Old Hot Water makers are at end of service life and inefficient.  </t>
  </si>
  <si>
    <t>Replace Side walk at City Hall</t>
  </si>
  <si>
    <t>Replace old broken sidewalk</t>
  </si>
  <si>
    <t>Frost heave broken side walk</t>
  </si>
  <si>
    <t>New AC for Museum</t>
  </si>
  <si>
    <t>Replace Air Conditioners at the Museum</t>
  </si>
  <si>
    <t xml:space="preserve">Existing Liberst use R-22 Freon Gas that has been discontinued.  Replacing AC is better than adapting for new Freon. </t>
  </si>
  <si>
    <t>Replace Fuel Tank Senior Center</t>
  </si>
  <si>
    <t>Replace AST Fuel Tank Senior Center</t>
  </si>
  <si>
    <t xml:space="preserve">AST fuel Tank is rusted badly should be replaced. </t>
  </si>
  <si>
    <t>Carpet on theatre stairs.</t>
  </si>
  <si>
    <t>The last time the carpet was replaced in the building (around 2009) the theatre stair carpet was not replaced. It is old and frayed in some places and is in need of replacement.</t>
  </si>
  <si>
    <t>Tripping hazzard and visual improvement.</t>
  </si>
  <si>
    <t>Re-key Facility</t>
  </si>
  <si>
    <t>Replace locks and re-key</t>
  </si>
  <si>
    <t>Library and Staff Restrooms</t>
  </si>
  <si>
    <t>There are four public restrooms in the library and one staff restroom. Two of the public restrooms are located on the main floor and two on the basement level.  Each restroom needs updated  fixtures,new flooring,counter tops,and automatic doors(public restrooms only).</t>
  </si>
  <si>
    <t>The current restrooms are functional,but not ADA compliant. Each restroom has big heavy door that is difficult to manage for anyone with impaired mobility. Fixtures are very out of date.  Any public facility in the City should have restrooms that are ADA accessible,and all of our patrons  would benefit  from an upgrade to our restrooms.</t>
  </si>
  <si>
    <t>Replace Rest Areas in the Small Boat Harbor Boardwalks</t>
  </si>
  <si>
    <t>Failing and Due to be replaced</t>
  </si>
  <si>
    <t>HHES Cafeteria floor</t>
  </si>
  <si>
    <t xml:space="preserve">tile floor replacement necessary </t>
  </si>
  <si>
    <t>floor has settled, deteriorated, tiles loose</t>
  </si>
  <si>
    <t>Exterior shop doors replacement</t>
  </si>
  <si>
    <t>Shop doors need replacement</t>
  </si>
  <si>
    <t>Doors have exhausted their life expectency</t>
  </si>
  <si>
    <t>PVC siding of entire VSC building</t>
  </si>
  <si>
    <t xml:space="preserve">Repair damage; staff with Stan P. who is aware of scope of work involved. The scope of work is outside the realm of VSC's operating budget.  </t>
  </si>
  <si>
    <t xml:space="preserve">Repair of damaged siding will resolve existing issues and prevent additional buckling from occurring to the structure. Outside siding problems could lead to leaking issues that could impact other operations. </t>
  </si>
  <si>
    <t>New sand shed roof</t>
  </si>
  <si>
    <t>at city shop</t>
  </si>
  <si>
    <t>roof leaks</t>
  </si>
  <si>
    <t>Hanagita Warehouse Resided/ Concrete Floor</t>
  </si>
  <si>
    <t>Needs to be resided and have a concrete floor and lights installed</t>
  </si>
  <si>
    <t>Building is critical indoor storage but it needs a facelift</t>
  </si>
  <si>
    <t>Doors at PW Shop</t>
  </si>
  <si>
    <t>need, hinges, and weather striping</t>
  </si>
  <si>
    <t xml:space="preserve">Doors are sagging and weather stipping is worn/ leaking </t>
  </si>
  <si>
    <t xml:space="preserve">Repair sewer main at animal shelter  </t>
  </si>
  <si>
    <t>Gravel in line indicates pipe failure; Recommend TV line to look at condition.</t>
  </si>
  <si>
    <t>Fix failing pipe</t>
  </si>
  <si>
    <t xml:space="preserve">Comprehensive reservoir evaluation and cleaning </t>
  </si>
  <si>
    <t>Perform comprehensive evaluation of tank interiors and robotic tank cleaning; Project is ongoing.</t>
  </si>
  <si>
    <t>Identify maintenance issues</t>
  </si>
  <si>
    <t>Public Works office new flooring</t>
  </si>
  <si>
    <t>orginal</t>
  </si>
  <si>
    <t>hard to clean</t>
  </si>
  <si>
    <t>Mineral Creek Bridge Repairs</t>
  </si>
  <si>
    <t>Repair as per ADOT Engineer's report</t>
  </si>
  <si>
    <t xml:space="preserve">New overhead lights installed in Maintenance Shop </t>
  </si>
  <si>
    <t xml:space="preserve">Replace all overhead lights in main shop </t>
  </si>
  <si>
    <t xml:space="preserve">Old lights are failing. Replace with new technology/ lower energy consumption lights. Install contactor. </t>
  </si>
  <si>
    <t>Animal Control</t>
  </si>
  <si>
    <t>Animal Shelter Floor Replacement</t>
  </si>
  <si>
    <t>Replace Animal Shelter Flooring throughout the building (except Kennel area and Garage area)</t>
  </si>
  <si>
    <t>Flooring is in need of replacement and is in a high-traffic, high-visibility area</t>
  </si>
  <si>
    <t xml:space="preserve">Water service at Lift Stations </t>
  </si>
  <si>
    <t xml:space="preserve"> Install water service for wash down at Lift Stations 2, 3, 4, 5, &amp; 6 </t>
  </si>
  <si>
    <t>Speaker/Overhead Paging Upgrade</t>
  </si>
  <si>
    <t>Add speakers and adjust volume on current system</t>
  </si>
  <si>
    <t>LED Lighting Replacement</t>
  </si>
  <si>
    <t>Upgrade Lighting in Facility to LED</t>
  </si>
  <si>
    <t>Electrical savings potential</t>
  </si>
  <si>
    <t>Sloped roofs for well houses</t>
  </si>
  <si>
    <t>Install sloping roofs on Well/Pump houses</t>
  </si>
  <si>
    <t>Flat roofs are failing and allowing water to damage interior of buildings</t>
  </si>
  <si>
    <t>Small Boat Harbor Major Reconstruction</t>
  </si>
  <si>
    <t>Replace H-K Docks, Repair/relocated Boat Lifting Pier and Operations, Replace the Tour Dock, Replace the Travelift, and maximise float capacity.</t>
  </si>
  <si>
    <t>End of life expectancy and needs to be replaced ($5M Grant money)</t>
  </si>
  <si>
    <t>Harbor Office and Maintenance Building</t>
  </si>
  <si>
    <t xml:space="preserve">Remodel/Replace Existing Harbor Office and Maitnenance Building.  Create aditional work spaces, laundry, showers, and indoor maintenance areas.  </t>
  </si>
  <si>
    <t xml:space="preserve">Current Harbor Offices are past their original life expectancy </t>
  </si>
  <si>
    <t>Storm Drain Repair District Office</t>
  </si>
  <si>
    <t>Storm drain has deteriorated</t>
  </si>
  <si>
    <t>storm drain has collapsed…erosion</t>
  </si>
  <si>
    <t>South Harbor Drive complete rebuild</t>
  </si>
  <si>
    <t>Replace: water, sewer, storm, gutter/sidewalk, sub-base, pavement</t>
  </si>
  <si>
    <t>pavement and utilities are all in poor condition due to age.</t>
  </si>
  <si>
    <t>Baler Floor Repair</t>
  </si>
  <si>
    <t>Install new Acid resistant concrete and slope to drain</t>
  </si>
  <si>
    <t>Upgrade HVAC System</t>
  </si>
  <si>
    <t>Gazebo on Egan, mason work on statue gazebo floor</t>
  </si>
  <si>
    <t>Rock has fallen off for years. Was put there by council years ago, gazebo floor, perhaps rain gutters</t>
  </si>
  <si>
    <t>One of the first things tourists see as they drive in to town</t>
  </si>
  <si>
    <t>Re-pave/ Drainage Repair In Robe River Subdivision</t>
  </si>
  <si>
    <t xml:space="preserve">Entire subdivision has failing asphalt and drainage issues </t>
  </si>
  <si>
    <t>LED conversion for PD</t>
  </si>
  <si>
    <t>Convert existing lights to LED</t>
  </si>
  <si>
    <t>Well over 100 lights in an area that has employees working 24 hours a day, 7 days a week, 365 days a year.  The coversion will pay for itself in a matter of two years</t>
  </si>
  <si>
    <t>Fire Training Facility</t>
  </si>
  <si>
    <t>Design, Construct</t>
  </si>
  <si>
    <t xml:space="preserve">Currently, no facility to train at and no props </t>
  </si>
  <si>
    <t>Fiber Optic Runs Throughout City</t>
  </si>
  <si>
    <t>City-wide; begin 2018 and grow through future years.</t>
  </si>
  <si>
    <t>Greater control of network, improved security, cost of time.</t>
  </si>
  <si>
    <t>Concrete Re-sealing for all Port and Harbor Concrete surfaces</t>
  </si>
  <si>
    <t>Concrete Prep and Re-sealing of the VCT float, Kelsey Plaza, and Stand Stephens Plaz areas.</t>
  </si>
  <si>
    <t>The Port would like to meet industry standard Operations and Maintenance standards for Marine Infrastructures to prolong concrete life expectancy and maintenance requirements. (every 5 years)</t>
  </si>
  <si>
    <t>Airport Parking Lot Improvements and paving</t>
  </si>
  <si>
    <t>Improve drainage and repair failed paving areas</t>
  </si>
  <si>
    <t>Pay some now or pay more later.</t>
  </si>
  <si>
    <t>Stan Stephens parking lot and plaza repairs</t>
  </si>
  <si>
    <t xml:space="preserve">Repair curbs, concrete walks, decking, and interpretive shelter. </t>
  </si>
  <si>
    <t>Damaged walks and Curbs are an eyesore and if left unrepaired will eventually cause additional construction replacement costs.</t>
  </si>
  <si>
    <t xml:space="preserve">Back-up well for Well No. 4 </t>
  </si>
  <si>
    <t>Install two test wells in the vicinity of Well No. 4; Develop one into a new production well.</t>
  </si>
  <si>
    <t>Add needed redundancy and capacity to City water system</t>
  </si>
  <si>
    <t>LED Lighting for theatre.</t>
  </si>
  <si>
    <t>We currently have approximately two hundred (200) 750-1000 Watt theatre lights. Not only is the lighting technology antiquated, but it's costly to run when we have a need theatre lights. We could replace the theatre lights in stages, doing one pipe at a time and it would not be such an all-at-once financial hit. This would help to bring our theatre up-to-date will others around the country as all are switching to LED theatrical lights.</t>
  </si>
  <si>
    <t>Cost efficiency and modernization.</t>
  </si>
  <si>
    <t>Repair/Replace picnic shelters at Glacier Campground, Alpine Woods, Robe River Park,  Dock Point</t>
  </si>
  <si>
    <t>Structures need to be maintained preparatory for replacement. Support posts are rotting.</t>
  </si>
  <si>
    <t>Evaluation complete in 2017</t>
  </si>
  <si>
    <t xml:space="preserve">Bypass at Lift Station 1 </t>
  </si>
  <si>
    <t>Valves and quick-disconnect pump connection on force main to isolate station and allow bypass pumping.</t>
  </si>
  <si>
    <t>Will allow bypass pumping during emergency shutdown of lift station</t>
  </si>
  <si>
    <t>Senior Center Rd/parking lot corner removal</t>
  </si>
  <si>
    <t>corner needs to be reworked for snow removal</t>
  </si>
  <si>
    <t>will improve access around Hospital and Senior Center</t>
  </si>
  <si>
    <t>Electric line over Senior Center Road</t>
  </si>
  <si>
    <t>Need to be removed for snow removal safety</t>
  </si>
  <si>
    <t>Dangerous for snow removal operations</t>
  </si>
  <si>
    <t xml:space="preserve">Marine Infrastructure underwater/Inpsection </t>
  </si>
  <si>
    <t>This item is reoccuring every 5 years and should be built intot he long term plan.</t>
  </si>
  <si>
    <t>Maintenance is less costly than replacement.</t>
  </si>
  <si>
    <t>New Police Station</t>
  </si>
  <si>
    <t>Build new Police Station and Jail attached to the newly constructed Fire Station</t>
  </si>
  <si>
    <t>As an alternative to the aforementioned smaller items…..</t>
  </si>
  <si>
    <t>LTC 2 hour fire wall</t>
  </si>
  <si>
    <t>Add the the wall separating long term care</t>
  </si>
  <si>
    <t>reduces liability during inspections</t>
  </si>
  <si>
    <t>Dispatch exterior door and balcony</t>
  </si>
  <si>
    <t>Build a small balcony off of the south side wall of Dispatch, install sliding door or exterior door</t>
  </si>
  <si>
    <t>Dispatchers work long hours (12) in which they are unable to leave their work station - doing this project would allow them the ability to step outside and get fresh air/sunshine while still performing their job functions</t>
  </si>
  <si>
    <t>VCT Floating Dock</t>
  </si>
  <si>
    <t>Concrete and Cables are end of life expectancy and failing.</t>
  </si>
  <si>
    <t>Critical Port Infrastructure</t>
  </si>
  <si>
    <t>Gold Fields Upgrades</t>
  </si>
  <si>
    <t>Repaint and trim Gold Fields Facility and new fenceline/dugouts/upper level office remodel</t>
  </si>
  <si>
    <t>Wood rot in facility and original construction (circa 1980s) fence line deteriorating.</t>
  </si>
  <si>
    <t xml:space="preserve">Well </t>
  </si>
  <si>
    <t>Add well, for water redundancy as well as use with chiller</t>
  </si>
  <si>
    <t>Water redundancy</t>
  </si>
  <si>
    <t>Covered Vehicle Parking</t>
  </si>
  <si>
    <t>Covered area for trash trucks</t>
  </si>
  <si>
    <t>Protection from weather and animals for expensive equipment</t>
  </si>
  <si>
    <t>Replace Alpine Woods Outhouse</t>
  </si>
  <si>
    <t>Replace Outhouse at Alpine woods park nearest tennis court with Romtec</t>
  </si>
  <si>
    <t>Structure is failing.</t>
  </si>
  <si>
    <t>Airport Remodel</t>
  </si>
  <si>
    <t xml:space="preserve">Airport Lobby Remodel, new lighting and interior décor.  </t>
  </si>
  <si>
    <t>Dated and aged lobby/welcoming Port</t>
  </si>
  <si>
    <t xml:space="preserve">WWTP Improvements </t>
  </si>
  <si>
    <t xml:space="preserve">New headworks screening and septage receiving;
New Biolac aeration system in Lagoon 2
</t>
  </si>
  <si>
    <t>Improve efficiency of treatment lagoons</t>
  </si>
  <si>
    <t>Snow shed roof at LS# 5,7 and 8.</t>
  </si>
  <si>
    <t>Install pitched roofs to eliminate snow loading and frequent shoveling</t>
  </si>
  <si>
    <t>would eliminate need to shovel roofs often during the winter</t>
  </si>
  <si>
    <t xml:space="preserve">Reroute Lift Station 3 force main </t>
  </si>
  <si>
    <t>Reroute force main to manhole upstream of Lift Station 4; Eliminates manifold connection to Lift Station 1 force main.</t>
  </si>
  <si>
    <t>Will eliminate small force main back-up</t>
  </si>
  <si>
    <t>Build a new Solid Waste transfer site</t>
  </si>
  <si>
    <t>Transfer site for Baler location</t>
  </si>
  <si>
    <t>Will make Baler operations more efficient</t>
  </si>
  <si>
    <t>Electrical support for HHES</t>
  </si>
  <si>
    <t>Need to add add'l service to HHES</t>
  </si>
  <si>
    <t>Electrical access not meeting needs</t>
  </si>
  <si>
    <t>Replace Incinerator in Animal Shelter</t>
  </si>
  <si>
    <t>End of life cycle (this one bought in 2005 and estimated life cycle is 20 years)</t>
  </si>
  <si>
    <t>Lighting</t>
  </si>
  <si>
    <t>Replace all fluorescent and other bulbs in the library with energy efficient bulbs and update the light fixtures in the library.</t>
  </si>
  <si>
    <t>The library has a very high electrical bill every year. Fluorescent bulbs have proven to be energy inefficient and there are better alternatives out there. If we update the fixtures and choose different bulbs, we should see a decrease in the electricity bill. Also, the cast of light from fluorescent bulbs is difficult on the eyes and not ideal for reading and work on computers. Changing out the bulbs and fixtures will also improve the overall look of the library.</t>
  </si>
  <si>
    <t>Rec Center Canopy &amp; storage Addition</t>
  </si>
  <si>
    <t>Add storage and extend patio roof</t>
  </si>
  <si>
    <t>Storage for activities is currently limited to single storage shed. Expanding the patio would allow actual use of the space. Currently too small to be functional.</t>
  </si>
  <si>
    <t>High Level Disinfectant Processing Room Division</t>
  </si>
  <si>
    <t>split room dirty room for scope processing - clean and dirty area or move scope to clean room.</t>
  </si>
  <si>
    <t>High level disinfectant (HDL) Processing Room</t>
  </si>
  <si>
    <t>Rec Center ADA Upgrades</t>
  </si>
  <si>
    <t>Whole facility ADA compliant upgrades</t>
  </si>
  <si>
    <t>Need to ensure ADA accessibility to facility.</t>
  </si>
  <si>
    <t>Rec Center New flooring</t>
  </si>
  <si>
    <t>Replace tiles in entry way; kitchen; dance floor, &amp; carpeting</t>
  </si>
  <si>
    <t>Carpet is worn and has outlived useful service life</t>
  </si>
  <si>
    <t xml:space="preserve">Rec Center New lighting </t>
  </si>
  <si>
    <t>Replace lighting with LED &amp; add lighting where needed</t>
  </si>
  <si>
    <t>interior partitions reduce light and LEDs can be an energy savings</t>
  </si>
  <si>
    <t>Rec Center Exterior upgrades &amp; expanded parking</t>
  </si>
  <si>
    <t>restain/repaint building. Add/ upgrade exterior lighting. Expand parking and add second driveway into facility.</t>
  </si>
  <si>
    <t>more users need parking with expanded services. Exterior is dated and in need of maintenance that has been deferred.</t>
  </si>
  <si>
    <t>Audio/Visual upgrades for meeting space</t>
  </si>
  <si>
    <t>Oak in hall along heating vents needs refinishing.</t>
  </si>
  <si>
    <t>The oak along the heating vents takes a lot of sun damage and heat exposure. Through the years it has become discolored and in serious need of refinishing.</t>
  </si>
  <si>
    <t>This area is highly visual as it is the are people go to look out the windows at one of the best views in Valdez. It's unnattractive to look at sun discolored and spot stained oak trim.</t>
  </si>
  <si>
    <t>RE Staight Building Remodel</t>
  </si>
  <si>
    <t>Building needs a remodel</t>
  </si>
  <si>
    <t>Maintain the building</t>
  </si>
  <si>
    <t xml:space="preserve">Water main valve replacements, city-wide </t>
  </si>
  <si>
    <t>Evaluate condition of existing water main valves and replace nonfunctioning valves</t>
  </si>
  <si>
    <t>Replace aged, leaking or stuck water main valves</t>
  </si>
  <si>
    <t>Restroom Remodel</t>
  </si>
  <si>
    <t>Upgrade Restrooms &amp; make ADA Compliant if possible</t>
  </si>
  <si>
    <t>access/necessary upkeep</t>
  </si>
  <si>
    <t>Wildlife Viewing Platform</t>
  </si>
  <si>
    <t>Wildlife viewing platform on Dayville Road, west of the Hatchery.</t>
  </si>
  <si>
    <t>Plans already exist - wildlife viewing platform at Dayville Road to allow point for people to view wildlife while also controlling their movement and establishing better public safety (less bear v. people encounters)</t>
  </si>
  <si>
    <t>Replace tennis courts at Alpine woods park</t>
  </si>
  <si>
    <t>Surface needs redone</t>
  </si>
  <si>
    <t>Robe River/Corbin area sewer extension</t>
  </si>
  <si>
    <t>Install sanitary sewer system to Robe River and Corbin Creek, link to treament plant.</t>
  </si>
  <si>
    <t>Engineering done in 2010 due to too high of density of septic systems. New subdivision to begin construction in 2018. Public health and safety issue, possible natural resource degredation.</t>
  </si>
  <si>
    <t>Improve the location and desirability for public and incoming cruise ship industry port of calls.</t>
  </si>
  <si>
    <t>Carpet Replacement</t>
  </si>
  <si>
    <t>Replace worn carpet when necessary</t>
  </si>
  <si>
    <t>necessary upkeep</t>
  </si>
  <si>
    <t>GMS storage building</t>
  </si>
  <si>
    <t>Building for maintenance equipment</t>
  </si>
  <si>
    <t>Critical to have storage</t>
  </si>
  <si>
    <t>Bleachers for GMS</t>
  </si>
  <si>
    <t>Bleachers for football field</t>
  </si>
  <si>
    <t>Part of original scope</t>
  </si>
  <si>
    <t>Campus Wide Walking Path</t>
  </si>
  <si>
    <t>Safety of mobile residents, health of staff</t>
  </si>
  <si>
    <t>Replace parking lot lights City Hall</t>
  </si>
  <si>
    <t>Replace the lights at City Hall</t>
  </si>
  <si>
    <t>Exterior Lights are rusted and need replacing</t>
  </si>
  <si>
    <t>Under Ground the Power Lines VSBH</t>
  </si>
  <si>
    <t>Underground overhead Power Lines at the SBH Snow Lot</t>
  </si>
  <si>
    <t>Allow us to use the boat lift across the street.</t>
  </si>
  <si>
    <t>Underground the Power Lines at the entrance to the VCT and create staging area for trucks</t>
  </si>
  <si>
    <t>Allows for overheight loads to be moved up the Richardson without the Power Company coming to lower the lines and interrupt service.  Provides additional staging for trucks waiting to pick up frieght.</t>
  </si>
  <si>
    <t>Security/Operations Camera System VCT, Airport, and the Small Boat Harbor</t>
  </si>
  <si>
    <t>Install cameras at the all Port and Harbor facilities.</t>
  </si>
  <si>
    <t xml:space="preserve">This allows for staff to maintain control of facilities from off site locations and manage the Port and Harbor Facilities.  </t>
  </si>
  <si>
    <t>Cemetary Expansion</t>
  </si>
  <si>
    <t>Fill in center of Memorial Cemetary to add lots</t>
  </si>
  <si>
    <t xml:space="preserve">Need more lot space at cemetary. </t>
  </si>
  <si>
    <t>Wireless AlarmLock</t>
  </si>
  <si>
    <t>Upgrade to bluetooth alarmlocks</t>
  </si>
  <si>
    <t>Covered Equipment extended</t>
  </si>
  <si>
    <t xml:space="preserve">Current equipment shed too narrow, much of the large equipment exposed to the weather </t>
  </si>
  <si>
    <t>To shelter expensive equipment from the weather</t>
  </si>
  <si>
    <t>Public Works Kitchen upgrade</t>
  </si>
  <si>
    <t>We are a emergency shelter for HH, would be nice to be able to cook</t>
  </si>
  <si>
    <t xml:space="preserve">would add ability to cook in emergency situations </t>
  </si>
  <si>
    <t>Ski Hill Upgrades</t>
  </si>
  <si>
    <t>Replace Ski Hill Bull wheel and cable/facility building repairs</t>
  </si>
  <si>
    <t>Purchased used and lifespan is undetermined.</t>
  </si>
  <si>
    <t>Corbin Creek/Robe River  water system expansion</t>
  </si>
  <si>
    <t>Install water system in Corbin Creek subdivision, link to existing system in Robe River subdiv.</t>
  </si>
  <si>
    <t>Residents have foul water in their private wells. Engineering was done in 2010. Would make further development in the area more feasible.</t>
  </si>
  <si>
    <t>Kelsey Dock Interpretive Project Phase 2 Up-Land Side</t>
  </si>
  <si>
    <t>Remove the Yellow Building and replace with public event and gathering space. Move Museum.</t>
  </si>
  <si>
    <t>Landscaping (see walking path)</t>
  </si>
  <si>
    <t>Landscaping Plan for Cafeteria end of hospital.</t>
  </si>
  <si>
    <t>Give Residents, Patients and their families a comfortable, inviting outdoor space.</t>
  </si>
  <si>
    <t>GMS Vestibule/Access</t>
  </si>
  <si>
    <t>Covered entryway to weight room</t>
  </si>
  <si>
    <t>additional protection to access</t>
  </si>
  <si>
    <t>Science Room Remodel VHS</t>
  </si>
  <si>
    <t>replace outdated equipment/tables</t>
  </si>
  <si>
    <t>Not meeting needs of dept</t>
  </si>
  <si>
    <t>Priority 4 LTC expansion</t>
  </si>
  <si>
    <t>New Floor Maintenance Shop Offices</t>
  </si>
  <si>
    <t>Replace damaged Tarkett Flooring</t>
  </si>
  <si>
    <t xml:space="preserve">Flooring is damaged and difficult to clean.  </t>
  </si>
  <si>
    <t>Remodel City Hall reception</t>
  </si>
  <si>
    <t>Replace Fire door and create a Bay window and new counter</t>
  </si>
  <si>
    <t xml:space="preserve">Staff can't see customers approach.  Old Fire door doesn't work. </t>
  </si>
  <si>
    <t>Utility expansion for Airport Industrial Subdivision.</t>
  </si>
  <si>
    <t>Expand water and sewer systems to include a loop from Atigun to Airport Rd, via Rudolph St.</t>
  </si>
  <si>
    <t>Planning is well underway for a new zoning district and sales of City land in this subdivision, but all is dependent on access to public utilities.</t>
  </si>
  <si>
    <t>Dry Stack Facility</t>
  </si>
  <si>
    <t>Construct an enclosed upland vessel storage and launch facility.</t>
  </si>
  <si>
    <t>Meet demand for vessels slips and increase revenue in the Harbor enterprise fund. Dry stack is cheaper to construct and maintain than in water slips.</t>
  </si>
  <si>
    <t>Pool Access Siding replacement</t>
  </si>
  <si>
    <t>Siding has been damaged over the years</t>
  </si>
  <si>
    <t>This is main pool entry</t>
  </si>
  <si>
    <t>Add Prox Locks to City Buildings</t>
  </si>
  <si>
    <t>Prox Locks for exterior doors</t>
  </si>
  <si>
    <t xml:space="preserve">Add security and make it possible to track keys better. </t>
  </si>
  <si>
    <t>New Boat Harbor Fuel Float and infrastructure</t>
  </si>
  <si>
    <t>Install tanks and Pumps for New Boat Harbor Fuel Delivery.</t>
  </si>
  <si>
    <t>Avoide congestion in the old boat harbor, and provide fuel vendor and consessions to the masses.</t>
  </si>
  <si>
    <t>Rec Center Gym Addition</t>
  </si>
  <si>
    <t>Addition of gymnasium/ walking track / extended kitchen with more than one work station (stove, sink, fridge)/ class space</t>
  </si>
  <si>
    <t>Adding a gym would allow users a gym space after school, currently difficult to schedule gyms with all the school activities.</t>
  </si>
  <si>
    <t>Replace Gold Fields Electronic clock system</t>
  </si>
  <si>
    <t>VHS Concessions</t>
  </si>
  <si>
    <t>VHS needs permanent concession that meets code/standards</t>
  </si>
  <si>
    <t>Temporary set ups no longer adequate</t>
  </si>
  <si>
    <t>District Vehicle Storage</t>
  </si>
  <si>
    <t>Safe storage of District vehicles</t>
  </si>
  <si>
    <t>Storeage provides safe secure location extending our vehicle life</t>
  </si>
  <si>
    <t>Sea Otter Cell Pile and Expansion</t>
  </si>
  <si>
    <t>Create upland space and waterfront facilities on the Sea Otter Property</t>
  </si>
  <si>
    <t>Additional Waterfront Dockage and fish processing capabilities.</t>
  </si>
  <si>
    <t>Back up generator</t>
  </si>
  <si>
    <t>Back to the back-up generator</t>
  </si>
  <si>
    <t>redundancy that may become required to meet future codes.</t>
  </si>
  <si>
    <t>Blinds for the large southern-facing windows.</t>
  </si>
  <si>
    <t xml:space="preserve">During the summer, especially during events like Theatre Conference, the heat coming off the windows reaches temperatures of 100+. It is the largest source of heat for the building and of course we have no air conditioning in this building. It helps during the summer tremendously if you can shut the blinds during the peak hours of sun. Because the windows are so large, an automated  open/close or up/down type of blinds would be tremendously helpful. </t>
  </si>
  <si>
    <t>Our summers are not getting cooler. We need to find some way to combat the heat in the building and the blinds would help greatly.</t>
  </si>
  <si>
    <t>Daycare site adjacent to LTC</t>
  </si>
  <si>
    <t>Add a wing to the facility for daycare center</t>
  </si>
  <si>
    <t>Dispatch Remodel</t>
  </si>
  <si>
    <t>Remodel / Update Dispatch</t>
  </si>
  <si>
    <t>End of life cycle for equipment (10 years)</t>
  </si>
  <si>
    <t>Priority 3 Assited Living</t>
  </si>
  <si>
    <t>Gas appliances in Dietary</t>
  </si>
  <si>
    <t>replace electric appliances with propane.</t>
  </si>
  <si>
    <t>More efficient with gas appliances</t>
  </si>
  <si>
    <t>New Museum Facility</t>
  </si>
  <si>
    <t>Consolidate infrastructure for operational improvements, space, environmental and human resource effciencies</t>
  </si>
  <si>
    <t>See Museum Master Interpretive Plan</t>
  </si>
  <si>
    <t>Connect N.Sawmill Dr. to Atigun Dr., and pave.</t>
  </si>
  <si>
    <t>Extend N. Sawmill Dr. north approx. 1200' to connect to Atigun St. Would need to pave all of Sawmill Dr. as well.</t>
  </si>
  <si>
    <t>Would help the expansion of Airport Industrial Subdiv, and provide easier access for emergency response.</t>
  </si>
  <si>
    <t>Ruth Pond, dredge pond</t>
  </si>
  <si>
    <t>Resurface Tennis/basketball courts</t>
  </si>
  <si>
    <t>Priority 2 Master Site &amp; Facility Plan - Rehabilitation &amp; Out-patient Expansion (overall plan needs refreshed)</t>
  </si>
  <si>
    <t>Behaviorial Health expansion per the master plan</t>
  </si>
  <si>
    <t>Limits inspections for accreditation as well as provides privacy and meets operational needs of department.</t>
  </si>
  <si>
    <t>Marine Industrial Repair, maintenance, inspection, demolision at the old town site.</t>
  </si>
  <si>
    <t>Create infrastructure to remove vessels from the water and laydown yard space for storage,maintenance and repair.</t>
  </si>
  <si>
    <t>The entire Small Boat Harbor area is congested and overgrown. The current Boat Repair yard is over grown and the electrical vaults need to be replaced.  Movign this to old town makes sense and allows for private development around the City facilities. Create additional industry and Port Revenues.</t>
  </si>
  <si>
    <t>Add new Columbarium</t>
  </si>
  <si>
    <t>Running out of spaces.</t>
  </si>
  <si>
    <t>ADA Access to the Upstairs</t>
  </si>
  <si>
    <t>Provide ADA access to 2nd floor of Library</t>
  </si>
  <si>
    <t>The only way to access the upstairs of the library is by taking the stairs.</t>
  </si>
  <si>
    <t>Kitchen in LTC</t>
  </si>
  <si>
    <t>Additional kitchen for LTC meals</t>
  </si>
  <si>
    <t>Would be nice to have</t>
  </si>
  <si>
    <t>VHS Roof</t>
  </si>
  <si>
    <t>Replace roof due to leaks</t>
  </si>
  <si>
    <t>VHS Windows</t>
  </si>
  <si>
    <t>VHS Exterior caulking</t>
  </si>
  <si>
    <t>Expansion joint caulking at the high school exterior</t>
  </si>
  <si>
    <t>VHS LED Lights</t>
  </si>
  <si>
    <t>LED Parking Lot Lights</t>
  </si>
  <si>
    <t>VHS Overhang Repair</t>
  </si>
  <si>
    <t>Repair the over hang at high school to add insulation to stop the cold air from entering the building</t>
  </si>
  <si>
    <t>VHS/HHES  Appliance upgrade to LP</t>
  </si>
  <si>
    <t>Switch elementary and high school kitchen appliances from electric to LP</t>
  </si>
  <si>
    <t>HHES Bleacher Replacement</t>
  </si>
  <si>
    <t>Replace Bleachers</t>
  </si>
  <si>
    <t>Valdez Museum &amp; Historical Archive</t>
  </si>
  <si>
    <t xml:space="preserve">Status </t>
  </si>
  <si>
    <t>Fiscal Year</t>
  </si>
  <si>
    <t>IT</t>
  </si>
  <si>
    <t>Active</t>
  </si>
  <si>
    <t>Providence Valdez Medical Center - Hospital</t>
  </si>
  <si>
    <t>Park Maintanence</t>
  </si>
  <si>
    <t>Valdez Senior Center</t>
  </si>
  <si>
    <t xml:space="preserve">Police Department - Public Safety - Animal Control </t>
  </si>
  <si>
    <t>Status Score</t>
  </si>
  <si>
    <t>VHS Boys/Girls Locker Room Renovation</t>
  </si>
  <si>
    <t xml:space="preserve">update locker room </t>
  </si>
  <si>
    <t xml:space="preserve">ADA Noncompliant </t>
  </si>
  <si>
    <t>VHS Backetball Backboard Lift Replacements</t>
  </si>
  <si>
    <t>Mechanical issues, outdated without replacement parts</t>
  </si>
  <si>
    <t>Replace exterior windows</t>
  </si>
  <si>
    <t>VHS Entryway Flooring</t>
  </si>
  <si>
    <t>Demand Control Kitchen Ventilation Controls</t>
  </si>
  <si>
    <t>All school Kitchen Vent Hoods</t>
  </si>
  <si>
    <t>Replace Freezer/cooler  at VHS/HHES  Bus Barn</t>
  </si>
  <si>
    <t xml:space="preserve">Replace Motor with emc motor and coils and evapator </t>
  </si>
  <si>
    <t>Ropes Course</t>
  </si>
  <si>
    <t>provide a destination corporate and youth teambuilding opporunity</t>
  </si>
  <si>
    <t>nothing is present south east of Anchorage</t>
  </si>
  <si>
    <t>Covered play ground</t>
  </si>
  <si>
    <t>covered/indoor playground located on Rec Center grounds</t>
  </si>
  <si>
    <t>all year access for youth</t>
  </si>
  <si>
    <t>Eco-Counter</t>
  </si>
  <si>
    <t>track the number of people entering our parks and trails</t>
  </si>
  <si>
    <t>data to use for master plan</t>
  </si>
  <si>
    <t>TreeWalk Village Tree Top Trekking Adventure Park for Kids &amp; adults</t>
  </si>
  <si>
    <t>Adventours, fun, unique opportunity for the community and visitors</t>
  </si>
  <si>
    <t>New Park in Old town</t>
  </si>
  <si>
    <t>a new park and small boat launch</t>
  </si>
  <si>
    <t>Amazing opportunity for the communtiy to access a beautiful part of Historic Valdez</t>
  </si>
  <si>
    <t>VCT Barge Landing Repair/Replace Bulkhead</t>
  </si>
  <si>
    <t xml:space="preserve"> Needs some structural repairs and improvements.</t>
  </si>
  <si>
    <t>Storms have washed out and damaged the landing.  The Barge Landing is critical to 30% of the freight moving across the VCT.  AML uses this landing to off load all of their freight year round.</t>
  </si>
  <si>
    <t>VCT Comfort Stations</t>
  </si>
  <si>
    <t>Portable toilets are t $400 each plus fees.</t>
  </si>
  <si>
    <t xml:space="preserve">VHS Library Window replacement </t>
  </si>
  <si>
    <t>Window seals leak</t>
  </si>
  <si>
    <t>There are no Restroom open to the Users of the VCT other than the properties being leased</t>
  </si>
  <si>
    <t>Public Works/Beautification</t>
  </si>
  <si>
    <t>Replace sidewalk &amp; paving &amp; High School. Replace failed concrete at GMS</t>
  </si>
  <si>
    <t>Trip hazard</t>
  </si>
  <si>
    <t>Re Staining &amp; Exterior Improvements</t>
  </si>
  <si>
    <t>Constant problem</t>
  </si>
  <si>
    <t>Replace Decking Kelsey Dock</t>
  </si>
  <si>
    <t>Wear Decking has failed in a number of places</t>
  </si>
  <si>
    <t>Needs replaced before structure is compromised.</t>
  </si>
  <si>
    <t>Status_Score</t>
  </si>
  <si>
    <t>Capital Facilities</t>
  </si>
  <si>
    <t>Airport Hvac</t>
  </si>
  <si>
    <t>Airport &amp; PD Offices</t>
  </si>
  <si>
    <t>UPDATE: Moved in 2018- Needs $ to finish in 2019   supports have been evaluated by an engineer and recommended to remove ASAP</t>
  </si>
  <si>
    <t>Work ongoing with Water Damage from HWH</t>
  </si>
  <si>
    <t>upgrade dike with State's work</t>
  </si>
  <si>
    <t>Done, need to find generator</t>
  </si>
  <si>
    <t>Add to generator annual contract</t>
  </si>
  <si>
    <t>Add City Hall &amp; Library</t>
  </si>
  <si>
    <t>Capital Facilities / Valdez City Schools</t>
  </si>
  <si>
    <t>Need to count</t>
  </si>
  <si>
    <t>Need to measure</t>
  </si>
  <si>
    <t>See RSA Report, Freon obsolete in 2020</t>
  </si>
  <si>
    <t>Library/Building Maintenance</t>
  </si>
  <si>
    <t>Remove?</t>
  </si>
  <si>
    <t>ADA Compliance?</t>
  </si>
  <si>
    <t>Wood Structures Replacement for picnic and bench shelters</t>
  </si>
  <si>
    <t>Existing floor is spalling bad and does not drain.</t>
  </si>
  <si>
    <t>Is this done?</t>
  </si>
  <si>
    <t>See Force Main</t>
  </si>
  <si>
    <t>Pavement Management Plan</t>
  </si>
  <si>
    <t>Done?</t>
  </si>
  <si>
    <t>HHES Roof &amp; Siding Replacement</t>
  </si>
  <si>
    <t>Force Main'</t>
  </si>
  <si>
    <t>Kelsey Phase 2?</t>
  </si>
  <si>
    <t>Connect sidewalks and out onto lawn for long term care residents (benches)</t>
  </si>
  <si>
    <t>Remaining Middle School money</t>
  </si>
  <si>
    <t>Design (on hold?)</t>
  </si>
  <si>
    <t>Public Works / Econ Dev</t>
  </si>
  <si>
    <t>Add office space at City Hall &amp; Airport for new FTEs</t>
  </si>
  <si>
    <t>New employees need work spaces. Use current office areas to create new offices.</t>
  </si>
  <si>
    <t>Replace N. Meyring Picnic Shelter</t>
  </si>
  <si>
    <t>Erect new picnic structure in location of existing failing structure.</t>
  </si>
  <si>
    <t>Restain the building, fix front entry doors, add covered area at rear ADA/ Emergency exit (Scope includes VCS Admin office for synergies)</t>
  </si>
  <si>
    <t>Comments</t>
  </si>
  <si>
    <t>Hospital* paid &amp; managed by Prov</t>
  </si>
  <si>
    <t>Replace broken Airhandler</t>
  </si>
  <si>
    <t>Unable to legally rent or occupy space as is. Code required update.</t>
  </si>
  <si>
    <t>Building Maintenance/Public Works</t>
  </si>
  <si>
    <t>Project Score</t>
  </si>
  <si>
    <t>Operational Imp.</t>
  </si>
  <si>
    <t>Deferred Maint.</t>
  </si>
  <si>
    <t>Lifecycle repl.</t>
  </si>
  <si>
    <t>Consolidate infrastructure for Operational Imp.s, space, environmental and human resource effciencies</t>
  </si>
  <si>
    <t>Failed System with a poor design</t>
  </si>
  <si>
    <t>Pavement Management Phase I</t>
  </si>
  <si>
    <t>Pavement Management Phase II</t>
  </si>
  <si>
    <t>Pavement Management Phase III</t>
  </si>
  <si>
    <t>Pavement Management Phase IV</t>
  </si>
  <si>
    <t>Pavement Management Phase V</t>
  </si>
  <si>
    <t>Pavement Management Phase VI</t>
  </si>
  <si>
    <t>S. Harbor Dr / W. Egan / Meals Pioneer to Egan</t>
  </si>
  <si>
    <t>Black Gold &amp; Robe River Pavement</t>
  </si>
  <si>
    <t>W. Hanagita / W. Lowe to W. Oumalik</t>
  </si>
  <si>
    <t>Meals from Alatna to Robe River Dr. (and side streets)</t>
  </si>
  <si>
    <t>C. Pioneer/ C. Fairbanks/ S. Meals to Clifton</t>
  </si>
  <si>
    <t>W. Pioneer / Mineral Creek / N. Harbor</t>
  </si>
  <si>
    <t>Gen. Revenue</t>
  </si>
  <si>
    <t>Community Need</t>
  </si>
  <si>
    <t>Community Request</t>
  </si>
  <si>
    <t>Offset Aging Inf.</t>
  </si>
  <si>
    <t>Energy Savings</t>
  </si>
  <si>
    <t>Risk Mitigation</t>
  </si>
  <si>
    <t>Under Contract/Construction/Hold</t>
  </si>
  <si>
    <t xml:space="preserve">On going </t>
  </si>
  <si>
    <t>Install cameras at all Port and Harbor facilities.</t>
  </si>
  <si>
    <t>10 Mile Excavation</t>
  </si>
  <si>
    <t>Design</t>
  </si>
  <si>
    <t>PM</t>
  </si>
  <si>
    <t>TS</t>
  </si>
  <si>
    <t>SB</t>
  </si>
  <si>
    <t>ND</t>
  </si>
  <si>
    <t>MR</t>
  </si>
  <si>
    <t>Design  Contract</t>
  </si>
  <si>
    <t>Const Contract</t>
  </si>
  <si>
    <t>Airport HVAC</t>
  </si>
  <si>
    <t>YB = $2M-2.5M,  P&amp;R add $3-3.5M</t>
  </si>
  <si>
    <t>BM to manage</t>
  </si>
  <si>
    <t>P&amp;H to manage</t>
  </si>
  <si>
    <t>Public Works / Flood Task Force</t>
  </si>
  <si>
    <t>Use Remaining Middle School Bond</t>
  </si>
  <si>
    <t>Erect Canopy over Rock wall entrance, storage building, taller bleachers</t>
  </si>
  <si>
    <t>Money is allocated, reimbursement potential</t>
  </si>
  <si>
    <t>Current monies remaining, School Board recommendation, potential reimbursement.</t>
  </si>
  <si>
    <t>Previously Committed Funds</t>
  </si>
  <si>
    <t>Total Estimated Cost</t>
  </si>
  <si>
    <t>Clinic</t>
  </si>
  <si>
    <t>Copper Piping</t>
  </si>
  <si>
    <t>Fire Wall</t>
  </si>
  <si>
    <t>known leak issues, encapsulated mold issue</t>
  </si>
  <si>
    <t>Initial Budget</t>
  </si>
  <si>
    <t>Total Add</t>
  </si>
  <si>
    <t>Design $ (Add/Deduct)</t>
  </si>
  <si>
    <t>Construction $ (Add/Ded)</t>
  </si>
  <si>
    <t xml:space="preserve">Under Contract/Construction/Hold/Needs 1.5 million more in funding from Hospital Reserve. Combined project cost $3.46M. </t>
  </si>
  <si>
    <t>Current Available Balance</t>
  </si>
  <si>
    <t>Kelsey Dock Phase 2 - Yellow Building</t>
  </si>
  <si>
    <t>Kelsey Dock Phase 2 - Parks &amp; Rec Storage</t>
  </si>
  <si>
    <t>New Well #5</t>
  </si>
  <si>
    <t>Airport  Offices</t>
  </si>
  <si>
    <t>PD Offices</t>
  </si>
  <si>
    <t>Under Contract/ Design If scope is Demo only add $100K</t>
  </si>
  <si>
    <t>Design, Grant funded, price fixed.</t>
  </si>
  <si>
    <t>1A</t>
  </si>
  <si>
    <t>1B</t>
  </si>
  <si>
    <t>1C</t>
  </si>
  <si>
    <t>1D</t>
  </si>
  <si>
    <t>City Building Caulking</t>
  </si>
  <si>
    <t>AR</t>
  </si>
  <si>
    <t>5A</t>
  </si>
  <si>
    <t>5B</t>
  </si>
  <si>
    <t>LV</t>
  </si>
  <si>
    <t>BS</t>
  </si>
  <si>
    <t>LA/TS</t>
  </si>
  <si>
    <t>LA</t>
  </si>
  <si>
    <t>Capital Facilities/Finance</t>
  </si>
  <si>
    <t>Evaluate and Plan Shelter Locations</t>
  </si>
  <si>
    <t>Lack of qualified impound options  [This is a non-issue if the existing FD bays are made available to the Police Department for storage and impound needs]</t>
  </si>
  <si>
    <t xml:space="preserve">Plans already exist - wildlife viewing platform at Dayville Road to allow point for people to view wildlife while also controlling their movement and establishing better public safety (less bear v. people encounters)  The concept of this ebbs and flows depending on Administration and Bear Working Group, etc.  </t>
  </si>
  <si>
    <t xml:space="preserve">Build new Police Station and Jail attached to the newly constructed Fire Station.  Really the only time this would make sound financial sense is if the existing building fails and is inhabitable or just more trouble than it is worth to maintain AND is timed the same as the Dispatch remodel.  </t>
  </si>
  <si>
    <t>As an alternative to the aforementioned smaller items….. And  if the existing building becomes inhabitable</t>
  </si>
  <si>
    <t>Flag Pole Improvement / Upgrade</t>
  </si>
  <si>
    <t>Upgrade / redesign the existing flag display outside of City Hall.    [A 3 poled system, with large flags, and lit up at night]</t>
  </si>
  <si>
    <t>City Hall should have a nice, prominent flag display.  This would also allow a 3rd pole to fly a COV flag.</t>
  </si>
  <si>
    <t>Determine what is needed to function as a shelter</t>
  </si>
  <si>
    <t xml:space="preserve">No adequate shelters in community </t>
  </si>
  <si>
    <t>Secure Storage</t>
  </si>
  <si>
    <t>Space needed for new and used computer storage.</t>
  </si>
  <si>
    <t>Building Maintenance/Library</t>
  </si>
  <si>
    <t>Spacing does not meet code which is greater than 4"</t>
  </si>
  <si>
    <t>New Roof and insulation Fire station #3 &amp; #4</t>
  </si>
  <si>
    <t>Building Maintenance/Fire Station</t>
  </si>
  <si>
    <t>New windows at Rec Center</t>
  </si>
  <si>
    <t>Baler second waste oil furnace system</t>
  </si>
  <si>
    <t>New Roof in Well Houses and Lift Stations</t>
  </si>
  <si>
    <t xml:space="preserve">Replace carpeting &amp; vinyl flooring and install new baseboards; restain/refinish wooden closet, bedroom and front doors if needed; replace kitchen cabinets; replace existing appliances; install new backsplashes and counter tops; replace built in wall ovens and flat top burners with single stove w/built in overhead microwave ovens; build shelves and doors to match cabinets where old ovens were built in; replace electrical wiring for stoves that isn't up to code; interior painting; replace heating registers if needed; replace existing overhead light fixtures; upgrade bathrooms with new vanities, raised toilets, light fixtures, medicine cabinets, and step in showers with grab bars &amp; shower seats.  </t>
  </si>
  <si>
    <t xml:space="preserve">The apartments are over 30 years old and are in serious need of upgrade. Approximately one-half of the apartments need upgrades listed with exceptions of the bathrooms and vinyl flooring (4 apartments still need walk-in showers installed with tile work due to inaccessible bathtubs). 2 apartments are completely renovated; 2 apartments have not had any work done; all other apartments are ready for kitchen upgrades or partial kitchen upgrades (new cabinets, countertops and backsplashes)  to be completely renovated; many will need new carpeting and painting once vacant again.  </t>
  </si>
  <si>
    <t>Control Access for all occupied buildings</t>
  </si>
  <si>
    <t>Some aging fire protection systems have recently been deemed obsolete.</t>
  </si>
  <si>
    <t>(Electronic Card Readers on City Buildings)   Along with this is a re-key of all the city doors master system</t>
  </si>
  <si>
    <t>Council Chamber Upgrade</t>
  </si>
  <si>
    <t>Replace carpet, audio upgrade, new furniture, and other aesthetic improvements</t>
  </si>
  <si>
    <t>Rec Center Offices</t>
  </si>
  <si>
    <t xml:space="preserve">Divide existing offices to meet current staffing needs. </t>
  </si>
  <si>
    <t xml:space="preserve">Current office layout does not provide adequate privacy, leaving potential risk for personnel issues.  Private offices need to be created for full-time, supervisory staff.  </t>
  </si>
  <si>
    <t>Rec Center Restrooms</t>
  </si>
  <si>
    <t>Replace tile walls, floors, stalls, counters, sinks, etc.</t>
  </si>
  <si>
    <t>Install Romtec Vaulted toilet single vault , unisex at: South Meyring Playground, Black Gold playground, Dog Park/Community Garden, Meals Hill</t>
  </si>
  <si>
    <t>New Playground Installation at Robe River Park</t>
  </si>
  <si>
    <t>RE State Building Remodel</t>
  </si>
  <si>
    <t>Fish Cleaning Station New Harbor</t>
  </si>
  <si>
    <t>Causeway Repairs</t>
  </si>
  <si>
    <t>Spacing is too wide and creates a fall hazard</t>
  </si>
  <si>
    <t>Roof Replacement Fire station #3 &amp; #4</t>
  </si>
  <si>
    <t>Insulation saturated/Roof leaks</t>
  </si>
  <si>
    <t>Replace Rec Center Windows</t>
  </si>
  <si>
    <t>Replace second waste oil furnace</t>
  </si>
  <si>
    <t>Furnace is failing</t>
  </si>
  <si>
    <t>Operational Security/Turnover</t>
  </si>
  <si>
    <t xml:space="preserve"> We need to do upgrades so systems can be maintained</t>
  </si>
  <si>
    <t>New Parks Restroom Facilities</t>
  </si>
  <si>
    <t>Lack of public facilities in areas listed</t>
  </si>
  <si>
    <t>Fish Station at New Harbor</t>
  </si>
  <si>
    <t>Guardrail has been hit and damaged the length of the causeway</t>
  </si>
  <si>
    <t>Concrete repairs at pile caps</t>
  </si>
  <si>
    <t>Failing Concrete VCT Inspection Identified as high priority.</t>
  </si>
  <si>
    <t xml:space="preserve">Replace rubber fenders and hinge </t>
  </si>
  <si>
    <t xml:space="preserve">Components beyond reasonable lifespan due for replacement </t>
  </si>
  <si>
    <t>Cancelled</t>
  </si>
  <si>
    <t>Excavate Chanel in Lowe, Material to raise Dikes</t>
  </si>
  <si>
    <t>Complete</t>
  </si>
  <si>
    <t>Landfill protection. Repair river scour from 2017. Repairs done in 2019. Request for NRCS grant.</t>
  </si>
  <si>
    <t>Cost efficiency and modernization. We currently have approximately two hundred (200) 750-1000 Watt theatre lights. Not only is the lighting technology antiquated, but it's costly to run when we have a need theatre lights. We could replace the theatre lights in stages, doing one pipe at a time and it would not be such an all-at-once financial hit. This would help to bring our theatre up-to-date will others around the country as all are switching to LED theatrical lights.</t>
  </si>
  <si>
    <t>Upgrade theatre lighting to LED</t>
  </si>
  <si>
    <t>Bridge repairs identified as high priority.</t>
  </si>
  <si>
    <t>Hanagita Warehouse Replacement</t>
  </si>
  <si>
    <t>New structure for PW storage</t>
  </si>
  <si>
    <t>Building is critical indoor storage but it needs a facelift. Building past life expectancy.</t>
  </si>
  <si>
    <t>Design/construct fire training facility</t>
  </si>
  <si>
    <t>Civic Center Concessions Egress</t>
  </si>
  <si>
    <t>We desperately need a doorway between concessions and tickets to allow heat to disperse and communication between the two areas during a movie. The concession stand gets so hot in the summer it melts the chocolate products. It would also allow us to potentially use less staff if you could move between one line and another with ease during a slower movie.</t>
  </si>
  <si>
    <t>Radio Repeater Repairs &amp; Upgrades</t>
  </si>
  <si>
    <t>Replace existing and failing radio infrastructure</t>
  </si>
  <si>
    <t>Guard Rail Replacement VCT Causeway</t>
  </si>
  <si>
    <t>Regulatory Compliance</t>
  </si>
  <si>
    <t>Pavement and right of way improvements along Whalen Ave</t>
  </si>
  <si>
    <t>Deferred/Hold</t>
  </si>
  <si>
    <t>Defer</t>
  </si>
  <si>
    <t>Senior Center Siding</t>
  </si>
  <si>
    <t>Repair or replace damaged and buckling siding at the Senior Center.</t>
  </si>
  <si>
    <t>Hand Rails at Library &amp; City Hall</t>
  </si>
  <si>
    <t>City Wide Fire Systems upgrade</t>
  </si>
  <si>
    <t>There is limited space currently to store new or used computers</t>
  </si>
  <si>
    <t>VCT Transfer Bridge Repair</t>
  </si>
  <si>
    <t>VMF HVAC System Upgrade</t>
  </si>
  <si>
    <t>Replace obsolete units, incorporate vehicle exhaust capture</t>
  </si>
  <si>
    <t>New Well at Hospital</t>
  </si>
  <si>
    <t>Improve work atmosphere in FS1</t>
  </si>
  <si>
    <t>Remediate mold in decon room, install HRV in berthing quarters, install exhaust extraction.</t>
  </si>
  <si>
    <t>Replace FS1 on Hazelet &amp; Pioneer property</t>
  </si>
  <si>
    <t>existing facility has outlived useful life and no longer meets operational needs.</t>
  </si>
  <si>
    <t>Coat of paint, replace and reseal roofing panels, construct new entry.</t>
  </si>
  <si>
    <t>Building acts as indoor storage and museum annex but it needs a facelift. Building past life expectancy.</t>
  </si>
  <si>
    <t>Clad P&amp;R pole barn and add mezzanine for Parks storage</t>
  </si>
  <si>
    <t>existing structure doesn't adequately cover materials &amp; equipment. Yellow building space need to be replicated prior to removal.</t>
  </si>
  <si>
    <t>Replace sewer force main from LS1 to sewage ponds. Perform upgrades and /or replace LS1.</t>
  </si>
  <si>
    <t>Force main has known failures in the past, running through environmentally sensitive part of town. Conveys all of core of town's sewage.</t>
  </si>
  <si>
    <t>Flooding significant subdivision within City limits.</t>
  </si>
  <si>
    <t>Expansion joint caulking at the high school, City Hall, and Library exterior</t>
  </si>
  <si>
    <t>Roads deemed most critical on new pavement evaluation 2018</t>
  </si>
  <si>
    <t>Install new domestic well on SE corner of town.</t>
  </si>
  <si>
    <t>During peak demand well #4 can be overcome.</t>
  </si>
  <si>
    <t>Construct new Museum facility to house all of museum archive and programming.</t>
  </si>
  <si>
    <t>Roof Replacement</t>
  </si>
  <si>
    <t>Noted on insurance evaluation, Constant problem</t>
  </si>
  <si>
    <t>Repeaters are due for lifecycle replacement, have known issues and are vital for 911 support</t>
  </si>
  <si>
    <t>Complete repairs as noted on FM Global site visit report</t>
  </si>
  <si>
    <t>Insurance carrier identified areas / deficiencies to be upgraded to reduce risk profile.</t>
  </si>
  <si>
    <t>City Wide Insurance Mechanical Repairs</t>
  </si>
  <si>
    <t>Meals Hill Development</t>
  </si>
  <si>
    <t>Feasibility and implementation plan for Meals Hill additions and programming</t>
  </si>
  <si>
    <t>Meals Hill, newly acquired by the City, is a area where the Community should have input into any future use and development for recreation opportunities.</t>
  </si>
  <si>
    <t>Survey control, operational efficiency</t>
  </si>
  <si>
    <t>Airborne Infection Isolation (AII)</t>
  </si>
  <si>
    <t>Deficiency found during survey</t>
  </si>
  <si>
    <t>Replace broken Air handler</t>
  </si>
  <si>
    <t>Cemetery Expansion</t>
  </si>
  <si>
    <t>Fill in center of Memorial Cemetery to add lots</t>
  </si>
  <si>
    <t xml:space="preserve">Need more lot space at cemetery. </t>
  </si>
  <si>
    <t>Replace emergency generators at two schools. Combine generator power for HHES &amp; District office at one location and combine GMS &amp; VHS at the other. Reducing infrastructure and creating efficiencies.</t>
  </si>
  <si>
    <t>Outlived life expectancy, State has indicated replacement is nec</t>
  </si>
  <si>
    <t>The front doors are in dire need of repair. The locks are sticky and supposedly we cannot get parts for them anymore. The handicap automatic door is not a true automatic door because although the front door opens, the second door to the artic entryway does not. We need to either fix the doors or replace them.</t>
  </si>
  <si>
    <t>Outlived life expectancy</t>
  </si>
  <si>
    <t>outlived life expectancy</t>
  </si>
  <si>
    <t>Caulking is failing and creating an infiltration &amp; energy efficiency issue.</t>
  </si>
  <si>
    <t>Consolidate infrastructure for Operational Imp's, space, environmental and human resource efficiencies. See Museum Master Interpretive Plan</t>
  </si>
  <si>
    <t>Current playground is at its end of life and many parts of the apparatus have been removed due to failure</t>
  </si>
  <si>
    <t>The level of difficulty to navigate the stairs during a movie is a safety hazard.</t>
  </si>
  <si>
    <t>There are four public restrooms in the library and one staff restroom. Two of the public restrooms are located on the main floor and two on the basement level.  Each restroom needs updated  fixtures, new flooring, counter tops, and automatic doors(public restrooms only).</t>
  </si>
  <si>
    <t>The current restrooms are functional, but not ADA compliant. Each restroom has big heavy door that is difficult to manage for anyone with impaired mobility. Fixtures are very out of date.  Any public facility in the City should have restrooms that are ADA accessible, and all of our patrons  would benefit  from an upgrade to our restrooms.</t>
  </si>
  <si>
    <t>Replace damaged guardrail</t>
  </si>
  <si>
    <t xml:space="preserve">Of the seven windows that open, five have broken latches and cannot be closed securely.  Each window has a 1/2 inch gap in the top, so even when closed the windows are not air tight. In the winter, sometimes windows are drilled shut, to prevent them from blowing open in the wind.  This means the windows cannot be opened in case of fire or another emergency.  All of the windows have blinds inside the two panes of glass, and most of the blinds no longer work.  Bottom line, these  windows are energy
inefficient and pose a security risk.
</t>
  </si>
  <si>
    <t>Tripping hazard and visual improvement.</t>
  </si>
  <si>
    <t xml:space="preserve">Replace out dated infrastructure </t>
  </si>
  <si>
    <t>Replace H-K Docks, Repair/relocated Boat Lifting Pier and Operations, Replace the Tour Dock, Replace the Travelift, and maximize float capacity.</t>
  </si>
  <si>
    <t xml:space="preserve">Remodel/Replace Existing Harbor Office and Maintenance Building.  Create additional work spaces, laundry, showers, and indoor maintenance areas.  </t>
  </si>
  <si>
    <t xml:space="preserve">Doors are sagging and weather stripping is worn/ leaking </t>
  </si>
  <si>
    <t>original</t>
  </si>
  <si>
    <t>Well over 100 lights in an area that has employees working 24 hours a day, 7 days a week, 365 days a year.  The conversion will pay for itself in a matter of two years</t>
  </si>
  <si>
    <t xml:space="preserve">Marine Infrastructure underwater/Inspection </t>
  </si>
  <si>
    <t>This item is reoccurring every 5 years and should be built into the long term plan.</t>
  </si>
  <si>
    <t>VHS Basketball Backboard Lift Replacements</t>
  </si>
  <si>
    <t xml:space="preserve">Replace Motor with emc motor and coils and evaporator </t>
  </si>
  <si>
    <t>Repaint and trim Gold Fields Facility and new fence line/dugouts/upper level office remodel</t>
  </si>
  <si>
    <t>Restrooms are in poor condition.  Tiles are stained and mis-matched from breaks and patching. Stall doors have been patch-painted due to wear and vandalism.  Sinks and countertops are stained and chipped.  Upgrade to ADA Compliance</t>
  </si>
  <si>
    <t xml:space="preserve">Operation of windows has diminished and are past life expectancy. </t>
  </si>
  <si>
    <t>Doors have exhausted their life expectancy</t>
  </si>
  <si>
    <t>System needs to be updated to meet current demands and for efficiencies</t>
  </si>
  <si>
    <t>Install sanitary sewer system to Robe River and Corbin Creek, link to treatment plant.</t>
  </si>
  <si>
    <t>Engineering done in 2010 due to too high of density of septic systems. New subdivision to begin construction in 2018. Public health and safety issue, possible natural resource degradation.</t>
  </si>
  <si>
    <t>Allows for over height loads to be moved up the Richardson without the Power Company coming to lower the lines and interrupt service.  Provides additional staging for trucks waiting to pick up freight.</t>
  </si>
  <si>
    <t>Infrastructure installed Community request</t>
  </si>
  <si>
    <t>Avoid congestion in the old boat harbor, and provide fuel vendor and concessions to the masses.</t>
  </si>
  <si>
    <t>Not meeting needs of dept.</t>
  </si>
  <si>
    <t>Priority 3 Assisted Living</t>
  </si>
  <si>
    <t>Behavioral Health expansion per the master plan</t>
  </si>
  <si>
    <t>Marine Industrial Repair, maintenance, inspection, demolition at the old town site.</t>
  </si>
  <si>
    <t>Create infrastructure to remove vessels from the water and laydown yard space for storage, maintenance and repair.</t>
  </si>
  <si>
    <t>The entire Small Boat Harbor area is congested and overgrown. The current Boat Repair yard is over grown and the electrical vaults need to be replaced.  Moving this to old town makes sense and allows for private development around the City facilities. Create additional industry and Port Revenues.</t>
  </si>
  <si>
    <t>Undeveloped street adjacent developable property in town</t>
  </si>
  <si>
    <t>Deferred</t>
  </si>
  <si>
    <t>provide a destination corporate and youth teambuilding opportunity</t>
  </si>
  <si>
    <t>This area is highly visual as it is the are people go to look out the windows at one of the best views in Valdez. It's unattractive to look at sun discolored and spot stained oak trim.</t>
  </si>
  <si>
    <t>Construct new assisted living facility</t>
  </si>
  <si>
    <t>Identified as  community health need per assessment.</t>
  </si>
  <si>
    <t>Community health assessment need identified via survey</t>
  </si>
  <si>
    <t>Expand LTC or construct a new facility to house more LTC residents.</t>
  </si>
  <si>
    <t>Administration</t>
  </si>
  <si>
    <t>Harbor water repairs</t>
  </si>
  <si>
    <t>Black Gold</t>
  </si>
  <si>
    <t>Senior Center Expansion</t>
  </si>
  <si>
    <t>Additional housing units for Senior Living</t>
  </si>
  <si>
    <t xml:space="preserve">Significant wait list </t>
  </si>
  <si>
    <t>Begin Design</t>
  </si>
  <si>
    <t>Begin Const.</t>
  </si>
  <si>
    <t>City Hall Revitalization</t>
  </si>
  <si>
    <t>Remodel/expand/replace City Hall</t>
  </si>
  <si>
    <t>Determine how to best utilize the vacated fire station. Desire to have all City Staff centrally located.</t>
  </si>
  <si>
    <t>Combine with E-Light Project</t>
  </si>
  <si>
    <t>Harbor Boardwalk &amp; Rest Area Reconstruction</t>
  </si>
  <si>
    <t>Exterior Envelope / Major Remodel</t>
  </si>
  <si>
    <t>CCO to Boiler Project</t>
  </si>
  <si>
    <t>Gen Revenue</t>
  </si>
  <si>
    <t>Community need</t>
  </si>
  <si>
    <t>Master Plan</t>
  </si>
  <si>
    <t>Continuation of Pavement Management Plan</t>
  </si>
  <si>
    <t>Old FS1?</t>
  </si>
  <si>
    <t>Corbin subdivision water extension</t>
  </si>
  <si>
    <t>Opportunity to increase development. Provide City utilities to outlying area.</t>
  </si>
  <si>
    <t>Back-up to the back-up generator</t>
  </si>
  <si>
    <t>Install water system in Corbin Creek subdivision, link to existing system in Robe River subdiv. Install Hydrants</t>
  </si>
  <si>
    <t>Replace or provide seismic restraint for lights in main Airport lobby</t>
  </si>
  <si>
    <t>During earthquake some fixtures fell and were swaying significantly.</t>
  </si>
  <si>
    <t>Replace Emergency Room patient room doors with sliding doors to facilitate patient transfer.</t>
  </si>
  <si>
    <t>Doors don't allow gurney transit and should be upgraded to work with upgraded AII system.</t>
  </si>
  <si>
    <t>Replace sand shed roof at city shop</t>
  </si>
  <si>
    <t>VHS Renovation</t>
  </si>
  <si>
    <t>Upgrade envelope and address remaining deferred maintenance items as a package.</t>
  </si>
  <si>
    <t>Deferred maintenance has accumulated and should be addressed. Major exterior systems are due for lifecycle replacement.</t>
  </si>
  <si>
    <t>Replace Failing Electrical Service Vaults in the Small Boat Harbor Uplands or in new location identified in the Master Plan</t>
  </si>
  <si>
    <t>Airport Tennant Garage Exhaust</t>
  </si>
  <si>
    <t>Add exhaust system to airport tennant garage spaces</t>
  </si>
  <si>
    <t>Fumes travel into offices at airport.</t>
  </si>
  <si>
    <t>ER &amp; Admitting door upgrade</t>
  </si>
  <si>
    <t>Transfer Switch Replacement</t>
  </si>
  <si>
    <t>Replace transfer switches on Generator</t>
  </si>
  <si>
    <t>Switches are not meeting regulatory requirements for transfer times and parts are becoming difficult to obtain.</t>
  </si>
  <si>
    <t>X-Ray Replacement</t>
  </si>
  <si>
    <t>Replace Radiology Suite</t>
  </si>
  <si>
    <t>X-Ray no longer works. Currently using portable unit.</t>
  </si>
  <si>
    <t>Air Treatment System Replacement</t>
  </si>
  <si>
    <t>Replace equipment and upgrade wiring for air treatment equipment</t>
  </si>
  <si>
    <t>End of lifecycle, due for replacement</t>
  </si>
  <si>
    <t>Interior Paint Clinic</t>
  </si>
  <si>
    <t>Repaint interior walls / offices at clinic and public health</t>
  </si>
  <si>
    <t>due for replacement and required for lease agreement.</t>
  </si>
  <si>
    <t>Airport Lighting Replacement</t>
  </si>
  <si>
    <t>New Playground Installation at Alpine Woods</t>
  </si>
  <si>
    <t>Incorporated to H-K Replacement</t>
  </si>
  <si>
    <t>Combine Causeway, Guard Rail &amp; Transfer Bridge</t>
  </si>
  <si>
    <t>Request Assistance from NRCS</t>
  </si>
  <si>
    <t>Loading Dock Water Drainage</t>
  </si>
  <si>
    <t>Combined Roof Project</t>
  </si>
  <si>
    <t>Combine Engineering W/ VCT</t>
  </si>
  <si>
    <t>Cpmbined with mech. Ins. Project</t>
  </si>
  <si>
    <t>Replace parking lot lights City Hall &amp; Library</t>
  </si>
  <si>
    <t>?</t>
  </si>
  <si>
    <t>TBD Council Priority?</t>
  </si>
  <si>
    <t>Incorporate to PM Phase II or III</t>
  </si>
  <si>
    <t>Completed by Schools?</t>
  </si>
  <si>
    <t>Replace/Upgrade AHU system at Library</t>
  </si>
  <si>
    <t>AHU, VAV units, and DDC controls</t>
  </si>
  <si>
    <t xml:space="preserve">Old system was pnumatic and will not balance without serious upgrades.  Air Conditioning unit needs replacement. </t>
  </si>
  <si>
    <t>Master Plan Providence Valdez</t>
  </si>
  <si>
    <t>Evaluation complete in 2017 (Tie this in with installation of Romtec's</t>
  </si>
  <si>
    <t>Lack of public facilities in areas listed (High Priority for PM)</t>
  </si>
  <si>
    <t>Ruth pond improvement project. Conceptual designs are already developed with estimated cost ($1.6 mil)</t>
  </si>
  <si>
    <t>project to update and enhance Ruth Pond facility</t>
  </si>
  <si>
    <t>Identified in the Master Plan as a short term priority</t>
  </si>
  <si>
    <t>Parks Maintenance</t>
  </si>
  <si>
    <t>Trail Head improvement signs. Estimated cost ($20,000 per trail head)</t>
  </si>
  <si>
    <t>uniform trail head markers, signs and standards</t>
  </si>
  <si>
    <t>Meals Hill, newly acquired by the City, is a area where the Community should have input into any future use and development for recreation opportunities. (This has started and will be completed Summer 2021)</t>
  </si>
  <si>
    <t>Large ponds form and water never drains off the park. (Combine this with Black Gold Improvement Project)</t>
  </si>
  <si>
    <t>Harbor water repairs (See H-K Replacement)</t>
  </si>
  <si>
    <t>Baler Roof (see FS 3/4 roofs)</t>
  </si>
  <si>
    <t>Guard Rail Replacement VCT Causeway (see causeway project)</t>
  </si>
  <si>
    <t>Combined</t>
  </si>
  <si>
    <t>Roof Replacement Fire station #3 &amp; #4 &amp; Baler</t>
  </si>
  <si>
    <t>Whalen Ave (Pavement Phase III)</t>
  </si>
  <si>
    <t>Update Hospital Masterplan</t>
  </si>
  <si>
    <t>10 yr renewal</t>
  </si>
  <si>
    <t>Robe River Booster Pump Replacement</t>
  </si>
  <si>
    <t>Replace fire water booster pump at Robe River &amp; upgrade to electric</t>
  </si>
  <si>
    <t>Booster pump has failed and parts aren't available.</t>
  </si>
  <si>
    <t>Pipeline Club Demolition</t>
  </si>
  <si>
    <t>Demolish structures and foundation at Pipeline Club</t>
  </si>
  <si>
    <t>dilapidated building</t>
  </si>
  <si>
    <t>High School Major Renovation</t>
  </si>
  <si>
    <t>Interior and exterior renovations, finishes, windows, doors</t>
  </si>
  <si>
    <t>Accumulated deferred maintenance</t>
  </si>
  <si>
    <t>HHES Exterior Envelope Replacement</t>
  </si>
  <si>
    <t>Replace Roof, siding, and exterior doors</t>
  </si>
  <si>
    <t>VCT Causeway Repairs</t>
  </si>
  <si>
    <t>Emergency Lighting &amp; Carpet in Theatre</t>
  </si>
  <si>
    <t>Black Gold &amp; W. Hanagita</t>
  </si>
  <si>
    <t>Short term solution is to utilize for storage. Evaluate future expansion</t>
  </si>
  <si>
    <t>Shooting Range Safety Mitigation</t>
  </si>
  <si>
    <t>Airport Window Replacement</t>
  </si>
  <si>
    <t>Replace / Reseal high impact windows on airport terminal</t>
  </si>
  <si>
    <t>Windows leak and are drafty</t>
  </si>
  <si>
    <t>Interior renovation of individual apartments including kitchen, bathrooms, and livind space finishes.</t>
  </si>
  <si>
    <t>Remodels needed as tennants move out.</t>
  </si>
  <si>
    <t>Prev. Yr Begin Design</t>
  </si>
  <si>
    <t>Prev. Yr. Begin Const.</t>
  </si>
  <si>
    <t>10 Mile Excavation &amp; Dike Raise Phase 1</t>
  </si>
  <si>
    <t>10 Mile Excavation &amp; Dike Raise Phase 2</t>
  </si>
  <si>
    <t>New Ice Rink</t>
  </si>
  <si>
    <t>Covered Ice Rink</t>
  </si>
  <si>
    <t>Upgrade / redesign the existing flag display outside of City Hall.    [A 3 pole system, with large flags, and lit up at night]</t>
  </si>
  <si>
    <t>Kelsey Dock Interpretive Project Phase 3 Up-Land Side</t>
  </si>
  <si>
    <t>Exterior window blinds</t>
  </si>
  <si>
    <t>AB</t>
  </si>
  <si>
    <t>Concrete repairs at pile caps &amp; guardrail replacement</t>
  </si>
  <si>
    <t>Convert old FS1 into storage</t>
  </si>
  <si>
    <t>TR</t>
  </si>
  <si>
    <t>SP</t>
  </si>
  <si>
    <t>RC</t>
  </si>
  <si>
    <t>BF</t>
  </si>
  <si>
    <t>N/A</t>
  </si>
  <si>
    <t>City Wide Wayfinding</t>
  </si>
  <si>
    <t>Wayfinding signs around town for tourists</t>
  </si>
  <si>
    <t>noted as deficiency with cruise companies and surveys</t>
  </si>
  <si>
    <t>Cheat Code</t>
  </si>
  <si>
    <t>Current Yr Begin Design</t>
  </si>
  <si>
    <t>Current yr. Begin Const.</t>
  </si>
  <si>
    <t>SB/AR</t>
  </si>
  <si>
    <t>MR1</t>
  </si>
  <si>
    <t>MR/ND</t>
  </si>
  <si>
    <t>More efficient with gas appliances, Current ovens not working well</t>
  </si>
  <si>
    <t>Station 4 Sheltering</t>
  </si>
  <si>
    <t>Upgrade / Remodel Station 4 to serve as an adequate shelter for outlying subdivisions</t>
  </si>
  <si>
    <t>Emergency Supply Storage</t>
  </si>
  <si>
    <t>Adequate storage space, preparation space that allows for access and heavy machinery operations</t>
  </si>
  <si>
    <t>Covered and climate controlled storage - outside of the inundation zone- is required for Emergency Management Supplies</t>
  </si>
  <si>
    <t>Outdoor Warning System Upgrade</t>
  </si>
  <si>
    <t>Upgrade/ Expand Outdoor Warning System technology and sites to increase clarity and coverage</t>
  </si>
  <si>
    <t>Valdez has expanded whereas the OWS has not.  Sections of Valdez are left unable to hear any sirens or messages.  Upgrades are needed to the technology of the consoles and chips on which messaging is stored</t>
  </si>
  <si>
    <t>Dog Park</t>
  </si>
  <si>
    <t xml:space="preserve">Build dog park beside Shelter </t>
  </si>
  <si>
    <t>Air Handling / Filtration System</t>
  </si>
  <si>
    <t>Install separate air handling / filtration system for the quarantined animals</t>
  </si>
  <si>
    <t>Right now the dogs and cats requiring quarantine due to a virus or airborne illness are separated in distance, but the air handling system is not separate - raising the possiblity that an animal with kennel cough could spread the disease (for example)</t>
  </si>
  <si>
    <t>Doorway Roof</t>
  </si>
  <si>
    <t>Cover the north entrance with a simple roof design to keep snow from accumulating at the doorway</t>
  </si>
  <si>
    <t>Year round access to the doorway.  Also, Animal Control would like to utilize this entrance for impounded animals to prevent them from having to go through the entire intererior of the building.</t>
  </si>
  <si>
    <t>Electronic Message Board Sign</t>
  </si>
  <si>
    <t>Install COV electronic message board, freestanding, outside of City Hall or Council Chambers.  Can be used for routing messaging but also emergency or community messages</t>
  </si>
  <si>
    <t>It has become readily apparent during COVID that COV benefits from being able to provide succint messaging - which can be achieved with well-placed outdoor informational signs.</t>
  </si>
  <si>
    <t xml:space="preserve">Up grade current facility </t>
  </si>
  <si>
    <t>Currently, limited facility to train at and no props, live fire requirements for annual firefighting training and maintaining FF1 certifications.</t>
  </si>
  <si>
    <t>Wireless Access Control points</t>
  </si>
  <si>
    <t>Automation Up-grade</t>
  </si>
  <si>
    <t>Boiler replacement</t>
  </si>
  <si>
    <t>Wireleess door module that hooks up to the wifi.</t>
  </si>
  <si>
    <t>Up-date all obsolete sensors</t>
  </si>
  <si>
    <t xml:space="preserve">Replace 3 boilers with more efficient  models </t>
  </si>
  <si>
    <t>Ease of programmimmg and 1 button Lockdown</t>
  </si>
  <si>
    <t>Boilers are coming to EOL</t>
  </si>
  <si>
    <t>Improvement of Drainage to Mr. Ballow’s property across from City Hall.</t>
  </si>
  <si>
    <t>Infrastructure for Blueberry Road subdivision</t>
  </si>
  <si>
    <t>Installation of a curb of some sort along the north edge of the laydown yard that feeds into some form of containment</t>
  </si>
  <si>
    <t>This would be in hopes of alleviating future contamination into the ditch.</t>
  </si>
  <si>
    <t xml:space="preserve">preferably with an oil/water separator and going into City sewer due to the amount of spills we get from vessels that haul out for the winter.  </t>
  </si>
  <si>
    <t>Electrical replacement and upgrade at the Fisherman’s Dock</t>
  </si>
  <si>
    <t>The existing pedestal/power had to be abandoned due to safety concerns.  Power needs to be available to anyone using the grid for maintenance needs</t>
  </si>
  <si>
    <t>Replacement of the black crane</t>
  </si>
  <si>
    <t>The Grey Crane, 14,000lbs limit is the only way to lift seine skiffs.  The black crane, at 5,000lbs is going to need to be replaced eventually here soon and should be upgraded to lift the heavier skiffs.  I recommend a crane with a taller base pedestal and a longer boom to be more efficient lifting large loads over the tall bull work.  The grey crane had to be set up on a big concrete pad to acquire the appropriate height to clear the bull work.  Even with this pad, people still have issues clearing the bull work. )</t>
  </si>
  <si>
    <t>Paving the rest of the Fisherman’s Dock</t>
  </si>
  <si>
    <t>alleviate arctic terns from nesting there and we could fence in areas for gear storage</t>
  </si>
  <si>
    <t>New Harbor (Warehouse &amp; Bilge Bldg)  Canopy Covers, and Retrofit Existing Entry Cover with drainage</t>
  </si>
  <si>
    <t>Essential Shelter adjacent to New Warehouse</t>
  </si>
  <si>
    <t xml:space="preserve">Cover over fuel tanks and park winter time equipment.
Place opened sided roof system (48 x 80) on West of end of the New Warehouse.
This essential covered sheltered is built over essential fuel tanks and create an area to park essential equipment.
</t>
  </si>
  <si>
    <t>Cover over essential Transformer Cabinets and Old and New Generator Equipment.</t>
  </si>
  <si>
    <t>Green Room &amp; Dressing Room Flood Damage Repairs</t>
  </si>
  <si>
    <t>Replace finishes on walls and floor in dressing and green rooms at Civic Center. Remodel dressing room restrooms</t>
  </si>
  <si>
    <t>Flooding caused by a failed dialectric union on a unit heater flooded the rooms in the basement of the Civic Center</t>
  </si>
  <si>
    <t>It was installed in 1999 and is 21 years old now.  We need a larger crane that can accommodate the lifting of skiffs in the event our gray crane goes down…which is has from time to time.  Our Travelift has a recommended life of 20 years, so I would assume that the cranes life would be about the same. (Aj’s input</t>
  </si>
  <si>
    <t>Relocation of water line from Meals to Richardson Highway</t>
  </si>
  <si>
    <t>Water line crosses LDS and Saxe properties without an easement and underneath existing and planned structures</t>
  </si>
  <si>
    <t>Replace water main and associated valves.</t>
  </si>
  <si>
    <t>Modify drainage slopes or storm drain structures to capture snow melt runnoff</t>
  </si>
  <si>
    <t>Extend water and sewer to new subdivision at bottom of Blue Berry Hill</t>
  </si>
  <si>
    <t>Housing development requiring extended services.</t>
  </si>
  <si>
    <t>Citizen complaints about runnoff and flooding concerns of adjcent property.</t>
  </si>
  <si>
    <t>City Manager</t>
  </si>
  <si>
    <t>Code Enforcement</t>
  </si>
  <si>
    <t>Replace Backup Generator</t>
  </si>
  <si>
    <t>Replace emergency generator</t>
  </si>
  <si>
    <t>Assist with clean-up with property adjcent to dump road</t>
  </si>
  <si>
    <t>VCT Scale Replacement</t>
  </si>
  <si>
    <t>Replace VCT Scale</t>
  </si>
  <si>
    <t>Scale inspection indicates past useful life and in need of replacement.</t>
  </si>
  <si>
    <t>HHES  Kitchen Remodel</t>
  </si>
  <si>
    <t xml:space="preserve">Replace obsolete equipment, explore switching elementary  kitchen appliances from electric to LP, </t>
  </si>
  <si>
    <t>Senior Center Sprinkler Repairs</t>
  </si>
  <si>
    <t>Misc. Repairs to fire protection system</t>
  </si>
  <si>
    <t>freeze-ups and leaks causing damage to the building and rest of the system.</t>
  </si>
  <si>
    <t>Airport Stucco &amp; Paint Repairs</t>
  </si>
  <si>
    <t xml:space="preserve">Repair damaged Stucco </t>
  </si>
  <si>
    <t>Flaking Stucco exposing substrait. Needs repaired &amp; protected.</t>
  </si>
  <si>
    <t>Meals &amp; side streets / Pioneer /Mineral Creek</t>
  </si>
  <si>
    <t>Emergency Preparedness</t>
  </si>
  <si>
    <t>Electrical has been locked out due to current condition.</t>
  </si>
  <si>
    <t>Pavement Management Phase VII</t>
  </si>
  <si>
    <t>Pavement Management Phase VIII</t>
  </si>
  <si>
    <t>S. Meals from Egan to Hazelet</t>
  </si>
  <si>
    <t>Pavement Management Phase IX</t>
  </si>
  <si>
    <t xml:space="preserve"> N. Harbor</t>
  </si>
  <si>
    <t>Pavement Management Phase IV-V</t>
  </si>
  <si>
    <t>Pioneer / side streets W. of Hazelet</t>
  </si>
  <si>
    <t>C. Fairbanks/ Tatitlek / Chenega / Mineral Creek Heights</t>
  </si>
  <si>
    <t xml:space="preserve">Gold Fields Upgrades </t>
  </si>
  <si>
    <t>Coast Guard City Sign</t>
  </si>
  <si>
    <t>Sign commemorating Valdez Coast Guard City</t>
  </si>
  <si>
    <t xml:space="preserve">Add exhaust system to airport generator </t>
  </si>
  <si>
    <t>Airport Generator Exhaust</t>
  </si>
  <si>
    <t>Potential Grant Comments</t>
  </si>
  <si>
    <t>EDA Grant Submitted</t>
  </si>
  <si>
    <t>National Humanities Grant submitted 2021. Museum is lead</t>
  </si>
  <si>
    <t>Requested Grant Assistance from NRCS 2021</t>
  </si>
  <si>
    <t>Under Construction 2022/23</t>
  </si>
  <si>
    <t>Began Design April 2022</t>
  </si>
  <si>
    <t>In Progress, complete August 2022</t>
  </si>
  <si>
    <t>Test well drilled 7/2022</t>
  </si>
  <si>
    <t>North Harbor Drive Traffic Improvements</t>
  </si>
  <si>
    <t>Angled parking &amp;/or one way traffic</t>
  </si>
  <si>
    <t>difficult to navigate N. Harbor for parking during busy season</t>
  </si>
  <si>
    <t>Pedestrian Improvements District Wide</t>
  </si>
  <si>
    <t>improve traffic flow and pedestrian routes to all three schools</t>
  </si>
  <si>
    <t>pick-up and drop off creates hazards for pedestrians.</t>
  </si>
  <si>
    <t>In Progress complete August 2022</t>
  </si>
  <si>
    <t>In Progress Complete Sep. 2022</t>
  </si>
  <si>
    <t>In Progress Complete July 2022</t>
  </si>
  <si>
    <t>In Progress complete June 2022</t>
  </si>
  <si>
    <t>In Progress Complete August 2022</t>
  </si>
  <si>
    <t>Bond approved 5/22, Bidding expected 9/22. Construct 5/23-9/24</t>
  </si>
  <si>
    <t>In Design. Bid Dec. 2022</t>
  </si>
  <si>
    <t>In progress complete Aug 2022</t>
  </si>
  <si>
    <t>In Design. Implement Fal22/spring 23</t>
  </si>
  <si>
    <t>On Hold</t>
  </si>
  <si>
    <t>In construction complete Sep 2022</t>
  </si>
  <si>
    <t>on hold, with DNR</t>
  </si>
  <si>
    <t>In Design</t>
  </si>
  <si>
    <t>State Matching Grant "Awarded", City Match funded. Short $5MM</t>
  </si>
  <si>
    <t>On Hold following Hospital Masterplan</t>
  </si>
  <si>
    <t>See East Hanagita</t>
  </si>
  <si>
    <t>East Hanagita Road Realignment</t>
  </si>
  <si>
    <t>In Design, DB solicitation Fall 2022</t>
  </si>
  <si>
    <t>In Design, CRW Grant responsibility FEMA Port Security Grant</t>
  </si>
  <si>
    <t>Need to rebid Winter 2022</t>
  </si>
  <si>
    <t>Ready to bid</t>
  </si>
  <si>
    <t>N/A under construction, Complete October 2022</t>
  </si>
  <si>
    <t>On Hold for Hospital Masterplan</t>
  </si>
  <si>
    <t>In Design, Bid Winter 2022</t>
  </si>
  <si>
    <t>Waiting on Developer, Need RFQ</t>
  </si>
  <si>
    <t>Waiting on Condition assessment. RFQ Sept. 2022</t>
  </si>
  <si>
    <t>In progress DB W/ Siemens</t>
  </si>
  <si>
    <t>D/B waiting on proposals</t>
  </si>
  <si>
    <t>in Progress</t>
  </si>
  <si>
    <t>In Construction complete Oct 22. CDBG Grant "Awarded", awaiting funds 825K</t>
  </si>
  <si>
    <t>Combined with mech. Ins. Project</t>
  </si>
  <si>
    <t>Secondary Department</t>
  </si>
  <si>
    <t>Economic Development</t>
  </si>
  <si>
    <t xml:space="preserve">Police </t>
  </si>
  <si>
    <t>Senior Center</t>
  </si>
  <si>
    <t>Rec Center Remodel</t>
  </si>
  <si>
    <t xml:space="preserve">Library </t>
  </si>
  <si>
    <t>Police/Fire</t>
  </si>
  <si>
    <t>Ports &amp; Harbors</t>
  </si>
  <si>
    <t>Planning</t>
  </si>
  <si>
    <t>Airport</t>
  </si>
  <si>
    <t>Baler Covered Vehicle Parking</t>
  </si>
  <si>
    <t>Capital facilities</t>
  </si>
  <si>
    <t>Finance</t>
  </si>
  <si>
    <t xml:space="preserve">Fire </t>
  </si>
  <si>
    <t>Public Works/Fire</t>
  </si>
  <si>
    <t>Information Technology/Police/Fire</t>
  </si>
  <si>
    <t>Administration/Police</t>
  </si>
  <si>
    <t>Ports &amp; Harbors/Public Works</t>
  </si>
  <si>
    <t>Public Works/Planning</t>
  </si>
  <si>
    <t>City Manager/Planning</t>
  </si>
  <si>
    <t>Planning/Public Works</t>
  </si>
  <si>
    <t>Police/Administration</t>
  </si>
  <si>
    <t>Ports &amp; Harbors/Economic Development</t>
  </si>
  <si>
    <t>Police/Information Technology</t>
  </si>
  <si>
    <t>Parks &amp; Recreation/Information Technology</t>
  </si>
  <si>
    <t>Public Works /Planning</t>
  </si>
  <si>
    <t>(Being Completed by IT)</t>
  </si>
  <si>
    <r>
      <t xml:space="preserve">Space needed for new and used computer storage. </t>
    </r>
    <r>
      <rPr>
        <sz val="11"/>
        <color rgb="FFFF0000"/>
        <rFont val="Calibri"/>
        <family val="2"/>
        <scheme val="minor"/>
      </rPr>
      <t>(Being Completed with current Storage Remodel)</t>
    </r>
  </si>
  <si>
    <t>$1,000,000 +</t>
  </si>
  <si>
    <t>VCT Generator &amp; Switch Cabinets Shelter</t>
  </si>
  <si>
    <t xml:space="preserve">Canopy covers on three outswing doors with an option for a forth on the new harbor bilge and warehouse buildings.  This work also includes retrofitting the flat roofs over the 5 shower/restrooms on the East end and South side of new Warehouse with a heated drain system. </t>
  </si>
  <si>
    <t>update threadbear and worn out wall treatment</t>
  </si>
  <si>
    <t>Could be grant funding available if city matches funding 
and necessary upkeep</t>
  </si>
  <si>
    <t>New front entry</t>
  </si>
  <si>
    <t>although the doors were replaced a few years ago, the wind immediately damaged the doors and the glass box freezes up causing internal issues with the doors. The entry should be reconfigured.</t>
  </si>
  <si>
    <t>Wind will continued to damage the existing doors and they will always need repairs.</t>
  </si>
  <si>
    <t>New doors between Library and Museum</t>
  </si>
  <si>
    <t>internal mechanisms freeze up and do not function in the winter</t>
  </si>
  <si>
    <t>weather will continue to cause this issue</t>
  </si>
  <si>
    <t>New windows in directors office</t>
  </si>
  <si>
    <t>Single pain window letting heat out</t>
  </si>
  <si>
    <t xml:space="preserve">keep the heat in </t>
  </si>
  <si>
    <t xml:space="preserve">the platform is damaged each winter </t>
  </si>
  <si>
    <t>safety hazard as the rebar juts out of the base.</t>
  </si>
  <si>
    <t>N/a</t>
  </si>
  <si>
    <t>Paint the exterior and repair facia</t>
  </si>
  <si>
    <t>At least repare the facia. Although it would be great to tone down the green</t>
  </si>
  <si>
    <t>snow has caused sections of the trim to fall off and it looks bad</t>
  </si>
  <si>
    <t>Build an addtion to the Museum complex on Egan</t>
  </si>
  <si>
    <t xml:space="preserve">Re work entry to west side and at the same time build out additional public space. </t>
  </si>
  <si>
    <t xml:space="preserve">With space limitations this could be a way for additional programming. Move main entry way to alleviate wind issues on the doors. </t>
  </si>
  <si>
    <t>Convert section of Annex for designated Museum Storage</t>
  </si>
  <si>
    <t xml:space="preserve">Maximize warehouse usage by converting one of the sides </t>
  </si>
  <si>
    <t>We have no space This would allow us to bring colections and other items closer to work space to provide effciencies.</t>
  </si>
  <si>
    <t xml:space="preserve">Ports &amp; Harbor </t>
  </si>
  <si>
    <t xml:space="preserve">Replace roof or apply coating on Northstar metal building. Insulation should be taken inito consideration $15,000.00 - 45,000.00 </t>
  </si>
  <si>
    <t xml:space="preserve">Rust and leaks are visual and repair in the winter time is near impossible </t>
  </si>
  <si>
    <t>Port &amp; Harbor</t>
  </si>
  <si>
    <t xml:space="preserve">Cover for the new 300 gallaon double walled  Diesel tank to be located on the back side of oil shed across from the Harbor office including cover with electrical connnectioins. </t>
  </si>
  <si>
    <t xml:space="preserve">This fuel tank is essential and will be used year round, a cover is being prudent. </t>
  </si>
  <si>
    <t>Change Fixtures lighting from Soduim vapor to LED's at the Kelsey Plaza East Parking, across from the Muesum. $14,000.00</t>
  </si>
  <si>
    <t xml:space="preserve">Repair all season water (Yard Hydrant) at the lift station across from the Harbor offfice. </t>
  </si>
  <si>
    <t>Last was was installed with heat type that failed.</t>
  </si>
  <si>
    <t xml:space="preserve">Airport - New Generator with Ballard(s) in front </t>
  </si>
  <si>
    <t>Item is essential for all of Valdez</t>
  </si>
  <si>
    <t xml:space="preserve">Uplands Cleaning station South Harbor </t>
  </si>
  <si>
    <t>Part of the original design</t>
  </si>
  <si>
    <t xml:space="preserve">Comfort station West end of South Harbor </t>
  </si>
  <si>
    <t xml:space="preserve">Part of original design?? Maintain cleaner water in basin </t>
  </si>
  <si>
    <t xml:space="preserve">Boat Ramp with Wash Down Pad - South Harbor. </t>
  </si>
  <si>
    <t xml:space="preserve">Part of original design?? Maintain cleaner water in basin. Do this before Sea Otter </t>
  </si>
  <si>
    <t>Seal coat concrete dock at the VCT</t>
  </si>
  <si>
    <t>Prudent maintenance</t>
  </si>
  <si>
    <t>Repair the tops of the rotten pilings on both Sea walls, the Fishermans dock and West of A ramp.</t>
  </si>
  <si>
    <t xml:space="preserve">Tops of piling are rotted as much as a 16" </t>
  </si>
  <si>
    <t xml:space="preserve">Install venting system much less than what was installed for Ravn, but for the restaurant cooking ability and keep airport tenants happy  </t>
  </si>
  <si>
    <t>Place motor on roof or outside wall (est 550 CFM)</t>
  </si>
  <si>
    <t xml:space="preserve">Existing lamps are burning out and are not of the same wattage, lighting is insufficient and LED 's are more efficient. Replacement could be done inhouse. </t>
  </si>
  <si>
    <t xml:space="preserve">All operational aspects of the Ports and Harbor are essential year round, hence all equipment and appurtenances should be accessed without reference to snow removal. </t>
  </si>
  <si>
    <t>Automatic Door replacement between dining room and apartment foyer</t>
  </si>
  <si>
    <t xml:space="preserve">The door hasn't worked in several years and remains open. </t>
  </si>
  <si>
    <t xml:space="preserve">This is supposed to be a secured building for the tenants. The door remains open and the cap above the door is off exposing wires which can't be safe. </t>
  </si>
  <si>
    <t>Police/Emergency Management</t>
  </si>
  <si>
    <t>Police/Emergency Management/Fire</t>
  </si>
  <si>
    <r>
      <t xml:space="preserve">Outdoor enclosed area with enrichment supplies installed would allow the dogs up for adoption to interact with potential adopters / family pets, dogs could be allowed off leash for exercise, and the dog park would be open and available to Valdez residents during off hours. </t>
    </r>
    <r>
      <rPr>
        <sz val="11"/>
        <color rgb="FFFF0000"/>
        <rFont val="Calibri"/>
        <family val="2"/>
        <scheme val="minor"/>
      </rPr>
      <t>*Money budgeted in Animal Control 2023 budget to conduct this in-house.</t>
    </r>
  </si>
  <si>
    <r>
      <t xml:space="preserve">Flooring is in need of replacement and is in a high-traffic, high-visibility area. </t>
    </r>
    <r>
      <rPr>
        <sz val="11"/>
        <color rgb="FFFF0000"/>
        <rFont val="Calibri"/>
        <family val="2"/>
        <scheme val="minor"/>
      </rPr>
      <t>*After discussions with Nate and Stacey, I think this project is either underway or will be completed in 2023.</t>
    </r>
  </si>
  <si>
    <r>
      <t xml:space="preserve">End of life cycle for equipment (10 years) </t>
    </r>
    <r>
      <rPr>
        <sz val="11"/>
        <color rgb="FFFF0000"/>
        <rFont val="Calibri"/>
        <family val="2"/>
        <scheme val="minor"/>
      </rPr>
      <t>*2028 Replacement</t>
    </r>
  </si>
  <si>
    <r>
      <t xml:space="preserve">Plans already exist - wildlife viewing platform at Dayville Road to allow point for people to view wildlife while also controlling their movement and establishing better public safety (less bear v. people encounters)  The concept of this ebbs and flows depending on Administration and Bear Working Group, etc. </t>
    </r>
    <r>
      <rPr>
        <sz val="11"/>
        <color rgb="FFFF0000"/>
        <rFont val="Calibri"/>
        <family val="2"/>
        <scheme val="minor"/>
      </rPr>
      <t>*Grant possibilities with SOA</t>
    </r>
  </si>
  <si>
    <r>
      <t xml:space="preserve">PD Offices        </t>
    </r>
    <r>
      <rPr>
        <sz val="11"/>
        <color rgb="FFFF0000"/>
        <rFont val="Calibri"/>
        <family val="2"/>
        <scheme val="minor"/>
      </rPr>
      <t>*Not Necessary</t>
    </r>
  </si>
  <si>
    <t>Replace floor coverings on interior stairwell of PD.  Currently carpenting, would be satisfied with new carpet or alternative covering</t>
  </si>
  <si>
    <t>Carpeted stairwells within the Police Department are outdated, worn, and will soon be a tripping/safety hazard</t>
  </si>
  <si>
    <t>Cosmetic Repairs and Improvements</t>
  </si>
  <si>
    <t>Conduct cosmetic repairs on exterior of Animal Shelter - including paint job</t>
  </si>
  <si>
    <t>Building has sustained damage from snow plow operators.  Nothing structural - just cosmetic.  Paint is faded and peeling</t>
  </si>
  <si>
    <t>Inside Dog Park</t>
  </si>
  <si>
    <t>A covered, climate controlled dog park available to Shelter Staff and citizens alike to take their dogs</t>
  </si>
  <si>
    <t>Seasonal dog park is popular.  No winter or inside options currently offered.  Request has been voiced by public a number of times.</t>
  </si>
  <si>
    <t>PD Shooting Range Improvements</t>
  </si>
  <si>
    <t>Construct secure building and covered area similar to what is out there (building for storage, covered area for rifle side of range)</t>
  </si>
  <si>
    <t>The range is well used and a good asset.  Current covered area on pistol side is well built and perfectly suited.  Rifle side needs it replicated there</t>
  </si>
  <si>
    <t>Police Department Paint</t>
  </si>
  <si>
    <t>Paint interior of PD</t>
  </si>
  <si>
    <t>Essentially each floor of the PD is painted a different color.  Would like it uniform throughout.  Many of the common spaces/hallways are in need of touchup/repainting anyhow</t>
  </si>
  <si>
    <t>Valdez Sign (Egan Drive) Pullout</t>
  </si>
  <si>
    <t>Create a pullout along Egan Drive</t>
  </si>
  <si>
    <t>Existing arrangement creates a public safety issue with pedestrians/picture takers and traffic flow</t>
  </si>
  <si>
    <t>Tideflats Bike Path Improvements</t>
  </si>
  <si>
    <t>Establish a bike path further away from the Hwy on the Tideflats, and provide lighting and year round maintenance</t>
  </si>
  <si>
    <t>That area of the bikepath is a public safety issue - both in the winter and summer.  Relocation and lighting and maintenance would alleviate much of the public safety concerns</t>
  </si>
  <si>
    <t xml:space="preserve">South Harbor - Attached two sided pole barn 60 xx 43 (one side will be the existing Warehouse building) extention on to the West end of the Warehouse building.Metal mono sloped roof covering fuel tanks and housing for vehicals and equipment - Genie-lift etc. </t>
  </si>
  <si>
    <t xml:space="preserve">Kelsey Plaza East Parking LED Lights </t>
  </si>
  <si>
    <t>North Harbor Yard Hydrant Repair</t>
  </si>
  <si>
    <t>NorthStar Building Roof Replacement</t>
  </si>
  <si>
    <t>North Harbor Deisel Tank Cover Structure</t>
  </si>
  <si>
    <t>South Harbor Warehouse Equip Pole Barn</t>
  </si>
  <si>
    <t>New Airport Generator</t>
  </si>
  <si>
    <t>South Harbor Uplands Cleaning Station</t>
  </si>
  <si>
    <t xml:space="preserve">South Harbor Comfort Station West </t>
  </si>
  <si>
    <t>South Harbor Boat Ramp/Wash-Down Pad</t>
  </si>
  <si>
    <t>VCT Concrete Dock Sealing</t>
  </si>
  <si>
    <t>North Harbor Piling Tops Repair</t>
  </si>
  <si>
    <t>Airport Restauarant Ventilation Upgrade</t>
  </si>
  <si>
    <r>
      <t>Noted on insurance evaluation, Constant problem.</t>
    </r>
    <r>
      <rPr>
        <sz val="11"/>
        <color rgb="FFFF0000"/>
        <rFont val="Calibri"/>
        <family val="2"/>
        <scheme val="minor"/>
      </rPr>
      <t xml:space="preserve"> Until land owndership agreement is worked out with the state of AK, we don't own the land the backstop sits on.</t>
    </r>
  </si>
  <si>
    <r>
      <t xml:space="preserve">Landfill protection. Repair river scour from 2017. Repairs done in 2019. Request for NRCS grant. </t>
    </r>
    <r>
      <rPr>
        <sz val="11"/>
        <color rgb="FFFF0000"/>
        <rFont val="Calibri"/>
        <family val="2"/>
        <scheme val="minor"/>
      </rPr>
      <t xml:space="preserve"> While awaiting NRCS approval for a project, interim mitigation work needs to occure. The construction of six spur dikes will run $2.5 million.</t>
    </r>
  </si>
  <si>
    <r>
      <t xml:space="preserve">Locker rooms are outdated and in need of remodel/repair.  They have been the same since at least 1999. </t>
    </r>
    <r>
      <rPr>
        <sz val="11"/>
        <color rgb="FFFF0000"/>
        <rFont val="Calibri"/>
        <family val="2"/>
        <scheme val="minor"/>
      </rPr>
      <t xml:space="preserve">(Money budgeted in PD 2023 budget - but less than $15,000) - SB/I'm not aware that any significant renovation work has been done to the locker rooms since original construction. The only thing I'm aware of was installion of grating to elevate the walking surface above the standing water that leaked into the basement. </t>
    </r>
  </si>
  <si>
    <r>
      <rPr>
        <sz val="11"/>
        <color rgb="FFFF0000"/>
        <rFont val="Calibri"/>
        <family val="2"/>
        <scheme val="minor"/>
      </rPr>
      <t xml:space="preserve">Structural damage and </t>
    </r>
    <r>
      <rPr>
        <sz val="11"/>
        <color theme="1"/>
        <rFont val="Calibri"/>
        <family val="2"/>
        <scheme val="minor"/>
      </rPr>
      <t>roof leaks</t>
    </r>
  </si>
  <si>
    <r>
      <t>Existing floor is spalling bad and does not drain.</t>
    </r>
    <r>
      <rPr>
        <sz val="11"/>
        <color rgb="FFFF0000"/>
        <rFont val="Calibri"/>
        <family val="2"/>
        <scheme val="minor"/>
      </rPr>
      <t xml:space="preserve"> Significant portions of the existing slab were replaced in '05, the vast majoritiy of the slab was skim coated with a cemtous product in '10 and it begain failing soon after installation.</t>
    </r>
  </si>
  <si>
    <r>
      <t>Outlived service life.</t>
    </r>
    <r>
      <rPr>
        <sz val="11"/>
        <color rgb="FFFF0000"/>
        <rFont val="Calibri"/>
        <family val="2"/>
        <scheme val="minor"/>
      </rPr>
      <t xml:space="preserve"> The majority of the cooking equipment is 40+ years old and is from original construction.</t>
    </r>
  </si>
  <si>
    <t xml:space="preserve">The roof was replaced in '12 with an exposed EPDM membrane style roof that gets damaged every time it is shoveled. It was the wrong type of roof system for a building that only has a 90psf capacity.  </t>
  </si>
  <si>
    <r>
      <rPr>
        <sz val="11"/>
        <color theme="1"/>
        <rFont val="Calibri"/>
        <family val="2"/>
        <scheme val="minor"/>
      </rPr>
      <t>Will make Baler operations more efficient</t>
    </r>
    <r>
      <rPr>
        <sz val="11"/>
        <color rgb="FFFF0000"/>
        <rFont val="Calibri"/>
        <family val="2"/>
        <scheme val="minor"/>
      </rPr>
      <t>. The original Baler facility was constructed in '93. The Baler/compactor was replaced in '09 but this new machine was designed for recycling and was not compatible with how it was being used.</t>
    </r>
  </si>
  <si>
    <t>Numerous studies have been done since '00.</t>
  </si>
  <si>
    <r>
      <t xml:space="preserve">The only way to access the upstairs of the library is by taking the stairs. </t>
    </r>
    <r>
      <rPr>
        <sz val="11"/>
        <color rgb="FFFF0000"/>
        <rFont val="Calibri"/>
        <family val="2"/>
        <scheme val="minor"/>
      </rPr>
      <t>A freestanding platform type lift would likley fit in the middle of the ground floor on the north side of the room.</t>
    </r>
  </si>
  <si>
    <t xml:space="preserve">Leaks </t>
  </si>
  <si>
    <r>
      <t xml:space="preserve">ADA Noncompliant - </t>
    </r>
    <r>
      <rPr>
        <sz val="11"/>
        <color rgb="FFFF0000"/>
        <rFont val="Calibri"/>
        <family val="2"/>
        <scheme val="minor"/>
      </rPr>
      <t>We have design drawings for this work dating back to '15.</t>
    </r>
  </si>
  <si>
    <r>
      <t>outlived life expectancy -</t>
    </r>
    <r>
      <rPr>
        <sz val="11"/>
        <color rgb="FFFF0000"/>
        <rFont val="Calibri"/>
        <family val="2"/>
        <scheme val="minor"/>
      </rPr>
      <t xml:space="preserve"> Exterior doors will be replaced summer '23.</t>
    </r>
  </si>
  <si>
    <r>
      <t xml:space="preserve">Would help the expansion of Airport Industrial Subdiv, and provide easier access for emergency response. </t>
    </r>
    <r>
      <rPr>
        <sz val="11"/>
        <color rgb="FFFF0000"/>
        <rFont val="Calibri"/>
        <family val="2"/>
        <scheme val="minor"/>
      </rPr>
      <t xml:space="preserve"> Design plans for the work were done in '10 or '11.</t>
    </r>
  </si>
  <si>
    <t>Station #1</t>
  </si>
  <si>
    <t>Install cooling unit for second floor</t>
  </si>
  <si>
    <t xml:space="preserve">Improve work enviroment </t>
  </si>
  <si>
    <t>Tie in ovens to fire alerting system to turn ovens off on alarm</t>
  </si>
  <si>
    <t xml:space="preserve">Safety </t>
  </si>
  <si>
    <t>Sterile Processing Equipment/Room Upgrades</t>
  </si>
  <si>
    <t>Replacing sterile processing equipment</t>
  </si>
  <si>
    <t>Past end of usable life</t>
  </si>
  <si>
    <t>CT UPS Relocation Project</t>
  </si>
  <si>
    <t>Relocation of CT UPS to penthouse</t>
  </si>
  <si>
    <t>Noise reduction</t>
  </si>
  <si>
    <t>MRI Upgrade</t>
  </si>
  <si>
    <t>Replacing MRI (refurbished)</t>
  </si>
  <si>
    <t>End of usable life</t>
  </si>
  <si>
    <t>Facility-wide cameras</t>
  </si>
  <si>
    <t>Upgrade and expand coverage</t>
  </si>
  <si>
    <t>End of usable life and inadequate coverage</t>
  </si>
  <si>
    <t>Air Handler 3 Replacement</t>
  </si>
  <si>
    <t>Marginal air exchange for OR</t>
  </si>
  <si>
    <t>Obsolete</t>
  </si>
  <si>
    <t>Grease Trap Upgrade</t>
  </si>
  <si>
    <t>Hospital Kitchen grease traps need replacement</t>
  </si>
  <si>
    <t>Regular back-ups requiring pumping</t>
  </si>
  <si>
    <t xml:space="preserve">LTC- 4 Bed Expansion </t>
  </si>
  <si>
    <t>Community health assessment need identified via survey and signifant space constraints for current census</t>
  </si>
  <si>
    <t>Egan Commons Upgrades</t>
  </si>
  <si>
    <t>Museum Casework Replacemen</t>
  </si>
  <si>
    <t xml:space="preserve">furnishing &amp; cabinetry are falling apart </t>
  </si>
  <si>
    <t>Entry Plaza &amp; Flag Pole Improvement / Upgrade</t>
  </si>
  <si>
    <t>Parks &amp; Rec</t>
  </si>
  <si>
    <t>Rehab addition (wellness center)</t>
  </si>
  <si>
    <t>Option A Hospital Campus Master Plan</t>
  </si>
  <si>
    <t>Option C Hospital Campus Master Planning</t>
  </si>
  <si>
    <t>Increased use &amp; community needs assesment</t>
  </si>
  <si>
    <t>Outpatient Clinic Expansion</t>
  </si>
  <si>
    <t>Option B Hospital Campus Master Plan</t>
  </si>
  <si>
    <t>more space for additional providers &amp; potential dedicated Public Health space</t>
  </si>
  <si>
    <t>Angled Parking North Harbor Drive</t>
  </si>
  <si>
    <t>paint angled parking stalls or implement 1 way traffic on N. Harbor</t>
  </si>
  <si>
    <t>crowded &amp; dangerous parking arrangement on main road with a lot of pedestrian traffic.</t>
  </si>
  <si>
    <t>Child Care Facility</t>
  </si>
  <si>
    <t>Purpose built child care facility</t>
  </si>
  <si>
    <t xml:space="preserve">Sewer Force Main </t>
  </si>
  <si>
    <t>Option D Hospital Campus Master Planning. Create a triage desk and waiting area upon entrance to the hospital.  Move the morgue to the back of the hospital.</t>
  </si>
  <si>
    <t>City Council</t>
  </si>
  <si>
    <t>Station #1 Emergency Shut-off</t>
  </si>
  <si>
    <t>Server Room AC Unit Replacements</t>
  </si>
  <si>
    <t>The existing AC units in City Hall and the Airport need replaced</t>
  </si>
  <si>
    <t>AC units are at end of lif and have been installed in an inconsistent manner. Units have failed from time to time causing concern for loss of data from over heating.</t>
  </si>
  <si>
    <t>Abatement of  Dump Road Salavage Yard</t>
  </si>
  <si>
    <t>DOT Grant Opportunity</t>
  </si>
  <si>
    <t>Hazelet Resurfacing &amp; Lighting</t>
  </si>
  <si>
    <t>Work with DOT for State grant funds</t>
  </si>
  <si>
    <t>Major state road in need of repair. City can potentially partner in a grant to complete work</t>
  </si>
  <si>
    <t>Loop Road Resurfacing &amp; Culvert Replacement</t>
  </si>
  <si>
    <t>Council Priority Community need</t>
  </si>
  <si>
    <t xml:space="preserve">Windows are past life expectancy and in need of replacement. Project funded in 2022 but insufficient funds.
</t>
  </si>
  <si>
    <t>1             </t>
  </si>
  <si>
    <t>TAP       </t>
  </si>
  <si>
    <t>Egan Drive – Valdez Sign Turnout and Pedestrian Crossing</t>
  </si>
  <si>
    <t>2             </t>
  </si>
  <si>
    <t>CTP       </t>
  </si>
  <si>
    <t>Richardson Highway Repaving – Airport Road to 16 Mile</t>
  </si>
  <si>
    <t>3             </t>
  </si>
  <si>
    <t>Richardson Highway Bike Path Improvements and Extension</t>
  </si>
  <si>
    <t>4             </t>
  </si>
  <si>
    <t>Dayville Road Waterfront Access/Trails Improvement</t>
  </si>
  <si>
    <t>5             </t>
  </si>
  <si>
    <t>Mineral Creek Loop Road Resurfacing</t>
  </si>
  <si>
    <t>6             </t>
  </si>
  <si>
    <t>Mineral Creek Loop Road Fish Culvert Improvement</t>
  </si>
  <si>
    <t>7             </t>
  </si>
  <si>
    <t>Hazelet Avenue Resurfacing &amp; Lighting Upgrade Project</t>
  </si>
  <si>
    <t>8             </t>
  </si>
  <si>
    <t>Valdez Electric Vehicle Charging Stations</t>
  </si>
  <si>
    <t>9             </t>
  </si>
  <si>
    <t>Richardson Highway Truck stop/Comfort Station at Dayvill</t>
  </si>
  <si>
    <t>Museum sign on Egan lawn replacment</t>
  </si>
  <si>
    <t xml:space="preserve">Base is rotting and damaged </t>
  </si>
  <si>
    <t>safety hazard as the steel juts out at the base and doesn’t secure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</si>
</sst>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quot;$&quot;#,##0.00"/>
    <numFmt numFmtId="166" formatCode="&quot;$&quot;#,##0.00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sz val="11"/>
      <color rgb="FF006100"/>
      <name val="Calibri"/>
      <family val="2"/>
      <scheme val="minor"/>
    </font>
    <font>
      <b/>
      <sz val="18"/>
      <color rgb="FFFFFFFF"/>
      <name val="Calibri"/>
    </font>
    <font>
      <sz val="18"/>
      <color rgb="FF000000"/>
      <name val="Calibri"/>
    </font>
  </fonts>
  <fills count="18">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CC99"/>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6EFCE"/>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auto="1"/>
      </left>
      <right style="medium">
        <color auto="1"/>
      </right>
      <top/>
      <bottom style="medium">
        <color rgb="FF000000"/>
      </bottom>
      <diagonal/>
    </border>
    <border>
      <left style="medium">
        <color auto="1"/>
      </left>
      <right style="medium">
        <color auto="1"/>
      </right>
      <top/>
      <bottom style="medium">
        <color indexed="64"/>
      </bottom>
      <diagonal/>
    </border>
    <border>
      <left style="medium">
        <color indexed="64"/>
      </left>
      <right/>
      <top/>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3">
    <xf numFmtId="0" fontId="0" fillId="0" borderId="0"/>
    <xf numFmtId="0" fontId="5" fillId="4" borderId="16" applyNumberFormat="0" applyAlignment="0" applyProtection="0"/>
    <xf numFmtId="0" fontId="8" fillId="10" borderId="0" applyNumberFormat="0" applyBorder="0" applyAlignment="0" applyProtection="0"/>
  </cellStyleXfs>
  <cellXfs count="212">
    <xf numFmtId="0" fontId="0" fillId="0" borderId="0" xfId="0"/>
    <xf numFmtId="0" fontId="0" fillId="0" borderId="1" xfId="0" applyBorder="1"/>
    <xf numFmtId="0" fontId="2" fillId="0" borderId="1" xfId="0" applyFont="1" applyBorder="1"/>
    <xf numFmtId="164" fontId="0" fillId="0" borderId="1" xfId="0" applyNumberFormat="1" applyBorder="1"/>
    <xf numFmtId="0" fontId="2" fillId="0" borderId="1" xfId="0" applyFont="1" applyBorder="1" applyAlignment="1">
      <alignment horizontal="center" wrapText="1"/>
    </xf>
    <xf numFmtId="0" fontId="2" fillId="0" borderId="1" xfId="0" applyFont="1" applyBorder="1" applyAlignment="1">
      <alignment wrapText="1"/>
    </xf>
    <xf numFmtId="164" fontId="2" fillId="0" borderId="1" xfId="0" applyNumberFormat="1" applyFont="1" applyBorder="1" applyAlignment="1">
      <alignment horizontal="center" wrapText="1"/>
    </xf>
    <xf numFmtId="0" fontId="2" fillId="0" borderId="1" xfId="0" applyFont="1" applyBorder="1" applyAlignment="1">
      <alignment horizontal="center"/>
    </xf>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165" fontId="0" fillId="0" borderId="1" xfId="0" applyNumberFormat="1" applyBorder="1" applyAlignment="1">
      <alignment horizontal="right"/>
    </xf>
    <xf numFmtId="0" fontId="0" fillId="2" borderId="1" xfId="0" applyFill="1" applyBorder="1"/>
    <xf numFmtId="0" fontId="0" fillId="2" borderId="1" xfId="0" applyFill="1" applyBorder="1" applyAlignment="1">
      <alignment wrapText="1"/>
    </xf>
    <xf numFmtId="165" fontId="0" fillId="2" borderId="1" xfId="0" applyNumberFormat="1" applyFill="1" applyBorder="1" applyAlignment="1">
      <alignment horizontal="right"/>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wrapText="1"/>
    </xf>
    <xf numFmtId="165" fontId="0" fillId="0" borderId="1" xfId="0" applyNumberFormat="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165" fontId="1" fillId="0" borderId="1" xfId="0" applyNumberFormat="1" applyFont="1" applyBorder="1" applyAlignment="1">
      <alignment horizontal="right"/>
    </xf>
    <xf numFmtId="0" fontId="1" fillId="0" borderId="1" xfId="0" applyFont="1" applyBorder="1" applyAlignment="1">
      <alignment horizontal="center"/>
    </xf>
    <xf numFmtId="0" fontId="0" fillId="0" borderId="2" xfId="0" applyBorder="1" applyAlignment="1">
      <alignment wrapText="1"/>
    </xf>
    <xf numFmtId="165" fontId="0" fillId="0" borderId="2" xfId="0" applyNumberFormat="1" applyBorder="1" applyAlignment="1">
      <alignment horizontal="right"/>
    </xf>
    <xf numFmtId="0" fontId="0" fillId="0" borderId="2" xfId="0" applyBorder="1" applyAlignment="1">
      <alignment horizontal="center"/>
    </xf>
    <xf numFmtId="0" fontId="0" fillId="0" borderId="2" xfId="0" applyBorder="1" applyAlignment="1">
      <alignment horizontal="center" wrapText="1"/>
    </xf>
    <xf numFmtId="0" fontId="0" fillId="0" borderId="3" xfId="0" applyBorder="1" applyAlignment="1">
      <alignment wrapText="1"/>
    </xf>
    <xf numFmtId="0" fontId="0" fillId="0" borderId="3" xfId="0" applyBorder="1" applyAlignment="1">
      <alignment horizontal="center" wrapText="1"/>
    </xf>
    <xf numFmtId="165" fontId="0" fillId="0" borderId="3" xfId="0" applyNumberFormat="1" applyBorder="1" applyAlignment="1">
      <alignment horizontal="right"/>
    </xf>
    <xf numFmtId="0" fontId="0" fillId="0" borderId="3" xfId="0" applyBorder="1" applyAlignment="1">
      <alignment horizontal="center"/>
    </xf>
    <xf numFmtId="0" fontId="0" fillId="0" borderId="3" xfId="0" applyBorder="1"/>
    <xf numFmtId="164" fontId="0" fillId="0" borderId="1" xfId="0" applyNumberFormat="1" applyBorder="1" applyAlignment="1">
      <alignment horizontal="right"/>
    </xf>
    <xf numFmtId="164" fontId="0" fillId="0" borderId="1" xfId="0" applyNumberFormat="1" applyBorder="1" applyAlignment="1">
      <alignment horizontal="center"/>
    </xf>
    <xf numFmtId="0" fontId="0" fillId="0" borderId="4" xfId="0" applyBorder="1"/>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0" fontId="2" fillId="0" borderId="11" xfId="0" applyFont="1" applyBorder="1" applyAlignment="1">
      <alignment horizontal="center" wrapText="1"/>
    </xf>
    <xf numFmtId="0" fontId="2" fillId="0" borderId="11" xfId="0" applyFont="1" applyBorder="1" applyAlignment="1">
      <alignment horizontal="center"/>
    </xf>
    <xf numFmtId="164" fontId="2" fillId="0" borderId="11" xfId="0" applyNumberFormat="1" applyFont="1" applyBorder="1" applyAlignment="1">
      <alignment horizontal="center"/>
    </xf>
    <xf numFmtId="0" fontId="0" fillId="0" borderId="11" xfId="0" applyBorder="1" applyAlignment="1">
      <alignment horizontal="center"/>
    </xf>
    <xf numFmtId="0" fontId="0" fillId="0" borderId="1" xfId="0" applyBorder="1" applyAlignment="1">
      <alignment horizontal="left" wrapText="1"/>
    </xf>
    <xf numFmtId="0" fontId="0" fillId="0" borderId="1" xfId="0" applyBorder="1" applyAlignment="1">
      <alignment vertical="top" wrapText="1"/>
    </xf>
    <xf numFmtId="0" fontId="2" fillId="0" borderId="12" xfId="0" applyFont="1" applyBorder="1" applyAlignment="1">
      <alignment horizontal="center"/>
    </xf>
    <xf numFmtId="0" fontId="2" fillId="0" borderId="12" xfId="0" applyFont="1" applyBorder="1" applyAlignment="1">
      <alignment horizontal="center" wrapText="1"/>
    </xf>
    <xf numFmtId="0" fontId="4" fillId="0" borderId="0" xfId="0" applyFont="1" applyAlignment="1">
      <alignment wrapText="1"/>
    </xf>
    <xf numFmtId="165" fontId="0" fillId="0" borderId="1" xfId="0" applyNumberFormat="1" applyBorder="1" applyAlignment="1">
      <alignment horizontal="center"/>
    </xf>
    <xf numFmtId="0" fontId="0" fillId="0" borderId="4" xfId="0" applyBorder="1" applyAlignment="1">
      <alignment wrapText="1"/>
    </xf>
    <xf numFmtId="164" fontId="0" fillId="0" borderId="1" xfId="0" applyNumberFormat="1" applyBorder="1" applyAlignment="1">
      <alignment wrapText="1"/>
    </xf>
    <xf numFmtId="0" fontId="0" fillId="0" borderId="6" xfId="0" applyBorder="1" applyAlignment="1">
      <alignment wrapText="1"/>
    </xf>
    <xf numFmtId="164" fontId="0" fillId="0" borderId="2" xfId="0" applyNumberFormat="1" applyBorder="1" applyAlignment="1">
      <alignment wrapText="1"/>
    </xf>
    <xf numFmtId="166" fontId="0" fillId="0" borderId="1" xfId="0" applyNumberFormat="1" applyBorder="1" applyAlignment="1">
      <alignment horizontal="right"/>
    </xf>
    <xf numFmtId="0" fontId="0" fillId="0" borderId="2" xfId="0" applyBorder="1"/>
    <xf numFmtId="166" fontId="0" fillId="0" borderId="2" xfId="0" applyNumberFormat="1" applyBorder="1" applyAlignment="1">
      <alignment horizontal="right"/>
    </xf>
    <xf numFmtId="165" fontId="0" fillId="0" borderId="1" xfId="0" applyNumberFormat="1" applyBorder="1" applyAlignment="1">
      <alignment horizontal="center" wrapText="1"/>
    </xf>
    <xf numFmtId="0" fontId="0" fillId="0" borderId="12" xfId="0" applyBorder="1" applyAlignment="1">
      <alignment horizontal="center"/>
    </xf>
    <xf numFmtId="165" fontId="2" fillId="0" borderId="11" xfId="0" applyNumberFormat="1" applyFont="1" applyBorder="1" applyAlignment="1">
      <alignment horizontal="center"/>
    </xf>
    <xf numFmtId="165" fontId="0" fillId="0" borderId="0" xfId="0" applyNumberFormat="1"/>
    <xf numFmtId="164" fontId="0" fillId="0" borderId="0" xfId="0" applyNumberFormat="1" applyAlignment="1">
      <alignment wrapText="1"/>
    </xf>
    <xf numFmtId="0" fontId="1" fillId="0" borderId="4" xfId="0" applyFont="1" applyBorder="1" applyAlignment="1">
      <alignment wrapText="1"/>
    </xf>
    <xf numFmtId="0" fontId="1" fillId="0" borderId="6" xfId="0" applyFont="1" applyBorder="1" applyAlignment="1">
      <alignment wrapText="1"/>
    </xf>
    <xf numFmtId="0" fontId="1" fillId="0" borderId="2" xfId="0" applyFont="1" applyBorder="1" applyAlignment="1">
      <alignment wrapText="1"/>
    </xf>
    <xf numFmtId="165" fontId="1" fillId="0" borderId="2" xfId="0" applyNumberFormat="1" applyFont="1" applyBorder="1" applyAlignment="1">
      <alignment horizontal="right"/>
    </xf>
    <xf numFmtId="0" fontId="1" fillId="0" borderId="2" xfId="0" applyFont="1" applyBorder="1" applyAlignment="1">
      <alignment horizontal="center"/>
    </xf>
    <xf numFmtId="0" fontId="0" fillId="3" borderId="1" xfId="0" applyFill="1" applyBorder="1"/>
    <xf numFmtId="0" fontId="0" fillId="0" borderId="5" xfId="0" applyBorder="1"/>
    <xf numFmtId="0" fontId="4" fillId="0" borderId="1" xfId="0" applyFont="1" applyBorder="1" applyAlignment="1">
      <alignment wrapText="1"/>
    </xf>
    <xf numFmtId="165" fontId="4" fillId="0" borderId="1" xfId="0" applyNumberFormat="1" applyFont="1" applyBorder="1" applyAlignment="1">
      <alignment horizontal="right"/>
    </xf>
    <xf numFmtId="0" fontId="4" fillId="0" borderId="1" xfId="0" applyFont="1" applyBorder="1" applyAlignment="1">
      <alignment horizontal="center"/>
    </xf>
    <xf numFmtId="0" fontId="4" fillId="0" borderId="1" xfId="0" applyFont="1" applyBorder="1" applyAlignment="1">
      <alignment horizontal="center" wrapText="1"/>
    </xf>
    <xf numFmtId="0" fontId="0" fillId="2" borderId="4" xfId="0" applyFill="1" applyBorder="1" applyAlignment="1">
      <alignment wrapText="1"/>
    </xf>
    <xf numFmtId="0" fontId="0" fillId="0" borderId="1" xfId="0" applyBorder="1" applyAlignment="1">
      <alignment vertical="center" wrapText="1"/>
    </xf>
    <xf numFmtId="0" fontId="0" fillId="0" borderId="7" xfId="0" applyBorder="1"/>
    <xf numFmtId="0" fontId="4" fillId="0" borderId="1" xfId="1" applyFont="1" applyFill="1" applyBorder="1" applyAlignment="1">
      <alignment wrapText="1"/>
    </xf>
    <xf numFmtId="164" fontId="4" fillId="0" borderId="1" xfId="1" applyNumberFormat="1" applyFont="1" applyFill="1" applyBorder="1" applyAlignment="1">
      <alignment wrapText="1"/>
    </xf>
    <xf numFmtId="165" fontId="0" fillId="2" borderId="1" xfId="0" applyNumberFormat="1" applyFill="1" applyBorder="1" applyAlignment="1">
      <alignment horizontal="right" wrapText="1"/>
    </xf>
    <xf numFmtId="0" fontId="6" fillId="0" borderId="17" xfId="0" applyFont="1" applyBorder="1" applyAlignment="1">
      <alignment horizontal="center"/>
    </xf>
    <xf numFmtId="0" fontId="0" fillId="0" borderId="5" xfId="0" applyBorder="1" applyAlignment="1">
      <alignment wrapText="1"/>
    </xf>
    <xf numFmtId="0" fontId="6" fillId="0" borderId="0" xfId="0" applyFont="1" applyAlignment="1">
      <alignment horizontal="center"/>
    </xf>
    <xf numFmtId="0" fontId="2" fillId="3" borderId="1" xfId="0" applyFont="1" applyFill="1" applyBorder="1" applyAlignment="1">
      <alignment wrapText="1"/>
    </xf>
    <xf numFmtId="165" fontId="2" fillId="0" borderId="1" xfId="0" applyNumberFormat="1" applyFont="1" applyBorder="1" applyAlignment="1">
      <alignment horizontal="right" wrapText="1"/>
    </xf>
    <xf numFmtId="164" fontId="0" fillId="0" borderId="2" xfId="0" applyNumberFormat="1" applyBorder="1" applyAlignment="1">
      <alignment horizontal="right"/>
    </xf>
    <xf numFmtId="165" fontId="0" fillId="0" borderId="3" xfId="0" applyNumberFormat="1" applyBorder="1" applyAlignment="1">
      <alignment wrapText="1"/>
    </xf>
    <xf numFmtId="164" fontId="0" fillId="0" borderId="3" xfId="0" applyNumberFormat="1" applyBorder="1" applyAlignment="1">
      <alignment horizontal="right"/>
    </xf>
    <xf numFmtId="0" fontId="0" fillId="0" borderId="2" xfId="0" applyBorder="1" applyAlignment="1">
      <alignment vertical="center" wrapText="1"/>
    </xf>
    <xf numFmtId="164" fontId="0" fillId="0" borderId="1" xfId="0" applyNumberFormat="1" applyBorder="1" applyAlignment="1">
      <alignment horizontal="center" wrapText="1"/>
    </xf>
    <xf numFmtId="166" fontId="0" fillId="0" borderId="1" xfId="0" applyNumberFormat="1" applyBorder="1"/>
    <xf numFmtId="0" fontId="4" fillId="0" borderId="2" xfId="1" applyFont="1" applyFill="1" applyBorder="1" applyAlignment="1">
      <alignment wrapText="1"/>
    </xf>
    <xf numFmtId="0" fontId="4" fillId="0" borderId="2" xfId="1" applyFont="1" applyFill="1" applyBorder="1" applyAlignment="1"/>
    <xf numFmtId="164" fontId="4" fillId="0" borderId="2" xfId="1" applyNumberFormat="1" applyFont="1" applyFill="1" applyBorder="1" applyAlignment="1">
      <alignment wrapText="1"/>
    </xf>
    <xf numFmtId="164" fontId="0" fillId="0" borderId="2" xfId="0" applyNumberFormat="1" applyBorder="1" applyAlignment="1">
      <alignment horizontal="center" wrapText="1"/>
    </xf>
    <xf numFmtId="0" fontId="6" fillId="0" borderId="18" xfId="0" applyFont="1" applyBorder="1" applyAlignment="1">
      <alignment horizontal="center"/>
    </xf>
    <xf numFmtId="0" fontId="6" fillId="0" borderId="19" xfId="0" applyFont="1" applyBorder="1" applyAlignment="1">
      <alignment horizontal="center"/>
    </xf>
    <xf numFmtId="0" fontId="4" fillId="0" borderId="0" xfId="0" applyFont="1"/>
    <xf numFmtId="0" fontId="6" fillId="0" borderId="17" xfId="0" applyFont="1" applyBorder="1" applyAlignment="1">
      <alignment horizontal="center" wrapText="1"/>
    </xf>
    <xf numFmtId="0" fontId="2" fillId="0" borderId="17" xfId="0" applyFont="1" applyBorder="1" applyAlignment="1">
      <alignment horizontal="center"/>
    </xf>
    <xf numFmtId="164" fontId="2" fillId="0" borderId="1" xfId="0" applyNumberFormat="1" applyFont="1" applyBorder="1" applyAlignment="1">
      <alignment wrapText="1"/>
    </xf>
    <xf numFmtId="164" fontId="0" fillId="0" borderId="3" xfId="0" applyNumberFormat="1" applyBorder="1" applyAlignment="1">
      <alignment wrapText="1"/>
    </xf>
    <xf numFmtId="0" fontId="0" fillId="6" borderId="0" xfId="0" applyFill="1"/>
    <xf numFmtId="164" fontId="2" fillId="0" borderId="3" xfId="0" applyNumberFormat="1" applyFont="1" applyBorder="1" applyAlignment="1">
      <alignment wrapText="1"/>
    </xf>
    <xf numFmtId="164" fontId="2" fillId="0" borderId="1" xfId="0" applyNumberFormat="1" applyFont="1" applyBorder="1"/>
    <xf numFmtId="0" fontId="0" fillId="5" borderId="0" xfId="0" applyFill="1"/>
    <xf numFmtId="0" fontId="0" fillId="0" borderId="1" xfId="0" applyBorder="1" applyAlignment="1">
      <alignment horizontal="left"/>
    </xf>
    <xf numFmtId="0" fontId="0" fillId="8" borderId="1" xfId="0" applyFill="1" applyBorder="1" applyAlignment="1">
      <alignment wrapText="1"/>
    </xf>
    <xf numFmtId="0" fontId="0" fillId="3" borderId="1" xfId="0"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center" wrapText="1"/>
    </xf>
    <xf numFmtId="164" fontId="4" fillId="0" borderId="1" xfId="0" applyNumberFormat="1" applyFont="1" applyBorder="1" applyAlignment="1">
      <alignment horizontal="right"/>
    </xf>
    <xf numFmtId="164" fontId="4" fillId="0" borderId="1" xfId="0" applyNumberFormat="1" applyFont="1" applyBorder="1" applyAlignment="1">
      <alignment wrapText="1"/>
    </xf>
    <xf numFmtId="0" fontId="0" fillId="6" borderId="1" xfId="0" applyFill="1" applyBorder="1" applyAlignment="1">
      <alignment wrapText="1"/>
    </xf>
    <xf numFmtId="164" fontId="0" fillId="6" borderId="1" xfId="0" applyNumberForma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164" fontId="0" fillId="6" borderId="1" xfId="0" applyNumberFormat="1" applyFill="1" applyBorder="1" applyAlignment="1">
      <alignment horizontal="right"/>
    </xf>
    <xf numFmtId="164" fontId="2" fillId="6" borderId="1" xfId="0" applyNumberFormat="1" applyFont="1" applyFill="1" applyBorder="1" applyAlignment="1">
      <alignment wrapText="1"/>
    </xf>
    <xf numFmtId="164" fontId="7" fillId="0" borderId="1" xfId="0" applyNumberFormat="1" applyFont="1" applyBorder="1" applyAlignment="1">
      <alignment wrapText="1"/>
    </xf>
    <xf numFmtId="164" fontId="2" fillId="0" borderId="2" xfId="0" applyNumberFormat="1" applyFont="1" applyBorder="1" applyAlignment="1">
      <alignment wrapText="1"/>
    </xf>
    <xf numFmtId="164" fontId="2" fillId="0" borderId="1" xfId="0" applyNumberFormat="1" applyFont="1" applyBorder="1" applyAlignment="1">
      <alignment horizontal="right"/>
    </xf>
    <xf numFmtId="0" fontId="0" fillId="6" borderId="4" xfId="0" applyFill="1" applyBorder="1" applyAlignment="1">
      <alignment wrapText="1"/>
    </xf>
    <xf numFmtId="164" fontId="0" fillId="6" borderId="2" xfId="0" applyNumberFormat="1" applyFill="1" applyBorder="1" applyAlignment="1">
      <alignment wrapText="1"/>
    </xf>
    <xf numFmtId="164" fontId="0" fillId="6" borderId="7" xfId="0" applyNumberFormat="1" applyFill="1" applyBorder="1" applyAlignment="1">
      <alignment wrapText="1"/>
    </xf>
    <xf numFmtId="0" fontId="0" fillId="7" borderId="1" xfId="0" applyFill="1" applyBorder="1" applyAlignment="1">
      <alignment horizontal="center"/>
    </xf>
    <xf numFmtId="164" fontId="0" fillId="0" borderId="7" xfId="0" applyNumberFormat="1" applyBorder="1" applyAlignment="1">
      <alignment wrapText="1"/>
    </xf>
    <xf numFmtId="0" fontId="0" fillId="9" borderId="1" xfId="0" applyFill="1" applyBorder="1" applyAlignment="1">
      <alignment wrapText="1"/>
    </xf>
    <xf numFmtId="164" fontId="0" fillId="0" borderId="4" xfId="0" applyNumberFormat="1" applyBorder="1" applyAlignment="1">
      <alignment horizontal="right"/>
    </xf>
    <xf numFmtId="0" fontId="4" fillId="0" borderId="1" xfId="2" applyFont="1" applyFill="1" applyBorder="1"/>
    <xf numFmtId="164" fontId="2" fillId="6" borderId="2" xfId="0" applyNumberFormat="1" applyFont="1" applyFill="1" applyBorder="1" applyAlignment="1">
      <alignment wrapText="1"/>
    </xf>
    <xf numFmtId="164" fontId="0" fillId="6" borderId="4" xfId="0" applyNumberFormat="1" applyFill="1" applyBorder="1" applyAlignment="1">
      <alignment wrapText="1"/>
    </xf>
    <xf numFmtId="0" fontId="0" fillId="5" borderId="4" xfId="0" applyFill="1" applyBorder="1" applyAlignment="1">
      <alignment wrapText="1"/>
    </xf>
    <xf numFmtId="164" fontId="0" fillId="5" borderId="2" xfId="0" applyNumberFormat="1" applyFill="1" applyBorder="1" applyAlignment="1">
      <alignment wrapText="1"/>
    </xf>
    <xf numFmtId="164" fontId="2" fillId="5" borderId="2" xfId="0" applyNumberFormat="1" applyFont="1" applyFill="1" applyBorder="1" applyAlignment="1">
      <alignment wrapText="1"/>
    </xf>
    <xf numFmtId="164" fontId="0" fillId="5" borderId="7" xfId="0" applyNumberFormat="1" applyFill="1" applyBorder="1" applyAlignment="1">
      <alignment wrapText="1"/>
    </xf>
    <xf numFmtId="164" fontId="0" fillId="5" borderId="4" xfId="0" applyNumberFormat="1" applyFill="1" applyBorder="1" applyAlignment="1">
      <alignment wrapText="1"/>
    </xf>
    <xf numFmtId="164" fontId="0" fillId="0" borderId="1" xfId="0" applyNumberFormat="1" applyBorder="1" applyAlignment="1">
      <alignment horizontal="right" wrapText="1"/>
    </xf>
    <xf numFmtId="0" fontId="0" fillId="11" borderId="1" xfId="0" applyFill="1" applyBorder="1" applyAlignment="1">
      <alignment wrapText="1"/>
    </xf>
    <xf numFmtId="164" fontId="0" fillId="6" borderId="1" xfId="0" applyNumberFormat="1" applyFill="1" applyBorder="1" applyAlignment="1">
      <alignment horizontal="right" wrapText="1"/>
    </xf>
    <xf numFmtId="0" fontId="4" fillId="6" borderId="1" xfId="0" applyFont="1" applyFill="1" applyBorder="1" applyAlignment="1">
      <alignment wrapText="1"/>
    </xf>
    <xf numFmtId="164" fontId="4" fillId="6" borderId="1" xfId="0" applyNumberFormat="1" applyFont="1" applyFill="1" applyBorder="1" applyAlignment="1">
      <alignment wrapText="1"/>
    </xf>
    <xf numFmtId="164" fontId="0" fillId="6" borderId="4" xfId="0" applyNumberFormat="1" applyFill="1" applyBorder="1" applyAlignment="1">
      <alignment horizontal="right"/>
    </xf>
    <xf numFmtId="164" fontId="0" fillId="6" borderId="4" xfId="0" applyNumberFormat="1" applyFill="1" applyBorder="1" applyAlignment="1">
      <alignment horizontal="right" wrapText="1"/>
    </xf>
    <xf numFmtId="0" fontId="4" fillId="0" borderId="2" xfId="2" applyFont="1" applyFill="1" applyBorder="1"/>
    <xf numFmtId="0" fontId="0" fillId="6" borderId="0" xfId="0" applyFill="1" applyAlignment="1">
      <alignment wrapText="1"/>
    </xf>
    <xf numFmtId="0" fontId="0" fillId="6" borderId="2" xfId="0" applyFill="1" applyBorder="1" applyAlignment="1">
      <alignment wrapText="1"/>
    </xf>
    <xf numFmtId="0" fontId="2" fillId="0" borderId="17" xfId="0" applyFont="1" applyBorder="1" applyAlignment="1">
      <alignment horizontal="center" wrapText="1"/>
    </xf>
    <xf numFmtId="164" fontId="0" fillId="6" borderId="2" xfId="0" applyNumberFormat="1" applyFill="1" applyBorder="1" applyAlignment="1">
      <alignment horizontal="right"/>
    </xf>
    <xf numFmtId="0" fontId="0" fillId="6" borderId="2" xfId="0" applyFill="1" applyBorder="1" applyAlignment="1">
      <alignment horizontal="center"/>
    </xf>
    <xf numFmtId="0" fontId="4" fillId="0" borderId="4" xfId="2" applyFont="1" applyFill="1" applyBorder="1"/>
    <xf numFmtId="164" fontId="0" fillId="5" borderId="1" xfId="0" applyNumberFormat="1" applyFill="1" applyBorder="1" applyAlignment="1">
      <alignment wrapText="1"/>
    </xf>
    <xf numFmtId="164" fontId="2" fillId="5" borderId="1" xfId="0" applyNumberFormat="1" applyFont="1" applyFill="1" applyBorder="1" applyAlignment="1">
      <alignment wrapText="1"/>
    </xf>
    <xf numFmtId="0" fontId="2" fillId="12" borderId="1" xfId="0" applyFont="1" applyFill="1" applyBorder="1" applyAlignment="1">
      <alignment horizontal="center"/>
    </xf>
    <xf numFmtId="0" fontId="0" fillId="12" borderId="1" xfId="0"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center" wrapText="1"/>
    </xf>
    <xf numFmtId="164" fontId="0" fillId="9" borderId="2" xfId="0" applyNumberFormat="1" applyFill="1" applyBorder="1" applyAlignment="1">
      <alignment wrapText="1"/>
    </xf>
    <xf numFmtId="164" fontId="0" fillId="9" borderId="7" xfId="0" applyNumberFormat="1" applyFill="1" applyBorder="1" applyAlignment="1">
      <alignment wrapText="1"/>
    </xf>
    <xf numFmtId="164" fontId="2" fillId="9" borderId="2" xfId="0" applyNumberFormat="1" applyFont="1" applyFill="1" applyBorder="1" applyAlignment="1">
      <alignment wrapText="1"/>
    </xf>
    <xf numFmtId="0" fontId="0" fillId="13" borderId="1" xfId="0" applyFill="1" applyBorder="1" applyAlignment="1">
      <alignment horizontal="left"/>
    </xf>
    <xf numFmtId="0" fontId="0" fillId="13" borderId="6" xfId="0" applyFill="1" applyBorder="1" applyAlignment="1">
      <alignment wrapText="1"/>
    </xf>
    <xf numFmtId="0" fontId="0" fillId="13" borderId="2" xfId="0" applyFill="1" applyBorder="1" applyAlignment="1">
      <alignment wrapText="1"/>
    </xf>
    <xf numFmtId="164" fontId="0" fillId="13" borderId="2" xfId="0" applyNumberFormat="1" applyFill="1" applyBorder="1" applyAlignment="1">
      <alignment wrapText="1"/>
    </xf>
    <xf numFmtId="164" fontId="0" fillId="13" borderId="7" xfId="0" applyNumberFormat="1" applyFill="1" applyBorder="1" applyAlignment="1">
      <alignment wrapText="1"/>
    </xf>
    <xf numFmtId="164" fontId="2" fillId="13" borderId="2" xfId="0" applyNumberFormat="1" applyFont="1" applyFill="1" applyBorder="1" applyAlignment="1">
      <alignment wrapText="1"/>
    </xf>
    <xf numFmtId="0" fontId="0" fillId="13" borderId="2" xfId="0" applyFill="1" applyBorder="1" applyAlignment="1">
      <alignment horizontal="center"/>
    </xf>
    <xf numFmtId="0" fontId="0" fillId="13" borderId="1" xfId="0" applyFill="1" applyBorder="1" applyAlignment="1">
      <alignment wrapText="1"/>
    </xf>
    <xf numFmtId="0" fontId="0" fillId="13" borderId="1" xfId="0" applyFill="1" applyBorder="1" applyAlignment="1">
      <alignment horizontal="center"/>
    </xf>
    <xf numFmtId="0" fontId="0" fillId="13" borderId="2" xfId="0" quotePrefix="1" applyFill="1" applyBorder="1" applyAlignment="1">
      <alignment wrapText="1"/>
    </xf>
    <xf numFmtId="164" fontId="0" fillId="13" borderId="2" xfId="0" quotePrefix="1" applyNumberFormat="1" applyFill="1" applyBorder="1" applyAlignment="1">
      <alignment wrapText="1"/>
    </xf>
    <xf numFmtId="0" fontId="0" fillId="13" borderId="1" xfId="0" applyFill="1" applyBorder="1" applyAlignment="1">
      <alignment horizontal="center" wrapText="1"/>
    </xf>
    <xf numFmtId="0" fontId="0" fillId="0" borderId="21" xfId="0" applyBorder="1"/>
    <xf numFmtId="164" fontId="0" fillId="13" borderId="6" xfId="0" applyNumberFormat="1" applyFill="1" applyBorder="1" applyAlignment="1">
      <alignment horizontal="right" wrapText="1"/>
    </xf>
    <xf numFmtId="164" fontId="1" fillId="0" borderId="1" xfId="0" applyNumberFormat="1" applyFont="1" applyBorder="1" applyAlignment="1">
      <alignment horizontal="right"/>
    </xf>
    <xf numFmtId="0" fontId="0" fillId="14" borderId="1" xfId="0" applyFill="1" applyBorder="1" applyAlignment="1">
      <alignment wrapText="1"/>
    </xf>
    <xf numFmtId="0" fontId="0" fillId="14" borderId="1" xfId="0" applyFill="1" applyBorder="1" applyAlignment="1">
      <alignment horizontal="center"/>
    </xf>
    <xf numFmtId="0" fontId="4" fillId="6" borderId="1" xfId="2" applyFont="1" applyFill="1" applyBorder="1"/>
    <xf numFmtId="0" fontId="0" fillId="6" borderId="1" xfId="0" applyFill="1" applyBorder="1"/>
    <xf numFmtId="164" fontId="0" fillId="9" borderId="4" xfId="0" applyNumberFormat="1" applyFill="1" applyBorder="1" applyAlignment="1">
      <alignment horizontal="right"/>
    </xf>
    <xf numFmtId="0" fontId="0" fillId="9" borderId="4" xfId="0" applyFill="1" applyBorder="1" applyAlignment="1">
      <alignment wrapText="1"/>
    </xf>
    <xf numFmtId="164" fontId="0" fillId="9" borderId="1" xfId="0" applyNumberFormat="1" applyFill="1" applyBorder="1" applyAlignment="1">
      <alignment wrapText="1"/>
    </xf>
    <xf numFmtId="0" fontId="0" fillId="9" borderId="2" xfId="0" applyFill="1" applyBorder="1" applyAlignment="1">
      <alignment wrapText="1"/>
    </xf>
    <xf numFmtId="164" fontId="0" fillId="9" borderId="4" xfId="0" applyNumberFormat="1" applyFill="1" applyBorder="1" applyAlignment="1">
      <alignment wrapText="1"/>
    </xf>
    <xf numFmtId="0" fontId="0" fillId="9" borderId="2" xfId="0" applyFill="1" applyBorder="1" applyAlignment="1">
      <alignment horizontal="center" wrapText="1"/>
    </xf>
    <xf numFmtId="0" fontId="0" fillId="9" borderId="6" xfId="0" applyFill="1" applyBorder="1" applyAlignment="1">
      <alignment wrapText="1"/>
    </xf>
    <xf numFmtId="164" fontId="0" fillId="9" borderId="6" xfId="0" applyNumberFormat="1" applyFill="1" applyBorder="1" applyAlignment="1">
      <alignment horizontal="right"/>
    </xf>
    <xf numFmtId="0" fontId="0" fillId="9" borderId="2" xfId="0" applyFill="1" applyBorder="1" applyAlignment="1">
      <alignment horizontal="center"/>
    </xf>
    <xf numFmtId="164" fontId="0" fillId="9" borderId="6" xfId="0" applyNumberFormat="1" applyFill="1" applyBorder="1" applyAlignment="1">
      <alignment horizontal="right" wrapText="1"/>
    </xf>
    <xf numFmtId="0" fontId="4" fillId="6" borderId="1" xfId="2" applyFont="1" applyFill="1" applyBorder="1" applyAlignment="1">
      <alignment wrapText="1"/>
    </xf>
    <xf numFmtId="164" fontId="0" fillId="14" borderId="2" xfId="0" applyNumberFormat="1" applyFill="1" applyBorder="1" applyAlignment="1">
      <alignment wrapText="1"/>
    </xf>
    <xf numFmtId="164" fontId="0" fillId="14" borderId="7" xfId="0" applyNumberFormat="1" applyFill="1" applyBorder="1" applyAlignment="1">
      <alignment wrapText="1"/>
    </xf>
    <xf numFmtId="164" fontId="2" fillId="14" borderId="2" xfId="0" applyNumberFormat="1" applyFont="1" applyFill="1" applyBorder="1" applyAlignment="1">
      <alignment wrapText="1"/>
    </xf>
    <xf numFmtId="164" fontId="0" fillId="14" borderId="4" xfId="0" applyNumberFormat="1" applyFill="1" applyBorder="1" applyAlignment="1">
      <alignment horizontal="right"/>
    </xf>
    <xf numFmtId="164" fontId="0" fillId="9" borderId="4" xfId="0" applyNumberFormat="1" applyFill="1" applyBorder="1" applyAlignment="1">
      <alignment horizontal="right" wrapText="1"/>
    </xf>
    <xf numFmtId="0" fontId="4" fillId="6" borderId="1" xfId="2" applyFont="1" applyFill="1" applyBorder="1" applyAlignment="1">
      <alignment horizontal="center"/>
    </xf>
    <xf numFmtId="0" fontId="0" fillId="6" borderId="3" xfId="0" applyFill="1" applyBorder="1" applyAlignment="1">
      <alignment horizontal="center"/>
    </xf>
    <xf numFmtId="6" fontId="0" fillId="0" borderId="0" xfId="0" applyNumberFormat="1"/>
    <xf numFmtId="6" fontId="9" fillId="15" borderId="22" xfId="0" applyNumberFormat="1" applyFont="1" applyFill="1" applyBorder="1" applyAlignment="1">
      <alignment horizontal="left" vertical="center" wrapText="1" readingOrder="1"/>
    </xf>
    <xf numFmtId="6" fontId="10" fillId="16" borderId="23" xfId="0" applyNumberFormat="1" applyFont="1" applyFill="1" applyBorder="1" applyAlignment="1">
      <alignment horizontal="left" vertical="center" wrapText="1" readingOrder="1"/>
    </xf>
    <xf numFmtId="6" fontId="10" fillId="17" borderId="24" xfId="0" applyNumberFormat="1" applyFont="1" applyFill="1" applyBorder="1" applyAlignment="1">
      <alignment horizontal="left" vertical="center" wrapText="1" readingOrder="1"/>
    </xf>
    <xf numFmtId="6" fontId="10" fillId="16" borderId="24" xfId="0" applyNumberFormat="1" applyFont="1" applyFill="1" applyBorder="1" applyAlignment="1">
      <alignment horizontal="left" vertical="center" wrapText="1" readingOrder="1"/>
    </xf>
    <xf numFmtId="0" fontId="0" fillId="14" borderId="4" xfId="0" applyFill="1" applyBorder="1" applyAlignment="1">
      <alignment wrapText="1"/>
    </xf>
    <xf numFmtId="0" fontId="0" fillId="13" borderId="0" xfId="0" applyFill="1" applyAlignment="1">
      <alignment wrapText="1"/>
    </xf>
    <xf numFmtId="164" fontId="2" fillId="0" borderId="0" xfId="0" applyNumberFormat="1" applyFont="1" applyAlignment="1">
      <alignment wrapText="1"/>
    </xf>
    <xf numFmtId="164" fontId="0" fillId="0" borderId="0" xfId="0" applyNumberFormat="1" applyAlignment="1">
      <alignment horizontal="right"/>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cellXfs>
  <cellStyles count="3">
    <cellStyle name="Good" xfId="2" builtinId="26"/>
    <cellStyle name="Input" xfId="1" builtinId="20"/>
    <cellStyle name="Normal" xfId="0" builtinId="0"/>
  </cellStyles>
  <dxfs count="298">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quot;$&quot;#,##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rgb="FF000000"/>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rgb="FF000000"/>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fill>
        <patternFill patternType="none">
          <fgColor indexed="64"/>
          <bgColor auto="1"/>
        </patternFill>
      </fill>
    </dxf>
    <dxf>
      <numFmt numFmtId="0" formatCode="General"/>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medium">
          <color rgb="FF000000"/>
        </top>
        <bottom style="thick">
          <color rgb="FF000000"/>
        </bottom>
      </border>
    </dxf>
    <dxf>
      <fill>
        <patternFill patternType="none">
          <fgColor indexed="64"/>
          <bgColor auto="1"/>
        </patternFill>
      </fill>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alignment horizontal="center" textRotation="0" wrapText="0"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ck">
          <color indexed="64"/>
        </bottom>
      </border>
    </dxf>
    <dxf>
      <border>
        <bottom style="medium">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000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outline="0">
        <right style="thin">
          <color indexed="64"/>
        </right>
      </border>
    </dxf>
    <dxf>
      <alignment horizontal="general" vertical="bottom" textRotation="0" wrapText="1" indent="0" justifyLastLine="0" shrinkToFit="0" readingOrder="0"/>
    </dxf>
    <dxf>
      <border diagonalUp="0" diagonalDown="0">
        <left style="medium">
          <color indexed="64"/>
        </left>
        <right/>
        <top/>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border>
        <bottom style="medium">
          <color rgb="FF000000"/>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quot;$&quot;#,##0.00"/>
      <alignment horizontal="righ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indent="0" justifyLastLine="0" shrinkToFit="0" readingOrder="0"/>
      <border outline="0">
        <left style="thin">
          <color indexed="64"/>
        </left>
      </border>
    </dxf>
    <dxf>
      <numFmt numFmtId="0" formatCode="General"/>
      <fill>
        <patternFill>
          <fgColor indexed="64"/>
          <bgColor theme="0" tint="-0.249977111117893"/>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right" vertical="bottom" textRotation="0" indent="0" justifyLastLine="0" shrinkToFit="0" readingOrder="0"/>
      <border diagonalUp="0" diagonalDown="0" outline="0">
        <left/>
        <right style="thin">
          <color indexed="64"/>
        </right>
        <top style="thin">
          <color indexed="64"/>
        </top>
        <bottom style="thin">
          <color indexed="64"/>
        </bottom>
      </border>
    </dxf>
    <dxf>
      <font>
        <b/>
      </font>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rgb="FF000000"/>
        </top>
        <bottom style="thick">
          <color rgb="FF000000"/>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Master20" displayName="Master20" ref="B1:AN306" totalsRowShown="0" headerRowDxfId="297" tableBorderDxfId="296">
  <autoFilter ref="B1:AN306" xr:uid="{00000000-0009-0000-0100-000013000000}">
    <filterColumn colId="0">
      <filters blank="1">
        <filter val="Museum"/>
      </filters>
    </filterColumn>
  </autoFilter>
  <sortState xmlns:xlrd2="http://schemas.microsoft.com/office/spreadsheetml/2017/richdata2" ref="B2:AN306">
    <sortCondition ref="AH1:AH306"/>
  </sortState>
  <tableColumns count="39">
    <tableColumn id="39" xr3:uid="{B30387B5-95C7-4ED9-903E-60B14EEE2383}" name="Department" dataDxfId="295"/>
    <tableColumn id="12" xr3:uid="{00000000-0010-0000-0000-00000C000000}" name="Secondary Department" dataDxfId="294"/>
    <tableColumn id="1" xr3:uid="{00000000-0010-0000-0000-000001000000}" name="Project Name" dataDxfId="293"/>
    <tableColumn id="2" xr3:uid="{00000000-0010-0000-0000-000002000000}" name="Brief Description" dataDxfId="292"/>
    <tableColumn id="3" xr3:uid="{00000000-0010-0000-0000-000003000000}" name="Justification" dataDxfId="291"/>
    <tableColumn id="15" xr3:uid="{00000000-0010-0000-0000-00000F000000}" name="Status" dataDxfId="290"/>
    <tableColumn id="21" xr3:uid="{00000000-0010-0000-0000-000015000000}" name="Status_Score" dataDxfId="289">
      <calculatedColumnFormula>VLOOKUP(G2,Status_Score,2,FALSE)</calculatedColumnFormula>
    </tableColumn>
    <tableColumn id="25" xr3:uid="{00000000-0010-0000-0000-000019000000}" name="Initial Budget" dataDxfId="288"/>
    <tableColumn id="22" xr3:uid="{00000000-0010-0000-0000-000016000000}" name="Previously Committed Funds" dataDxfId="287"/>
    <tableColumn id="27" xr3:uid="{00000000-0010-0000-0000-00001B000000}" name="Current Available Balance" dataDxfId="286">
      <calculatedColumnFormula>Master20[[#This Row],[Initial Budget]]-Master20[[#This Row],[Previously Committed Funds]]</calculatedColumnFormula>
    </tableColumn>
    <tableColumn id="24" xr3:uid="{00000000-0010-0000-0000-000018000000}" name="Design $ (Add/Deduct)" dataDxfId="285"/>
    <tableColumn id="23" xr3:uid="{00000000-0010-0000-0000-000017000000}" name="Construction $ (Add/Ded)" dataDxfId="284"/>
    <tableColumn id="26" xr3:uid="{00000000-0010-0000-0000-00001A000000}" name="Total Add" dataDxfId="283">
      <calculatedColumnFormula>Master20[[#This Row],[Design $ (Add/Deduct)]]+Master20[[#This Row],[Construction $ (Add/Ded)]]</calculatedColumnFormula>
    </tableColumn>
    <tableColumn id="4" xr3:uid="{00000000-0010-0000-0000-000004000000}" name="Total Estimated Cost" dataDxfId="282"/>
    <tableColumn id="17" xr3:uid="{00000000-0010-0000-0000-000011000000}" name="Fiscal Year Requested" dataDxfId="281"/>
    <tableColumn id="5" xr3:uid="{00000000-0010-0000-0000-000005000000}" name="Importance Category" dataDxfId="280"/>
    <tableColumn id="6" xr3:uid="{00000000-0010-0000-0000-000006000000}" name="Score" dataDxfId="279"/>
    <tableColumn id="7" xr3:uid="{00000000-0010-0000-0000-000007000000}" name="Department Priority" dataDxfId="278"/>
    <tableColumn id="8" xr3:uid="{00000000-0010-0000-0000-000008000000}" name="Score2" dataDxfId="277"/>
    <tableColumn id="9" xr3:uid="{00000000-0010-0000-0000-000009000000}" name="Urgency" dataDxfId="276"/>
    <tableColumn id="10" xr3:uid="{00000000-0010-0000-0000-00000A000000}" name="Score3" dataDxfId="275"/>
    <tableColumn id="13" xr3:uid="{00000000-0010-0000-0000-00000D000000}" name="Funding" dataDxfId="274"/>
    <tableColumn id="38" xr3:uid="{00000000-0010-0000-0000-000026000000}" name="Gen Revenue" dataDxfId="273"/>
    <tableColumn id="37" xr3:uid="{00000000-0010-0000-0000-000025000000}" name="Energy Savings" dataDxfId="272"/>
    <tableColumn id="35" xr3:uid="{00000000-0010-0000-0000-000023000000}" name="Offset Aging Inf." dataDxfId="271"/>
    <tableColumn id="32" xr3:uid="{00000000-0010-0000-0000-000020000000}" name="Community need" dataDxfId="270"/>
    <tableColumn id="33" xr3:uid="{00000000-0010-0000-0000-000021000000}" name="Community Request" dataDxfId="269"/>
    <tableColumn id="30" xr3:uid="{00000000-0010-0000-0000-00001E000000}" name="Master Plan" dataDxfId="268"/>
    <tableColumn id="31" xr3:uid="{00000000-0010-0000-0000-00001F000000}" name="Risk Mitigation" dataDxfId="267"/>
    <tableColumn id="36" xr3:uid="{00000000-0010-0000-0000-000024000000}" name="Cheat Code" dataDxfId="266"/>
    <tableColumn id="14" xr3:uid="{00000000-0010-0000-0000-00000E000000}" name="Elevated Priority" dataDxfId="265"/>
    <tableColumn id="16" xr3:uid="{00000000-0010-0000-0000-000010000000}" name="Elevation Score" dataDxfId="264">
      <calculatedColumnFormula>VLOOKUP(Master20[[#This Row],[Elevated Priority]],Epriority,2,)</calculatedColumnFormula>
    </tableColumn>
    <tableColumn id="11" xr3:uid="{00000000-0010-0000-0000-00000B000000}" name="Project Score" dataDxfId="263">
      <calculatedColumnFormula>IF(Master20[[#This Row],[Status]]="Active",Master20[[#This Row],[Status_Score]],IF(D2="","",R2+H2+T2+V2+AG2+AE2+Master20[[#This Row],[Risk Mitigation]]+Master20[[#This Row],[Master Plan]]+Master20[[#This Row],[Community Request]]+Master20[[#This Row],[Community need]]+Master20[[#This Row],[Offset Aging Inf.]]+Master20[[#This Row],[Energy Savings]]+Master20[[#This Row],[Gen Revenue]]-5))</calculatedColumnFormula>
    </tableColumn>
    <tableColumn id="20" xr3:uid="{00000000-0010-0000-0000-000014000000}" name="PM" dataDxfId="262"/>
    <tableColumn id="34" xr3:uid="{00000000-0010-0000-0000-000022000000}" name="Prev. Yr Begin Design" dataDxfId="261"/>
    <tableColumn id="18" xr3:uid="{00000000-0010-0000-0000-000012000000}" name="Prev. Yr. Begin Const." dataDxfId="260"/>
    <tableColumn id="29" xr3:uid="{00000000-0010-0000-0000-00001D000000}" name="Current Yr Begin Design" dataDxfId="259"/>
    <tableColumn id="28" xr3:uid="{00000000-0010-0000-0000-00001C000000}" name="Current yr. Begin Const." dataDxfId="258"/>
    <tableColumn id="19" xr3:uid="{00000000-0010-0000-0000-000013000000}" name="Potential Grant Comments" dataDxfId="25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Master2017" displayName="Master2017" ref="B1:AJ205" totalsRowShown="0" headerRowDxfId="256" tableBorderDxfId="255">
  <autoFilter ref="B1:AJ205" xr:uid="{00000000-0009-0000-0100-000010000000}">
    <filterColumn colId="20">
      <filters>
        <filter val="CIP 2018"/>
        <filter val="Maj. Maint."/>
      </filters>
    </filterColumn>
  </autoFilter>
  <sortState xmlns:xlrd2="http://schemas.microsoft.com/office/spreadsheetml/2017/richdata2" ref="B2:AJ205">
    <sortCondition ref="G1:G205"/>
  </sortState>
  <tableColumns count="35">
    <tableColumn id="12" xr3:uid="{00000000-0010-0000-0100-00000C000000}" name="Department" dataDxfId="254"/>
    <tableColumn id="1" xr3:uid="{00000000-0010-0000-0100-000001000000}" name="Project Name" dataDxfId="253"/>
    <tableColumn id="2" xr3:uid="{00000000-0010-0000-0100-000002000000}" name="Brief Description" dataDxfId="252"/>
    <tableColumn id="3" xr3:uid="{00000000-0010-0000-0100-000003000000}" name="Justification" dataDxfId="251"/>
    <tableColumn id="15" xr3:uid="{00000000-0010-0000-0100-00000F000000}" name="Status" dataDxfId="250"/>
    <tableColumn id="21" xr3:uid="{00000000-0010-0000-0100-000015000000}" name="Status_Score" dataDxfId="249">
      <calculatedColumnFormula>VLOOKUP(F2,Status_Score,2,FALSE)</calculatedColumnFormula>
    </tableColumn>
    <tableColumn id="25" xr3:uid="{00000000-0010-0000-0100-000019000000}" name="Initial Budget" dataDxfId="248"/>
    <tableColumn id="22" xr3:uid="{00000000-0010-0000-0100-000016000000}" name="Previously Committed Funds" dataDxfId="247"/>
    <tableColumn id="27" xr3:uid="{00000000-0010-0000-0100-00001B000000}" name="Current Available Balance" dataDxfId="246">
      <calculatedColumnFormula>Master2017[[#This Row],[Initial Budget]]-Master2017[[#This Row],[Previously Committed Funds]]</calculatedColumnFormula>
    </tableColumn>
    <tableColumn id="24" xr3:uid="{00000000-0010-0000-0100-000018000000}" name="Design $ (Add/Deduct)" dataDxfId="245"/>
    <tableColumn id="23" xr3:uid="{00000000-0010-0000-0100-000017000000}" name="Construction $ (Add/Ded)" dataDxfId="244"/>
    <tableColumn id="26" xr3:uid="{00000000-0010-0000-0100-00001A000000}" name="Total Add" dataDxfId="243">
      <calculatedColumnFormula>Master2017[[#This Row],[Design $ (Add/Deduct)]]+Master2017[[#This Row],[Construction $ (Add/Ded)]]</calculatedColumnFormula>
    </tableColumn>
    <tableColumn id="4" xr3:uid="{00000000-0010-0000-0100-000004000000}" name="Total Estimated Cost" dataDxfId="242"/>
    <tableColumn id="17" xr3:uid="{00000000-0010-0000-0100-000011000000}" name="Fiscal Year Requested" dataDxfId="241"/>
    <tableColumn id="5" xr3:uid="{00000000-0010-0000-0100-000005000000}" name="Importance Category" dataDxfId="240"/>
    <tableColumn id="6" xr3:uid="{00000000-0010-0000-0100-000006000000}" name="Score" dataDxfId="239"/>
    <tableColumn id="7" xr3:uid="{00000000-0010-0000-0100-000007000000}" name="Department Priority" dataDxfId="238"/>
    <tableColumn id="8" xr3:uid="{00000000-0010-0000-0100-000008000000}" name="Score2" dataDxfId="237"/>
    <tableColumn id="9" xr3:uid="{00000000-0010-0000-0100-000009000000}" name="Urgency" dataDxfId="236"/>
    <tableColumn id="10" xr3:uid="{00000000-0010-0000-0100-00000A000000}" name="Score3" dataDxfId="235"/>
    <tableColumn id="13" xr3:uid="{00000000-0010-0000-0100-00000D000000}" name="Funding" dataDxfId="234"/>
    <tableColumn id="38" xr3:uid="{00000000-0010-0000-0100-000026000000}" name="Gen Revenue" dataDxfId="233"/>
    <tableColumn id="37" xr3:uid="{00000000-0010-0000-0100-000025000000}" name="Energy Savings" dataDxfId="232"/>
    <tableColumn id="35" xr3:uid="{00000000-0010-0000-0100-000023000000}" name="Offset Aging Inf." dataDxfId="231"/>
    <tableColumn id="32" xr3:uid="{00000000-0010-0000-0100-000020000000}" name="Community need" dataDxfId="230"/>
    <tableColumn id="33" xr3:uid="{00000000-0010-0000-0100-000021000000}" name="Community Request" dataDxfId="229"/>
    <tableColumn id="30" xr3:uid="{00000000-0010-0000-0100-00001E000000}" name="Master Plan" dataDxfId="228"/>
    <tableColumn id="31" xr3:uid="{00000000-0010-0000-0100-00001F000000}" name="Risk Mitigation" dataDxfId="227"/>
    <tableColumn id="14" xr3:uid="{00000000-0010-0000-0100-00000E000000}" name="Elevated Priority" dataDxfId="226"/>
    <tableColumn id="16" xr3:uid="{00000000-0010-0000-0100-000010000000}" name="Elevation Score" dataDxfId="225">
      <calculatedColumnFormula>VLOOKUP(Master2017[[#This Row],[Elevated Priority]],Epriority,2,)</calculatedColumnFormula>
    </tableColumn>
    <tableColumn id="11" xr3:uid="{00000000-0010-0000-0100-00000B000000}" name="Project Score" dataDxfId="224">
      <calculatedColumnFormula>IF(Master2017[[#This Row],[Status]]="Active",Master2017[[#This Row],[Status_Score]],IF(C2="","",Q2+G2+S2+U2+AE2-5))</calculatedColumnFormula>
    </tableColumn>
    <tableColumn id="20" xr3:uid="{00000000-0010-0000-0100-000014000000}" name="PM" dataDxfId="223"/>
    <tableColumn id="29" xr3:uid="{00000000-0010-0000-0100-00001D000000}" name="Begin Design" dataDxfId="222"/>
    <tableColumn id="28" xr3:uid="{00000000-0010-0000-0100-00001C000000}" name="Begin Const." dataDxfId="221"/>
    <tableColumn id="19" xr3:uid="{00000000-0010-0000-0100-000013000000}" name="Comments" dataDxfId="22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Master201722" displayName="Master201722" ref="B1:AJ205" totalsRowShown="0" headerRowDxfId="219" tableBorderDxfId="218">
  <autoFilter ref="B1:AJ205" xr:uid="{00000000-0009-0000-0100-000015000000}">
    <filterColumn colId="20">
      <filters>
        <filter val="CIP"/>
      </filters>
    </filterColumn>
  </autoFilter>
  <sortState xmlns:xlrd2="http://schemas.microsoft.com/office/spreadsheetml/2017/richdata2" ref="B15:AJ199">
    <sortCondition ref="G1:G205"/>
  </sortState>
  <tableColumns count="35">
    <tableColumn id="12" xr3:uid="{00000000-0010-0000-0200-00000C000000}" name="Department" dataDxfId="217"/>
    <tableColumn id="1" xr3:uid="{00000000-0010-0000-0200-000001000000}" name="Project Name" dataDxfId="216"/>
    <tableColumn id="2" xr3:uid="{00000000-0010-0000-0200-000002000000}" name="Brief Description" dataDxfId="215"/>
    <tableColumn id="3" xr3:uid="{00000000-0010-0000-0200-000003000000}" name="Justification" dataDxfId="214"/>
    <tableColumn id="15" xr3:uid="{00000000-0010-0000-0200-00000F000000}" name="Status" dataDxfId="213"/>
    <tableColumn id="21" xr3:uid="{00000000-0010-0000-0200-000015000000}" name="Status_Score" dataDxfId="212">
      <calculatedColumnFormula>VLOOKUP(F2,Status_Score,2,FALSE)</calculatedColumnFormula>
    </tableColumn>
    <tableColumn id="25" xr3:uid="{00000000-0010-0000-0200-000019000000}" name="Initial Budget" dataDxfId="211"/>
    <tableColumn id="22" xr3:uid="{00000000-0010-0000-0200-000016000000}" name="Previously Committed Funds" dataDxfId="210"/>
    <tableColumn id="27" xr3:uid="{00000000-0010-0000-0200-00001B000000}" name="Current Available Balance" dataDxfId="209">
      <calculatedColumnFormula>Master201722[[#This Row],[Initial Budget]]-Master201722[[#This Row],[Previously Committed Funds]]</calculatedColumnFormula>
    </tableColumn>
    <tableColumn id="24" xr3:uid="{00000000-0010-0000-0200-000018000000}" name="Design $ (Add/Deduct)" dataDxfId="208"/>
    <tableColumn id="23" xr3:uid="{00000000-0010-0000-0200-000017000000}" name="Construction $ (Add/Ded)" dataDxfId="207"/>
    <tableColumn id="26" xr3:uid="{00000000-0010-0000-0200-00001A000000}" name="Total Add" dataDxfId="206">
      <calculatedColumnFormula>Master201722[[#This Row],[Design $ (Add/Deduct)]]+Master201722[[#This Row],[Construction $ (Add/Ded)]]</calculatedColumnFormula>
    </tableColumn>
    <tableColumn id="4" xr3:uid="{00000000-0010-0000-0200-000004000000}" name="Total Estimated Cost" dataDxfId="205"/>
    <tableColumn id="17" xr3:uid="{00000000-0010-0000-0200-000011000000}" name="Fiscal Year Requested" dataDxfId="204"/>
    <tableColumn id="5" xr3:uid="{00000000-0010-0000-0200-000005000000}" name="Importance Category" dataDxfId="203"/>
    <tableColumn id="6" xr3:uid="{00000000-0010-0000-0200-000006000000}" name="Score" dataDxfId="202"/>
    <tableColumn id="7" xr3:uid="{00000000-0010-0000-0200-000007000000}" name="Department Priority" dataDxfId="201"/>
    <tableColumn id="8" xr3:uid="{00000000-0010-0000-0200-000008000000}" name="Score2" dataDxfId="200"/>
    <tableColumn id="9" xr3:uid="{00000000-0010-0000-0200-000009000000}" name="Urgency" dataDxfId="199"/>
    <tableColumn id="10" xr3:uid="{00000000-0010-0000-0200-00000A000000}" name="Score3" dataDxfId="198"/>
    <tableColumn id="13" xr3:uid="{00000000-0010-0000-0200-00000D000000}" name="Funding" dataDxfId="197"/>
    <tableColumn id="38" xr3:uid="{00000000-0010-0000-0200-000026000000}" name="Gen Revenue" dataDxfId="196"/>
    <tableColumn id="37" xr3:uid="{00000000-0010-0000-0200-000025000000}" name="Energy Savings" dataDxfId="195"/>
    <tableColumn id="35" xr3:uid="{00000000-0010-0000-0200-000023000000}" name="Offset Aging Inf." dataDxfId="194"/>
    <tableColumn id="32" xr3:uid="{00000000-0010-0000-0200-000020000000}" name="Community need" dataDxfId="193"/>
    <tableColumn id="33" xr3:uid="{00000000-0010-0000-0200-000021000000}" name="Community Request" dataDxfId="192"/>
    <tableColumn id="30" xr3:uid="{00000000-0010-0000-0200-00001E000000}" name="Master Plan" dataDxfId="191"/>
    <tableColumn id="31" xr3:uid="{00000000-0010-0000-0200-00001F000000}" name="Risk Mitigation" dataDxfId="190"/>
    <tableColumn id="14" xr3:uid="{00000000-0010-0000-0200-00000E000000}" name="Elevated Priority" dataDxfId="189"/>
    <tableColumn id="16" xr3:uid="{00000000-0010-0000-0200-000010000000}" name="Elevation Score" dataDxfId="188">
      <calculatedColumnFormula>VLOOKUP(Master201722[[#This Row],[Elevated Priority]],Epriority,2,)</calculatedColumnFormula>
    </tableColumn>
    <tableColumn id="11" xr3:uid="{00000000-0010-0000-0200-00000B000000}" name="Project Score" dataDxfId="187">
      <calculatedColumnFormula>IF(Master201722[[#This Row],[Status]]="Active",Master201722[[#This Row],[Status_Score]],IF(C2="","",Q2+G2+S2+U2+AE2-5))</calculatedColumnFormula>
    </tableColumn>
    <tableColumn id="20" xr3:uid="{00000000-0010-0000-0200-000014000000}" name="PM" dataDxfId="186"/>
    <tableColumn id="29" xr3:uid="{00000000-0010-0000-0200-00001D000000}" name="Begin Design" dataDxfId="185"/>
    <tableColumn id="28" xr3:uid="{00000000-0010-0000-0200-00001C000000}" name="Begin Const." dataDxfId="184"/>
    <tableColumn id="19" xr3:uid="{00000000-0010-0000-0200-000013000000}" name="Comments" dataDxfId="1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Master19" displayName="Master19" ref="B1:U226" totalsRowShown="0" headerRowDxfId="182" tableBorderDxfId="181">
  <autoFilter ref="B1:U226" xr:uid="{00000000-0009-0000-0100-000012000000}">
    <filterColumn colId="0">
      <filters>
        <filter val="Hospital*"/>
      </filters>
    </filterColumn>
  </autoFilter>
  <sortState xmlns:xlrd2="http://schemas.microsoft.com/office/spreadsheetml/2017/richdata2" ref="B2:U226">
    <sortCondition ref="S2:S241"/>
    <sortCondition ref="O2:O241"/>
  </sortState>
  <tableColumns count="20">
    <tableColumn id="12" xr3:uid="{00000000-0010-0000-0300-00000C000000}" name="Department" dataDxfId="180"/>
    <tableColumn id="1" xr3:uid="{00000000-0010-0000-0300-000001000000}" name="Project Name" dataDxfId="179"/>
    <tableColumn id="2" xr3:uid="{00000000-0010-0000-0300-000002000000}" name="Brief Description" dataDxfId="178"/>
    <tableColumn id="3" xr3:uid="{00000000-0010-0000-0300-000003000000}" name="Justification" dataDxfId="177"/>
    <tableColumn id="15" xr3:uid="{00000000-0010-0000-0300-00000F000000}" name="Status" dataDxfId="176"/>
    <tableColumn id="21" xr3:uid="{00000000-0010-0000-0300-000015000000}" name="Status_Score" dataDxfId="175">
      <calculatedColumnFormula>VLOOKUP(F2,Status_Score,2,FALSE)</calculatedColumnFormula>
    </tableColumn>
    <tableColumn id="4" xr3:uid="{00000000-0010-0000-0300-000004000000}" name="Estimated Cost" dataDxfId="174"/>
    <tableColumn id="17" xr3:uid="{00000000-0010-0000-0300-000011000000}" name="Fiscal Year Requested" dataDxfId="173"/>
    <tableColumn id="5" xr3:uid="{00000000-0010-0000-0300-000005000000}" name="Importance Category" dataDxfId="172"/>
    <tableColumn id="6" xr3:uid="{00000000-0010-0000-0300-000006000000}" name="Score" dataDxfId="171"/>
    <tableColumn id="7" xr3:uid="{00000000-0010-0000-0300-000007000000}" name="Department Priority" dataDxfId="170"/>
    <tableColumn id="8" xr3:uid="{00000000-0010-0000-0300-000008000000}" name="Score2" dataDxfId="169"/>
    <tableColumn id="9" xr3:uid="{00000000-0010-0000-0300-000009000000}" name="Urgency" dataDxfId="168"/>
    <tableColumn id="10" xr3:uid="{00000000-0010-0000-0300-00000A000000}" name="Score3" dataDxfId="167"/>
    <tableColumn id="13" xr3:uid="{00000000-0010-0000-0300-00000D000000}" name="Funding" dataDxfId="166"/>
    <tableColumn id="14" xr3:uid="{00000000-0010-0000-0300-00000E000000}" name="Elevated Priority" dataDxfId="165"/>
    <tableColumn id="16" xr3:uid="{00000000-0010-0000-0300-000010000000}" name="Elevation Score" dataDxfId="164">
      <calculatedColumnFormula>VLOOKUP(Master19[[#This Row],[Elevated Priority]],Epriority,2,)</calculatedColumnFormula>
    </tableColumn>
    <tableColumn id="11" xr3:uid="{00000000-0010-0000-0300-00000B000000}" name="Project Ranking" dataDxfId="163">
      <calculatedColumnFormula>IF(Master19[[#This Row],[Status]]="Active",Master19[[#This Row],[Status_Score]],IF(C2="","",K2+G2+M2+O2+R2-5))</calculatedColumnFormula>
    </tableColumn>
    <tableColumn id="18" xr3:uid="{00000000-0010-0000-0300-000012000000}" name="Estimated Cost total " dataDxfId="162"/>
    <tableColumn id="19" xr3:uid="{00000000-0010-0000-0300-00001300000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uilding_Maintenance" displayName="Building_Maintenance" ref="B3:I31" totalsRowShown="0" headerRowDxfId="161" headerRowBorderDxfId="160" tableBorderDxfId="159">
  <autoFilter ref="B3:I31" xr:uid="{00000000-0009-0000-0100-000004000000}"/>
  <tableColumns count="8">
    <tableColumn id="12" xr3:uid="{00000000-0010-0000-0400-00000C000000}" name="Department" dataDxfId="158"/>
    <tableColumn id="1" xr3:uid="{00000000-0010-0000-0400-000001000000}" name="Project Name" dataDxfId="157"/>
    <tableColumn id="2" xr3:uid="{00000000-0010-0000-0400-000002000000}" name="Brief Description" dataDxfId="156"/>
    <tableColumn id="3" xr3:uid="{00000000-0010-0000-0400-000003000000}" name="Justification" dataDxfId="155"/>
    <tableColumn id="6" xr3:uid="{00000000-0010-0000-0400-000006000000}" name="Status " dataDxfId="154"/>
    <tableColumn id="4" xr3:uid="{00000000-0010-0000-0400-000004000000}" name="Estimated Cost" dataDxfId="153"/>
    <tableColumn id="9" xr3:uid="{00000000-0010-0000-0400-000009000000}" name="Fiscal Year" dataDxfId="152"/>
    <tableColumn id="5" xr3:uid="{00000000-0010-0000-0400-000005000000}" name="Funding"/>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ivic_Center" displayName="Civic_Center" ref="B3:I34" totalsRowShown="0" headerRowDxfId="151" headerRowBorderDxfId="150" tableBorderDxfId="149">
  <autoFilter ref="B3:I34" xr:uid="{00000000-0009-0000-0100-000008000000}"/>
  <tableColumns count="8">
    <tableColumn id="12" xr3:uid="{00000000-0010-0000-0500-00000C000000}" name="Department" dataDxfId="148"/>
    <tableColumn id="1" xr3:uid="{00000000-0010-0000-0500-000001000000}" name="Project Name" dataDxfId="147"/>
    <tableColumn id="2" xr3:uid="{00000000-0010-0000-0500-000002000000}" name="Brief Description" dataDxfId="146"/>
    <tableColumn id="3" xr3:uid="{00000000-0010-0000-0500-000003000000}" name="Justification" dataDxfId="145"/>
    <tableColumn id="6" xr3:uid="{00000000-0010-0000-0500-000006000000}" name="Status " dataDxfId="144"/>
    <tableColumn id="4" xr3:uid="{00000000-0010-0000-0500-000004000000}" name="Estimated Cost" dataDxfId="143"/>
    <tableColumn id="9" xr3:uid="{00000000-0010-0000-0500-000009000000}" name="Fiscal Year" dataDxfId="142"/>
    <tableColumn id="5" xr3:uid="{00000000-0010-0000-0500-000005000000}" name="Funding"/>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mmunity_Development" displayName="Community_Development" ref="B3:I32" totalsRowShown="0" headerRowDxfId="141" headerRowBorderDxfId="140" tableBorderDxfId="139">
  <autoFilter ref="B3:I32" xr:uid="{00000000-0009-0000-0100-000005000000}"/>
  <tableColumns count="8">
    <tableColumn id="12" xr3:uid="{00000000-0010-0000-0600-00000C000000}" name="Department" dataDxfId="138"/>
    <tableColumn id="1" xr3:uid="{00000000-0010-0000-0600-000001000000}" name="Project Name" dataDxfId="137"/>
    <tableColumn id="2" xr3:uid="{00000000-0010-0000-0600-000002000000}" name="Brief Description" dataDxfId="136"/>
    <tableColumn id="3" xr3:uid="{00000000-0010-0000-0600-000003000000}" name="Justification" dataDxfId="135"/>
    <tableColumn id="6" xr3:uid="{00000000-0010-0000-0600-000006000000}" name="Status " dataDxfId="134"/>
    <tableColumn id="4" xr3:uid="{00000000-0010-0000-0600-000004000000}" name="Estimated Cost" dataDxfId="133"/>
    <tableColumn id="9" xr3:uid="{00000000-0010-0000-0600-000009000000}" name="Fiscal Year" dataDxfId="132"/>
    <tableColumn id="5" xr3:uid="{00000000-0010-0000-0600-000005000000}" name="Funding"/>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Fire_Department" displayName="Fire_Department" ref="B3:I33" totalsRowShown="0" headerRowDxfId="131" headerRowBorderDxfId="130" tableBorderDxfId="129">
  <autoFilter ref="B3:I33" xr:uid="{00000000-0009-0000-0100-000006000000}"/>
  <tableColumns count="8">
    <tableColumn id="12" xr3:uid="{00000000-0010-0000-0700-00000C000000}" name="Department" dataDxfId="128"/>
    <tableColumn id="1" xr3:uid="{00000000-0010-0000-0700-000001000000}" name="Project Name" dataDxfId="127"/>
    <tableColumn id="2" xr3:uid="{00000000-0010-0000-0700-000002000000}" name="Brief Description" dataDxfId="126"/>
    <tableColumn id="3" xr3:uid="{00000000-0010-0000-0700-000003000000}" name="Justification" dataDxfId="125"/>
    <tableColumn id="6" xr3:uid="{00000000-0010-0000-0700-000006000000}" name="Status " dataDxfId="124"/>
    <tableColumn id="4" xr3:uid="{00000000-0010-0000-0700-000004000000}" name="Estimated Cost" dataDxfId="123"/>
    <tableColumn id="9" xr3:uid="{00000000-0010-0000-0700-000009000000}" name="Fiscal Year" dataDxfId="122"/>
    <tableColumn id="5" xr3:uid="{00000000-0010-0000-0700-000005000000}" name="Funding"/>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brary" displayName="Library" ref="B3:I35" totalsRowShown="0" headerRowDxfId="121" headerRowBorderDxfId="120" tableBorderDxfId="119">
  <autoFilter ref="B3:I35" xr:uid="{00000000-0009-0000-0100-000009000000}"/>
  <tableColumns count="8">
    <tableColumn id="12" xr3:uid="{00000000-0010-0000-0800-00000C000000}" name="Department" dataDxfId="118"/>
    <tableColumn id="1" xr3:uid="{00000000-0010-0000-0800-000001000000}" name="Project Name" dataDxfId="117"/>
    <tableColumn id="2" xr3:uid="{00000000-0010-0000-0800-000002000000}" name="Brief Description" dataDxfId="116"/>
    <tableColumn id="3" xr3:uid="{00000000-0010-0000-0800-000003000000}" name="Justification" dataDxfId="115"/>
    <tableColumn id="6" xr3:uid="{00000000-0010-0000-0800-000006000000}" name="Status " dataDxfId="114"/>
    <tableColumn id="4" xr3:uid="{00000000-0010-0000-0800-000004000000}" name="Estimated Cost" dataDxfId="113"/>
    <tableColumn id="9" xr3:uid="{00000000-0010-0000-0800-000009000000}" name="Fiscal Year" dataDxfId="112"/>
    <tableColumn id="5" xr3:uid="{00000000-0010-0000-0800-000005000000}" name="Funding"/>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IT" displayName="IT" ref="B3:I33" totalsRowShown="0" headerRowDxfId="111" headerRowBorderDxfId="110" tableBorderDxfId="109">
  <autoFilter ref="B3:I33" xr:uid="{00000000-0009-0000-0100-000001000000}"/>
  <tableColumns count="8">
    <tableColumn id="12" xr3:uid="{00000000-0010-0000-0900-00000C000000}" name="Department" dataDxfId="108"/>
    <tableColumn id="1" xr3:uid="{00000000-0010-0000-0900-000001000000}" name="Project Name" dataDxfId="107"/>
    <tableColumn id="2" xr3:uid="{00000000-0010-0000-0900-000002000000}" name="Brief Description" dataDxfId="106"/>
    <tableColumn id="3" xr3:uid="{00000000-0010-0000-0900-000003000000}" name="Justification" dataDxfId="105"/>
    <tableColumn id="6" xr3:uid="{00000000-0010-0000-0900-000006000000}" name="Status " dataDxfId="104"/>
    <tableColumn id="4" xr3:uid="{00000000-0010-0000-0900-000004000000}" name="Estimated Cost" dataDxfId="103"/>
    <tableColumn id="9" xr3:uid="{00000000-0010-0000-0900-000009000000}" name="Fiscal Year" dataDxfId="102"/>
    <tableColumn id="5" xr3:uid="{00000000-0010-0000-0900-000005000000}" name="Funding"/>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Museum" displayName="Museum" ref="B3:I33" totalsRowShown="0" headerRowDxfId="101" headerRowBorderDxfId="100" tableBorderDxfId="99">
  <autoFilter ref="B3:I33" xr:uid="{00000000-0009-0000-0100-000003000000}"/>
  <tableColumns count="8">
    <tableColumn id="12" xr3:uid="{00000000-0010-0000-0A00-00000C000000}" name="Department" dataDxfId="98"/>
    <tableColumn id="1" xr3:uid="{00000000-0010-0000-0A00-000001000000}" name="Project Name" dataDxfId="97"/>
    <tableColumn id="2" xr3:uid="{00000000-0010-0000-0A00-000002000000}" name="Brief Description" dataDxfId="96"/>
    <tableColumn id="3" xr3:uid="{00000000-0010-0000-0A00-000003000000}" name="Justification" dataDxfId="95"/>
    <tableColumn id="6" xr3:uid="{00000000-0010-0000-0A00-000006000000}" name="Status " dataDxfId="94"/>
    <tableColumn id="4" xr3:uid="{00000000-0010-0000-0A00-000004000000}" name="Estimated Cost" dataDxfId="93"/>
    <tableColumn id="9" xr3:uid="{00000000-0010-0000-0A00-000009000000}" name="Fiscal Year" dataDxfId="92"/>
    <tableColumn id="5" xr3:uid="{00000000-0010-0000-0A00-000005000000}" name="Funding"/>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Hospital" displayName="Hospital" ref="B3:I36" totalsRowShown="0" headerRowDxfId="91" headerRowBorderDxfId="90" tableBorderDxfId="89">
  <autoFilter ref="B3:I36" xr:uid="{00000000-0009-0000-0100-000007000000}"/>
  <tableColumns count="8">
    <tableColumn id="12" xr3:uid="{00000000-0010-0000-0B00-00000C000000}" name="Department" dataDxfId="88"/>
    <tableColumn id="1" xr3:uid="{00000000-0010-0000-0B00-000001000000}" name="Project Name" dataDxfId="87"/>
    <tableColumn id="2" xr3:uid="{00000000-0010-0000-0B00-000002000000}" name="Brief Description" dataDxfId="86"/>
    <tableColumn id="3" xr3:uid="{00000000-0010-0000-0B00-000003000000}" name="Justification" dataDxfId="85"/>
    <tableColumn id="6" xr3:uid="{00000000-0010-0000-0B00-000006000000}" name="Status " dataDxfId="84"/>
    <tableColumn id="4" xr3:uid="{00000000-0010-0000-0B00-000004000000}" name="Estimated Cost" dataDxfId="83"/>
    <tableColumn id="9" xr3:uid="{00000000-0010-0000-0B00-000009000000}" name="Fiscal Year" dataDxfId="82"/>
    <tableColumn id="5" xr3:uid="{00000000-0010-0000-0B00-000005000000}" name="Funding"/>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Parks_Maintenance" displayName="Parks_Maintenance" ref="B3:I37" totalsRowShown="0" headerRowDxfId="81" dataDxfId="79" headerRowBorderDxfId="80" tableBorderDxfId="78">
  <autoFilter ref="B3:I37" xr:uid="{00000000-0009-0000-0100-00000B000000}"/>
  <tableColumns count="8">
    <tableColumn id="12" xr3:uid="{00000000-0010-0000-0C00-00000C000000}" name="Department" dataDxfId="77"/>
    <tableColumn id="1" xr3:uid="{00000000-0010-0000-0C00-000001000000}" name="Project Name" dataDxfId="76"/>
    <tableColumn id="2" xr3:uid="{00000000-0010-0000-0C00-000002000000}" name="Brief Description" dataDxfId="75"/>
    <tableColumn id="3" xr3:uid="{00000000-0010-0000-0C00-000003000000}" name="Justification" dataDxfId="74"/>
    <tableColumn id="6" xr3:uid="{00000000-0010-0000-0C00-000006000000}" name="Status " dataDxfId="73"/>
    <tableColumn id="4" xr3:uid="{00000000-0010-0000-0C00-000004000000}" name="Estimated Cost" dataDxfId="72"/>
    <tableColumn id="9" xr3:uid="{00000000-0010-0000-0C00-000009000000}" name="Fiscal Year" dataDxfId="71"/>
    <tableColumn id="5" xr3:uid="{00000000-0010-0000-0C00-000005000000}" name="Funding" dataDxfId="7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Parks_Rec" displayName="Parks_Rec" ref="B3:I37" totalsRowShown="0" headerRowDxfId="69" dataDxfId="67" headerRowBorderDxfId="68" tableBorderDxfId="66">
  <autoFilter ref="B3:I37" xr:uid="{00000000-0009-0000-0100-00000C000000}"/>
  <tableColumns count="8">
    <tableColumn id="12" xr3:uid="{00000000-0010-0000-0D00-00000C000000}" name="Department" dataDxfId="65"/>
    <tableColumn id="1" xr3:uid="{00000000-0010-0000-0D00-000001000000}" name="Project Name" dataDxfId="64"/>
    <tableColumn id="2" xr3:uid="{00000000-0010-0000-0D00-000002000000}" name="Brief Description" dataDxfId="63"/>
    <tableColumn id="3" xr3:uid="{00000000-0010-0000-0D00-000003000000}" name="Justification" dataDxfId="62"/>
    <tableColumn id="6" xr3:uid="{00000000-0010-0000-0D00-000006000000}" name="Status " dataDxfId="61"/>
    <tableColumn id="4" xr3:uid="{00000000-0010-0000-0D00-000004000000}" name="Estimated Cost" dataDxfId="60"/>
    <tableColumn id="9" xr3:uid="{00000000-0010-0000-0D00-000009000000}" name="Fiscal Year" dataDxfId="59"/>
    <tableColumn id="5" xr3:uid="{00000000-0010-0000-0D00-000005000000}" name="Funding" dataDxfId="5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Police_Department" displayName="Police_Department" ref="B3:I48" totalsRowShown="0" headerRowDxfId="57" dataDxfId="55" headerRowBorderDxfId="56" tableBorderDxfId="54">
  <autoFilter ref="B3:I48" xr:uid="{00000000-0009-0000-0100-000011000000}"/>
  <tableColumns count="8">
    <tableColumn id="12" xr3:uid="{00000000-0010-0000-0E00-00000C000000}" name="Department" dataDxfId="53"/>
    <tableColumn id="1" xr3:uid="{00000000-0010-0000-0E00-000001000000}" name="Project Name" dataDxfId="52"/>
    <tableColumn id="2" xr3:uid="{00000000-0010-0000-0E00-000002000000}" name="Brief Description" dataDxfId="51"/>
    <tableColumn id="3" xr3:uid="{00000000-0010-0000-0E00-000003000000}" name="Justification" dataDxfId="50"/>
    <tableColumn id="6" xr3:uid="{00000000-0010-0000-0E00-000006000000}" name="Status " dataDxfId="49"/>
    <tableColumn id="4" xr3:uid="{00000000-0010-0000-0E00-000004000000}" name="Estimated Cost" dataDxfId="48"/>
    <tableColumn id="9" xr3:uid="{00000000-0010-0000-0E00-000009000000}" name="Fiscal Year" dataDxfId="47"/>
    <tableColumn id="5" xr3:uid="{00000000-0010-0000-0E00-000005000000}" name="Funding" dataDxfId="4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Ports_Harbor" displayName="Ports_Harbor" ref="B3:I39" totalsRowShown="0" headerRowDxfId="45" dataDxfId="43" headerRowBorderDxfId="44" tableBorderDxfId="42">
  <autoFilter ref="B3:I39" xr:uid="{00000000-0009-0000-0100-00000D000000}"/>
  <tableColumns count="8">
    <tableColumn id="12" xr3:uid="{00000000-0010-0000-0F00-00000C000000}" name="Department" dataDxfId="41"/>
    <tableColumn id="1" xr3:uid="{00000000-0010-0000-0F00-000001000000}" name="Project Name" dataDxfId="40"/>
    <tableColumn id="2" xr3:uid="{00000000-0010-0000-0F00-000002000000}" name="Brief Description" dataDxfId="39"/>
    <tableColumn id="3" xr3:uid="{00000000-0010-0000-0F00-000003000000}" name="Justification" dataDxfId="38"/>
    <tableColumn id="6" xr3:uid="{00000000-0010-0000-0F00-000006000000}" name="Status " dataDxfId="37"/>
    <tableColumn id="4" xr3:uid="{00000000-0010-0000-0F00-000004000000}" name="Estimated Cost" dataDxfId="36"/>
    <tableColumn id="9" xr3:uid="{00000000-0010-0000-0F00-000009000000}" name="Fiscal Year" dataDxfId="35"/>
    <tableColumn id="5" xr3:uid="{00000000-0010-0000-0F00-000005000000}" name="Funding" dataDxfId="3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PublicWorks" displayName="PublicWorks" ref="B3:I46" totalsRowShown="0" headerRowDxfId="33" dataDxfId="31" headerRowBorderDxfId="32" tableBorderDxfId="30">
  <autoFilter ref="B3:I46" xr:uid="{00000000-0009-0000-0100-00000E000000}"/>
  <tableColumns count="8">
    <tableColumn id="12" xr3:uid="{00000000-0010-0000-1000-00000C000000}" name="Department" dataDxfId="29"/>
    <tableColumn id="1" xr3:uid="{00000000-0010-0000-1000-000001000000}" name="Project Name" dataDxfId="28"/>
    <tableColumn id="2" xr3:uid="{00000000-0010-0000-1000-000002000000}" name="Brief Description" dataDxfId="27"/>
    <tableColumn id="3" xr3:uid="{00000000-0010-0000-1000-000003000000}" name="Justification" dataDxfId="26"/>
    <tableColumn id="6" xr3:uid="{00000000-0010-0000-1000-000006000000}" name="Status " dataDxfId="25"/>
    <tableColumn id="4" xr3:uid="{00000000-0010-0000-1000-000004000000}" name="Estimated Cost" dataDxfId="24"/>
    <tableColumn id="9" xr3:uid="{00000000-0010-0000-1000-000009000000}" name="Fiscal Year" dataDxfId="23"/>
    <tableColumn id="5" xr3:uid="{00000000-0010-0000-1000-000005000000}" name="Funding" dataDxfId="2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Valdez_Senior_Center" displayName="Valdez_Senior_Center" ref="B3:I48" totalsRowShown="0" headerRowDxfId="21" dataDxfId="19" headerRowBorderDxfId="20" tableBorderDxfId="18">
  <autoFilter ref="B3:I48" xr:uid="{00000000-0009-0000-0100-00000F000000}"/>
  <tableColumns count="8">
    <tableColumn id="12" xr3:uid="{00000000-0010-0000-1100-00000C000000}" name="Department" dataDxfId="17"/>
    <tableColumn id="1" xr3:uid="{00000000-0010-0000-1100-000001000000}" name="Project Name" dataDxfId="16"/>
    <tableColumn id="2" xr3:uid="{00000000-0010-0000-1100-000002000000}" name="Brief Description" dataDxfId="15"/>
    <tableColumn id="3" xr3:uid="{00000000-0010-0000-1100-000003000000}" name="Justification" dataDxfId="14"/>
    <tableColumn id="6" xr3:uid="{00000000-0010-0000-1100-000006000000}" name="Status " dataDxfId="13"/>
    <tableColumn id="4" xr3:uid="{00000000-0010-0000-1100-000004000000}" name="Estimated Cost" dataDxfId="12"/>
    <tableColumn id="9" xr3:uid="{00000000-0010-0000-1100-000009000000}" name="Fiscal Year" dataDxfId="11"/>
    <tableColumn id="5" xr3:uid="{00000000-0010-0000-1100-000005000000}" name="Funding" dataDxfId="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Valdez_City_Schools" displayName="Valdez_City_Schools" ref="B3:I40" totalsRowShown="0" headerRowDxfId="9" headerRowBorderDxfId="8" tableBorderDxfId="7">
  <autoFilter ref="B3:I40" xr:uid="{00000000-0009-0000-0100-00000A000000}">
    <filterColumn colId="7">
      <filters>
        <filter val="CIP"/>
      </filters>
    </filterColumn>
  </autoFilter>
  <tableColumns count="8">
    <tableColumn id="12" xr3:uid="{00000000-0010-0000-1200-00000C000000}" name="Department" dataDxfId="6"/>
    <tableColumn id="1" xr3:uid="{00000000-0010-0000-1200-000001000000}" name="Project Name" dataDxfId="5"/>
    <tableColumn id="2" xr3:uid="{00000000-0010-0000-1200-000002000000}" name="Brief Description" dataDxfId="4"/>
    <tableColumn id="3" xr3:uid="{00000000-0010-0000-1200-000003000000}" name="Justification" dataDxfId="3"/>
    <tableColumn id="6" xr3:uid="{00000000-0010-0000-1200-000006000000}" name="Status " dataDxfId="2"/>
    <tableColumn id="4" xr3:uid="{00000000-0010-0000-1200-000004000000}" name="Estimated Cost" dataDxfId="1"/>
    <tableColumn id="9" xr3:uid="{00000000-0010-0000-1200-000009000000}" name="Fiscal Year" dataDxfId="0"/>
    <tableColumn id="5" xr3:uid="{00000000-0010-0000-1200-000005000000}" name="Funding"/>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16"/>
  <sheetViews>
    <sheetView workbookViewId="0">
      <selection activeCell="B18" sqref="B18"/>
    </sheetView>
  </sheetViews>
  <sheetFormatPr defaultRowHeight="15" x14ac:dyDescent="0.25"/>
  <cols>
    <col min="2" max="2" width="33.140625" customWidth="1"/>
    <col min="3" max="3" width="24" customWidth="1"/>
  </cols>
  <sheetData>
    <row r="2" spans="1:3" x14ac:dyDescent="0.25">
      <c r="A2" s="1"/>
      <c r="B2" s="2" t="s">
        <v>0</v>
      </c>
      <c r="C2" s="1" t="s">
        <v>1</v>
      </c>
    </row>
    <row r="3" spans="1:3" x14ac:dyDescent="0.25">
      <c r="A3" s="1" t="s">
        <v>2</v>
      </c>
      <c r="B3" s="1" t="s">
        <v>3</v>
      </c>
      <c r="C3" s="3">
        <v>1000000</v>
      </c>
    </row>
    <row r="4" spans="1:3" x14ac:dyDescent="0.25">
      <c r="A4" s="1" t="s">
        <v>2</v>
      </c>
      <c r="B4" s="1" t="s">
        <v>4</v>
      </c>
      <c r="C4" s="3">
        <v>4000000</v>
      </c>
    </row>
    <row r="5" spans="1:3" x14ac:dyDescent="0.25">
      <c r="A5" s="1" t="s">
        <v>2</v>
      </c>
      <c r="B5" s="1" t="s">
        <v>5</v>
      </c>
      <c r="C5" s="3">
        <v>750000</v>
      </c>
    </row>
    <row r="6" spans="1:3" x14ac:dyDescent="0.25">
      <c r="A6" s="1" t="s">
        <v>6</v>
      </c>
      <c r="B6" s="1" t="s">
        <v>7</v>
      </c>
      <c r="C6" s="3">
        <v>4700000</v>
      </c>
    </row>
    <row r="7" spans="1:3" x14ac:dyDescent="0.25">
      <c r="A7" s="1" t="s">
        <v>6</v>
      </c>
      <c r="B7" s="1" t="s">
        <v>8</v>
      </c>
      <c r="C7" s="3">
        <v>4000000</v>
      </c>
    </row>
    <row r="8" spans="1:3" x14ac:dyDescent="0.25">
      <c r="A8" s="1" t="s">
        <v>6</v>
      </c>
      <c r="B8" s="1" t="s">
        <v>9</v>
      </c>
      <c r="C8" s="3">
        <v>500000</v>
      </c>
    </row>
    <row r="9" spans="1:3" x14ac:dyDescent="0.25">
      <c r="A9" s="1" t="s">
        <v>6</v>
      </c>
      <c r="B9" s="1" t="s">
        <v>10</v>
      </c>
      <c r="C9" s="3">
        <v>2000000</v>
      </c>
    </row>
    <row r="10" spans="1:3" x14ac:dyDescent="0.25">
      <c r="A10" s="1" t="s">
        <v>11</v>
      </c>
      <c r="B10" s="1" t="s">
        <v>12</v>
      </c>
      <c r="C10" s="3">
        <v>2000000</v>
      </c>
    </row>
    <row r="11" spans="1:3" x14ac:dyDescent="0.25">
      <c r="A11" s="1" t="s">
        <v>11</v>
      </c>
      <c r="B11" s="1" t="s">
        <v>13</v>
      </c>
      <c r="C11" s="3">
        <v>25000000</v>
      </c>
    </row>
    <row r="12" spans="1:3" x14ac:dyDescent="0.25">
      <c r="A12" s="1" t="s">
        <v>11</v>
      </c>
      <c r="B12" s="1" t="s">
        <v>14</v>
      </c>
      <c r="C12" s="3">
        <v>2000000</v>
      </c>
    </row>
    <row r="13" spans="1:3" x14ac:dyDescent="0.25">
      <c r="A13" s="1" t="s">
        <v>11</v>
      </c>
      <c r="B13" s="1" t="s">
        <v>15</v>
      </c>
      <c r="C13" s="3">
        <v>150000</v>
      </c>
    </row>
    <row r="14" spans="1:3" x14ac:dyDescent="0.25">
      <c r="A14" s="1" t="s">
        <v>16</v>
      </c>
      <c r="B14" s="1" t="s">
        <v>17</v>
      </c>
      <c r="C14" s="3">
        <v>2000000</v>
      </c>
    </row>
    <row r="15" spans="1:3" x14ac:dyDescent="0.25">
      <c r="A15" s="1" t="s">
        <v>16</v>
      </c>
      <c r="B15" s="1" t="s">
        <v>18</v>
      </c>
      <c r="C15" s="3">
        <v>1000000</v>
      </c>
    </row>
    <row r="16" spans="1:3" x14ac:dyDescent="0.25">
      <c r="A16" s="1"/>
      <c r="B16" s="1" t="s">
        <v>19</v>
      </c>
      <c r="C16" s="3">
        <v>2000000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2:Y39"/>
  <sheetViews>
    <sheetView topLeftCell="K1" workbookViewId="0">
      <selection activeCell="U5" sqref="U5"/>
    </sheetView>
  </sheetViews>
  <sheetFormatPr defaultRowHeight="15" x14ac:dyDescent="0.25"/>
  <cols>
    <col min="4" max="4" width="22.42578125" bestFit="1" customWidth="1"/>
    <col min="5" max="5" width="18.42578125" customWidth="1"/>
    <col min="6" max="6" width="1.7109375" customWidth="1"/>
    <col min="7" max="7" width="23.140625" customWidth="1"/>
    <col min="8" max="8" width="17.28515625" customWidth="1"/>
    <col min="9" max="9" width="7.28515625" customWidth="1"/>
    <col min="13" max="13" width="10.42578125" bestFit="1" customWidth="1"/>
    <col min="14" max="14" width="18.140625" customWidth="1"/>
    <col min="15" max="15" width="21.28515625" customWidth="1"/>
    <col min="17" max="18" width="14" customWidth="1"/>
    <col min="20" max="20" width="19.28515625" bestFit="1" customWidth="1"/>
    <col min="22" max="22" width="14.140625" bestFit="1" customWidth="1"/>
    <col min="24" max="24" width="16.7109375" bestFit="1" customWidth="1"/>
  </cols>
  <sheetData>
    <row r="2" spans="4:25" x14ac:dyDescent="0.25">
      <c r="E2" t="s">
        <v>20</v>
      </c>
      <c r="H2" t="s">
        <v>21</v>
      </c>
      <c r="K2" t="s">
        <v>22</v>
      </c>
      <c r="M2" t="s">
        <v>23</v>
      </c>
      <c r="N2" t="s">
        <v>24</v>
      </c>
      <c r="O2" t="s">
        <v>25</v>
      </c>
      <c r="Q2" t="s">
        <v>53</v>
      </c>
      <c r="R2" t="s">
        <v>603</v>
      </c>
    </row>
    <row r="3" spans="4:25" x14ac:dyDescent="0.25">
      <c r="D3" t="s">
        <v>26</v>
      </c>
      <c r="G3" t="s">
        <v>27</v>
      </c>
      <c r="J3" t="s">
        <v>28</v>
      </c>
      <c r="M3" t="s">
        <v>29</v>
      </c>
      <c r="N3" t="s">
        <v>29</v>
      </c>
      <c r="Q3" t="s">
        <v>29</v>
      </c>
      <c r="R3">
        <v>0</v>
      </c>
    </row>
    <row r="4" spans="4:25" x14ac:dyDescent="0.25">
      <c r="D4" t="s">
        <v>29</v>
      </c>
      <c r="G4" t="s">
        <v>29</v>
      </c>
      <c r="J4" t="s">
        <v>29</v>
      </c>
      <c r="M4" t="s">
        <v>30</v>
      </c>
      <c r="N4" t="s">
        <v>31</v>
      </c>
      <c r="O4">
        <v>-25</v>
      </c>
      <c r="Q4" t="s">
        <v>598</v>
      </c>
      <c r="R4">
        <v>-100</v>
      </c>
      <c r="T4" t="s">
        <v>703</v>
      </c>
      <c r="U4">
        <v>-15</v>
      </c>
      <c r="V4" t="s">
        <v>707</v>
      </c>
      <c r="W4">
        <v>-1</v>
      </c>
      <c r="X4" t="s">
        <v>706</v>
      </c>
      <c r="Y4">
        <v>-3</v>
      </c>
    </row>
    <row r="5" spans="4:25" x14ac:dyDescent="0.25">
      <c r="D5" t="s">
        <v>32</v>
      </c>
      <c r="E5">
        <v>1</v>
      </c>
      <c r="G5">
        <v>1</v>
      </c>
      <c r="H5">
        <f t="shared" ref="H5:H10" si="0">G5*3</f>
        <v>3</v>
      </c>
      <c r="J5" t="s">
        <v>33</v>
      </c>
      <c r="K5">
        <v>1</v>
      </c>
      <c r="M5" t="s">
        <v>34</v>
      </c>
      <c r="N5" t="s">
        <v>35</v>
      </c>
      <c r="O5">
        <v>-50</v>
      </c>
      <c r="Q5" s="94" t="s">
        <v>719</v>
      </c>
      <c r="R5">
        <v>-150</v>
      </c>
      <c r="U5">
        <v>-12</v>
      </c>
      <c r="W5">
        <v>-3</v>
      </c>
      <c r="Y5">
        <v>-1</v>
      </c>
    </row>
    <row r="6" spans="4:25" x14ac:dyDescent="0.25">
      <c r="D6" t="s">
        <v>1128</v>
      </c>
      <c r="E6">
        <v>5</v>
      </c>
      <c r="G6">
        <v>2</v>
      </c>
      <c r="H6">
        <f t="shared" si="0"/>
        <v>6</v>
      </c>
      <c r="J6" t="s">
        <v>37</v>
      </c>
      <c r="K6">
        <v>3</v>
      </c>
      <c r="M6" t="s">
        <v>65</v>
      </c>
      <c r="N6" t="s">
        <v>39</v>
      </c>
      <c r="O6">
        <v>-30</v>
      </c>
      <c r="Q6" t="s">
        <v>720</v>
      </c>
      <c r="R6">
        <v>-200</v>
      </c>
      <c r="U6">
        <v>-9</v>
      </c>
      <c r="W6">
        <v>-5</v>
      </c>
      <c r="Y6">
        <v>0</v>
      </c>
    </row>
    <row r="7" spans="4:25" x14ac:dyDescent="0.25">
      <c r="D7" t="s">
        <v>36</v>
      </c>
      <c r="E7">
        <v>10</v>
      </c>
      <c r="G7">
        <v>3</v>
      </c>
      <c r="H7">
        <f t="shared" si="0"/>
        <v>9</v>
      </c>
      <c r="J7" t="s">
        <v>41</v>
      </c>
      <c r="K7">
        <v>4</v>
      </c>
      <c r="M7" t="s">
        <v>1112</v>
      </c>
      <c r="N7" t="s">
        <v>833</v>
      </c>
      <c r="O7">
        <v>15</v>
      </c>
      <c r="Q7" t="s">
        <v>832</v>
      </c>
      <c r="R7">
        <v>100</v>
      </c>
      <c r="U7">
        <v>-6</v>
      </c>
      <c r="W7">
        <v>0</v>
      </c>
    </row>
    <row r="8" spans="4:25" x14ac:dyDescent="0.25">
      <c r="D8" t="s">
        <v>688</v>
      </c>
      <c r="E8">
        <v>20</v>
      </c>
      <c r="G8">
        <v>4</v>
      </c>
      <c r="H8">
        <f t="shared" si="0"/>
        <v>12</v>
      </c>
      <c r="J8" t="s">
        <v>43</v>
      </c>
      <c r="K8">
        <f>2^4</f>
        <v>16</v>
      </c>
      <c r="M8" t="s">
        <v>38</v>
      </c>
      <c r="Q8" t="s">
        <v>814</v>
      </c>
      <c r="R8">
        <v>200</v>
      </c>
      <c r="U8">
        <v>-3</v>
      </c>
      <c r="X8" t="s">
        <v>704</v>
      </c>
      <c r="Y8">
        <v>-3</v>
      </c>
    </row>
    <row r="9" spans="4:25" x14ac:dyDescent="0.25">
      <c r="D9" t="s">
        <v>830</v>
      </c>
      <c r="E9">
        <v>10</v>
      </c>
      <c r="G9">
        <v>5</v>
      </c>
      <c r="H9">
        <f t="shared" si="0"/>
        <v>15</v>
      </c>
      <c r="J9" t="s">
        <v>45</v>
      </c>
      <c r="K9">
        <f>2^5</f>
        <v>32</v>
      </c>
      <c r="Q9" t="s">
        <v>1003</v>
      </c>
      <c r="R9">
        <v>200</v>
      </c>
      <c r="U9">
        <v>0</v>
      </c>
      <c r="Y9">
        <v>0</v>
      </c>
    </row>
    <row r="10" spans="4:25" x14ac:dyDescent="0.25">
      <c r="D10" t="s">
        <v>687</v>
      </c>
      <c r="E10">
        <v>30</v>
      </c>
      <c r="G10">
        <v>6</v>
      </c>
      <c r="H10">
        <f t="shared" si="0"/>
        <v>18</v>
      </c>
      <c r="J10" t="s">
        <v>47</v>
      </c>
      <c r="K10">
        <f>2^6</f>
        <v>64</v>
      </c>
      <c r="Q10" t="s">
        <v>816</v>
      </c>
      <c r="R10">
        <v>1000</v>
      </c>
    </row>
    <row r="11" spans="4:25" x14ac:dyDescent="0.25">
      <c r="D11" t="s">
        <v>686</v>
      </c>
      <c r="E11">
        <v>60</v>
      </c>
      <c r="G11">
        <v>7</v>
      </c>
      <c r="H11">
        <v>20</v>
      </c>
      <c r="T11" t="s">
        <v>705</v>
      </c>
      <c r="U11">
        <v>-2</v>
      </c>
      <c r="V11" t="s">
        <v>940</v>
      </c>
      <c r="W11">
        <v>-9</v>
      </c>
    </row>
    <row r="12" spans="4:25" x14ac:dyDescent="0.25">
      <c r="D12" t="s">
        <v>46</v>
      </c>
      <c r="E12">
        <v>50</v>
      </c>
      <c r="G12">
        <v>8</v>
      </c>
      <c r="H12">
        <v>20</v>
      </c>
      <c r="U12">
        <v>0</v>
      </c>
      <c r="W12">
        <v>-7</v>
      </c>
      <c r="X12" t="s">
        <v>708</v>
      </c>
      <c r="Y12">
        <v>0</v>
      </c>
    </row>
    <row r="13" spans="4:25" x14ac:dyDescent="0.25">
      <c r="G13">
        <v>9</v>
      </c>
      <c r="H13">
        <v>21</v>
      </c>
      <c r="W13">
        <v>-5</v>
      </c>
      <c r="Y13">
        <v>-3</v>
      </c>
    </row>
    <row r="14" spans="4:25" x14ac:dyDescent="0.25">
      <c r="G14">
        <v>10</v>
      </c>
      <c r="H14">
        <v>21</v>
      </c>
      <c r="W14">
        <v>-3</v>
      </c>
      <c r="Y14">
        <v>-2</v>
      </c>
    </row>
    <row r="15" spans="4:25" x14ac:dyDescent="0.25">
      <c r="G15">
        <v>11</v>
      </c>
      <c r="H15">
        <v>22</v>
      </c>
      <c r="W15">
        <v>-1</v>
      </c>
      <c r="Y15">
        <v>-1</v>
      </c>
    </row>
    <row r="16" spans="4:25" x14ac:dyDescent="0.25">
      <c r="G16">
        <v>12</v>
      </c>
      <c r="H16">
        <v>22</v>
      </c>
      <c r="W16">
        <v>0</v>
      </c>
    </row>
    <row r="17" spans="7:8" x14ac:dyDescent="0.25">
      <c r="G17">
        <v>13</v>
      </c>
      <c r="H17">
        <v>23</v>
      </c>
    </row>
    <row r="18" spans="7:8" x14ac:dyDescent="0.25">
      <c r="G18">
        <v>14</v>
      </c>
      <c r="H18">
        <v>23</v>
      </c>
    </row>
    <row r="19" spans="7:8" x14ac:dyDescent="0.25">
      <c r="G19">
        <v>15</v>
      </c>
      <c r="H19">
        <v>24</v>
      </c>
    </row>
    <row r="20" spans="7:8" x14ac:dyDescent="0.25">
      <c r="G20">
        <v>16</v>
      </c>
      <c r="H20">
        <v>24</v>
      </c>
    </row>
    <row r="21" spans="7:8" x14ac:dyDescent="0.25">
      <c r="G21">
        <v>17</v>
      </c>
      <c r="H21">
        <v>25</v>
      </c>
    </row>
    <row r="22" spans="7:8" x14ac:dyDescent="0.25">
      <c r="G22">
        <v>18</v>
      </c>
      <c r="H22">
        <v>25</v>
      </c>
    </row>
    <row r="23" spans="7:8" x14ac:dyDescent="0.25">
      <c r="G23">
        <v>19</v>
      </c>
      <c r="H23">
        <v>26</v>
      </c>
    </row>
    <row r="24" spans="7:8" x14ac:dyDescent="0.25">
      <c r="G24">
        <v>20</v>
      </c>
      <c r="H24">
        <v>26</v>
      </c>
    </row>
    <row r="25" spans="7:8" x14ac:dyDescent="0.25">
      <c r="G25">
        <v>21</v>
      </c>
      <c r="H25">
        <v>27</v>
      </c>
    </row>
    <row r="26" spans="7:8" x14ac:dyDescent="0.25">
      <c r="G26">
        <v>22</v>
      </c>
      <c r="H26">
        <v>27</v>
      </c>
    </row>
    <row r="27" spans="7:8" x14ac:dyDescent="0.25">
      <c r="G27">
        <v>23</v>
      </c>
      <c r="H27">
        <v>28</v>
      </c>
    </row>
    <row r="28" spans="7:8" x14ac:dyDescent="0.25">
      <c r="G28">
        <v>24</v>
      </c>
      <c r="H28">
        <v>28</v>
      </c>
    </row>
    <row r="29" spans="7:8" x14ac:dyDescent="0.25">
      <c r="G29">
        <v>25</v>
      </c>
      <c r="H29">
        <v>29</v>
      </c>
    </row>
    <row r="30" spans="7:8" x14ac:dyDescent="0.25">
      <c r="G30">
        <v>26</v>
      </c>
      <c r="H30">
        <v>29</v>
      </c>
    </row>
    <row r="31" spans="7:8" x14ac:dyDescent="0.25">
      <c r="G31">
        <v>27</v>
      </c>
      <c r="H31">
        <v>30</v>
      </c>
    </row>
    <row r="32" spans="7:8" x14ac:dyDescent="0.25">
      <c r="G32">
        <v>28</v>
      </c>
      <c r="H32">
        <v>30</v>
      </c>
    </row>
    <row r="33" spans="7:8" x14ac:dyDescent="0.25">
      <c r="G33">
        <v>29</v>
      </c>
      <c r="H33">
        <v>31</v>
      </c>
    </row>
    <row r="34" spans="7:8" x14ac:dyDescent="0.25">
      <c r="G34">
        <v>30</v>
      </c>
      <c r="H34">
        <v>31</v>
      </c>
    </row>
    <row r="35" spans="7:8" x14ac:dyDescent="0.25">
      <c r="G35">
        <v>31</v>
      </c>
      <c r="H35">
        <v>32</v>
      </c>
    </row>
    <row r="36" spans="7:8" x14ac:dyDescent="0.25">
      <c r="G36">
        <v>32</v>
      </c>
      <c r="H36">
        <v>32</v>
      </c>
    </row>
    <row r="37" spans="7:8" x14ac:dyDescent="0.25">
      <c r="G37">
        <v>33</v>
      </c>
      <c r="H37">
        <v>33</v>
      </c>
    </row>
    <row r="38" spans="7:8" x14ac:dyDescent="0.25">
      <c r="G38">
        <v>34</v>
      </c>
      <c r="H38">
        <v>33</v>
      </c>
    </row>
    <row r="39" spans="7:8" x14ac:dyDescent="0.25">
      <c r="G39">
        <v>35</v>
      </c>
      <c r="H39">
        <v>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BAX306"/>
  <sheetViews>
    <sheetView tabSelected="1" zoomScale="85" zoomScaleNormal="85" zoomScaleSheetLayoutView="25" workbookViewId="0">
      <pane xSplit="5" ySplit="1" topLeftCell="F24" activePane="bottomRight" state="frozen"/>
      <selection pane="topRight" activeCell="E1" sqref="E1"/>
      <selection pane="bottomLeft" activeCell="A2" sqref="A2"/>
      <selection pane="bottomRight" activeCell="O291" sqref="O291"/>
    </sheetView>
  </sheetViews>
  <sheetFormatPr defaultColWidth="9.140625" defaultRowHeight="15" x14ac:dyDescent="0.25"/>
  <cols>
    <col min="1" max="1" width="5" style="103" customWidth="1"/>
    <col min="2" max="2" width="27.7109375" style="1" customWidth="1"/>
    <col min="3" max="3" width="25.85546875" style="1" customWidth="1"/>
    <col min="4" max="4" width="40.28515625" style="10" customWidth="1"/>
    <col min="5" max="5" width="28.5703125" style="10" customWidth="1"/>
    <col min="6" max="6" width="33.42578125" style="3" customWidth="1"/>
    <col min="7" max="7" width="12.28515625" style="3" hidden="1" customWidth="1"/>
    <col min="8" max="8" width="12.42578125" style="3" hidden="1" customWidth="1"/>
    <col min="9" max="9" width="13.85546875" style="3" hidden="1" customWidth="1"/>
    <col min="10" max="10" width="12.85546875" style="3" hidden="1" customWidth="1"/>
    <col min="11" max="11" width="20.42578125" style="3" hidden="1" customWidth="1"/>
    <col min="12" max="13" width="14.28515625" style="3" hidden="1" customWidth="1"/>
    <col min="14" max="14" width="19" style="101" hidden="1" customWidth="1"/>
    <col min="15" max="15" width="18.85546875" style="32" customWidth="1"/>
    <col min="16" max="16" width="15.140625" style="33" customWidth="1"/>
    <col min="17" max="17" width="24.5703125" style="10" customWidth="1"/>
    <col min="18" max="18" width="14.7109375" style="8" hidden="1" customWidth="1"/>
    <col min="19" max="19" width="15.7109375" style="8" customWidth="1"/>
    <col min="20" max="20" width="14.7109375" style="8" hidden="1" customWidth="1"/>
    <col min="21" max="21" width="12.85546875" style="8" customWidth="1"/>
    <col min="22" max="26" width="14.7109375" style="8" hidden="1" customWidth="1"/>
    <col min="27" max="27" width="16.5703125" style="8" hidden="1" customWidth="1"/>
    <col min="28" max="31" width="14.7109375" style="8" hidden="1" customWidth="1"/>
    <col min="32" max="32" width="13.28515625" style="8" hidden="1" customWidth="1"/>
    <col min="33" max="33" width="14.7109375" style="8" hidden="1" customWidth="1"/>
    <col min="34" max="34" width="18.7109375" style="152" customWidth="1"/>
    <col min="35" max="38" width="13" style="36" hidden="1" customWidth="1"/>
    <col min="39" max="39" width="13.85546875" style="36" hidden="1" customWidth="1"/>
    <col min="40" max="40" width="34.28515625" style="9" hidden="1" customWidth="1"/>
    <col min="41" max="41" width="14.28515625" customWidth="1"/>
  </cols>
  <sheetData>
    <row r="1" spans="1:1402" ht="46.5" customHeight="1" x14ac:dyDescent="0.25">
      <c r="A1" s="103" t="s">
        <v>48</v>
      </c>
      <c r="B1" s="96" t="s">
        <v>49</v>
      </c>
      <c r="C1" s="4" t="s">
        <v>1188</v>
      </c>
      <c r="D1" s="5" t="s">
        <v>50</v>
      </c>
      <c r="E1" s="5" t="s">
        <v>51</v>
      </c>
      <c r="F1" s="5" t="s">
        <v>52</v>
      </c>
      <c r="G1" s="5" t="s">
        <v>53</v>
      </c>
      <c r="H1" s="5" t="s">
        <v>645</v>
      </c>
      <c r="I1" s="97" t="s">
        <v>736</v>
      </c>
      <c r="J1" s="97" t="s">
        <v>730</v>
      </c>
      <c r="K1" s="97" t="s">
        <v>741</v>
      </c>
      <c r="L1" s="97" t="s">
        <v>738</v>
      </c>
      <c r="M1" s="97" t="s">
        <v>739</v>
      </c>
      <c r="N1" s="97" t="s">
        <v>737</v>
      </c>
      <c r="O1" s="6" t="s">
        <v>731</v>
      </c>
      <c r="P1" s="6" t="s">
        <v>55</v>
      </c>
      <c r="Q1" s="4" t="s">
        <v>26</v>
      </c>
      <c r="R1" s="4" t="s">
        <v>56</v>
      </c>
      <c r="S1" s="4" t="s">
        <v>27</v>
      </c>
      <c r="T1" s="4" t="s">
        <v>57</v>
      </c>
      <c r="U1" s="4" t="s">
        <v>28</v>
      </c>
      <c r="V1" s="7" t="s">
        <v>58</v>
      </c>
      <c r="W1" s="7" t="s">
        <v>23</v>
      </c>
      <c r="X1" s="4" t="s">
        <v>938</v>
      </c>
      <c r="Y1" s="4" t="s">
        <v>707</v>
      </c>
      <c r="Z1" s="4" t="s">
        <v>706</v>
      </c>
      <c r="AA1" s="4" t="s">
        <v>939</v>
      </c>
      <c r="AB1" s="4" t="s">
        <v>705</v>
      </c>
      <c r="AC1" s="4" t="s">
        <v>940</v>
      </c>
      <c r="AD1" s="4" t="s">
        <v>708</v>
      </c>
      <c r="AE1" s="4" t="s">
        <v>1049</v>
      </c>
      <c r="AF1" s="4" t="s">
        <v>24</v>
      </c>
      <c r="AG1" s="8" t="s">
        <v>25</v>
      </c>
      <c r="AH1" s="151" t="s">
        <v>685</v>
      </c>
      <c r="AI1" s="96" t="s">
        <v>714</v>
      </c>
      <c r="AJ1" s="145" t="s">
        <v>1029</v>
      </c>
      <c r="AK1" s="145" t="s">
        <v>1030</v>
      </c>
      <c r="AL1" s="145" t="s">
        <v>1050</v>
      </c>
      <c r="AM1" s="145" t="s">
        <v>1051</v>
      </c>
      <c r="AN1" s="145" t="s">
        <v>1143</v>
      </c>
    </row>
    <row r="2" spans="1:1402" s="99" customFormat="1" ht="75" hidden="1" x14ac:dyDescent="0.25">
      <c r="A2" s="103">
        <v>1</v>
      </c>
      <c r="B2" s="194" t="s">
        <v>70</v>
      </c>
      <c r="C2" s="111" t="s">
        <v>1045</v>
      </c>
      <c r="D2" s="111" t="s">
        <v>1366</v>
      </c>
      <c r="E2" s="111" t="s">
        <v>851</v>
      </c>
      <c r="F2" s="111" t="s">
        <v>852</v>
      </c>
      <c r="G2" s="111" t="s">
        <v>720</v>
      </c>
      <c r="H2" s="111">
        <f t="shared" ref="H2:H43" si="0">VLOOKUP(G2,Status_Score,2,FALSE)</f>
        <v>-200</v>
      </c>
      <c r="I2" s="112">
        <v>2000000</v>
      </c>
      <c r="J2" s="112">
        <v>0</v>
      </c>
      <c r="K2" s="112">
        <f>Master20[[#This Row],[Initial Budget]]-Master20[[#This Row],[Previously Committed Funds]]</f>
        <v>2000000</v>
      </c>
      <c r="L2" s="112">
        <v>0</v>
      </c>
      <c r="M2" s="112">
        <v>0</v>
      </c>
      <c r="N2" s="116">
        <f>Master20[[#This Row],[Design $ (Add/Deduct)]]+Master20[[#This Row],[Construction $ (Add/Ded)]]</f>
        <v>0</v>
      </c>
      <c r="O2" s="115">
        <v>23000000</v>
      </c>
      <c r="P2" s="114">
        <v>2018</v>
      </c>
      <c r="Q2" s="111" t="s">
        <v>36</v>
      </c>
      <c r="R2" s="114">
        <f>VLOOKUP(Q2,Importance, 2, FALSE)</f>
        <v>10</v>
      </c>
      <c r="S2" s="114">
        <v>1</v>
      </c>
      <c r="T2" s="114">
        <f t="shared" ref="T2:T26" si="1">VLOOKUP(S2,Department,2,FALSE)</f>
        <v>3</v>
      </c>
      <c r="U2" s="114" t="s">
        <v>37</v>
      </c>
      <c r="V2" s="114">
        <f t="shared" ref="V2:V10" si="2">VLOOKUP(U2,Urgency,2,FALSE)</f>
        <v>3</v>
      </c>
      <c r="W2" s="114" t="s">
        <v>38</v>
      </c>
      <c r="X2" s="114">
        <v>0</v>
      </c>
      <c r="Y2" s="114">
        <v>0</v>
      </c>
      <c r="Z2" s="114">
        <v>-3</v>
      </c>
      <c r="AA2" s="114">
        <v>-3</v>
      </c>
      <c r="AB2" s="114">
        <v>0</v>
      </c>
      <c r="AC2" s="114">
        <v>-9</v>
      </c>
      <c r="AD2" s="114">
        <v>-3</v>
      </c>
      <c r="AE2" s="114"/>
      <c r="AF2" s="113" t="s">
        <v>29</v>
      </c>
      <c r="AG2" s="114">
        <f>VLOOKUP(Master20[[#This Row],[Elevated Priority]],Epriority,2,)</f>
        <v>0</v>
      </c>
      <c r="AH2" s="152">
        <f>IF(Master20[[#This Row],[Status]]="Active",Master20[[#This Row],[Status_Score]],IF(D2="","",R2+H2+T2+V2+AG2+AE2+Master20[[#This Row],[Risk Mitigation]]+Master20[[#This Row],[Master Plan]]+Master20[[#This Row],[Community Request]]+Master20[[#This Row],[Community need]]+Master20[[#This Row],[Offset Aging Inf.]]+Master20[[#This Row],[Energy Savings]]+Master20[[#This Row],[Gen Revenue]]-5))</f>
        <v>-207</v>
      </c>
      <c r="AI2" s="114" t="s">
        <v>757</v>
      </c>
      <c r="AJ2" s="114">
        <v>2019</v>
      </c>
      <c r="AK2" s="114">
        <v>2022</v>
      </c>
      <c r="AL2" s="114">
        <v>2019</v>
      </c>
      <c r="AM2" s="114">
        <v>2023</v>
      </c>
      <c r="AN2" s="111" t="s">
        <v>1162</v>
      </c>
      <c r="AO2"/>
      <c r="AP2"/>
      <c r="AQ2"/>
      <c r="AR2"/>
      <c r="AS2"/>
      <c r="AT2"/>
      <c r="AU2"/>
      <c r="AV2"/>
      <c r="AW2"/>
      <c r="AX2"/>
      <c r="AY2"/>
      <c r="AZ2"/>
      <c r="BA2"/>
      <c r="BB2"/>
      <c r="BC2"/>
      <c r="BD2"/>
      <c r="BE2"/>
      <c r="BF2"/>
      <c r="BG2"/>
      <c r="BH2"/>
      <c r="BI2"/>
      <c r="BJ2"/>
      <c r="BK2"/>
      <c r="BL2"/>
      <c r="BM2"/>
      <c r="BN2"/>
      <c r="BO2"/>
    </row>
    <row r="3" spans="1:1402" s="99" customFormat="1" ht="30" hidden="1" x14ac:dyDescent="0.25">
      <c r="A3" s="103">
        <f t="shared" ref="A3:A66" si="3">A2+1</f>
        <v>2</v>
      </c>
      <c r="B3" s="114" t="s">
        <v>94</v>
      </c>
      <c r="C3" s="111" t="s">
        <v>1045</v>
      </c>
      <c r="D3" s="111" t="s">
        <v>1017</v>
      </c>
      <c r="E3" s="111" t="s">
        <v>1018</v>
      </c>
      <c r="F3" s="112" t="s">
        <v>1016</v>
      </c>
      <c r="G3" s="111" t="s">
        <v>720</v>
      </c>
      <c r="H3" s="111">
        <f t="shared" si="0"/>
        <v>-200</v>
      </c>
      <c r="I3" s="112">
        <v>500000</v>
      </c>
      <c r="J3" s="112"/>
      <c r="K3" s="112">
        <f>Master20[[#This Row],[Initial Budget]]-Master20[[#This Row],[Previously Committed Funds]]</f>
        <v>500000</v>
      </c>
      <c r="L3" s="112"/>
      <c r="M3" s="112"/>
      <c r="N3" s="116">
        <v>0</v>
      </c>
      <c r="O3" s="115">
        <v>9500000</v>
      </c>
      <c r="P3" s="114">
        <v>2019</v>
      </c>
      <c r="Q3" s="111" t="s">
        <v>36</v>
      </c>
      <c r="R3" s="114">
        <f>VLOOKUP(Q3,Importance,2,FALSE)</f>
        <v>10</v>
      </c>
      <c r="S3" s="113">
        <v>1</v>
      </c>
      <c r="T3" s="114">
        <f t="shared" si="1"/>
        <v>3</v>
      </c>
      <c r="U3" s="113" t="s">
        <v>41</v>
      </c>
      <c r="V3" s="114">
        <f t="shared" si="2"/>
        <v>4</v>
      </c>
      <c r="W3" s="114" t="s">
        <v>30</v>
      </c>
      <c r="X3" s="114">
        <v>0</v>
      </c>
      <c r="Y3" s="114">
        <v>-1</v>
      </c>
      <c r="Z3" s="114">
        <v>-3</v>
      </c>
      <c r="AA3" s="114">
        <v>0</v>
      </c>
      <c r="AB3" s="114">
        <v>-2</v>
      </c>
      <c r="AC3" s="114">
        <v>-7</v>
      </c>
      <c r="AD3" s="114">
        <v>-1</v>
      </c>
      <c r="AE3" s="114"/>
      <c r="AF3" s="113" t="s">
        <v>29</v>
      </c>
      <c r="AG3" s="114">
        <f>VLOOKUP(Master20[[#This Row],[Elevated Priority]],Epriority,2,)</f>
        <v>0</v>
      </c>
      <c r="AH3" s="152">
        <f>IF(Master20[[#This Row],[Status]]="Active",Master20[[#This Row],[Status_Score]],IF(D3="","",R3+H3+T3+V3+AG3+AE3+Master20[[#This Row],[Risk Mitigation]]+Master20[[#This Row],[Master Plan]]+Master20[[#This Row],[Community Request]]+Master20[[#This Row],[Community need]]+Master20[[#This Row],[Offset Aging Inf.]]+Master20[[#This Row],[Energy Savings]]+Master20[[#This Row],[Gen Revenue]]-5))</f>
        <v>-202</v>
      </c>
      <c r="AI3" s="114" t="s">
        <v>716</v>
      </c>
      <c r="AJ3" s="114">
        <v>2021</v>
      </c>
      <c r="AK3" s="114">
        <v>2022</v>
      </c>
      <c r="AL3" s="114">
        <v>2021</v>
      </c>
      <c r="AM3" s="114">
        <v>2023</v>
      </c>
      <c r="AN3" s="111" t="s">
        <v>1163</v>
      </c>
      <c r="AO3"/>
      <c r="AP3"/>
      <c r="AQ3"/>
      <c r="AR3"/>
      <c r="AS3"/>
      <c r="AT3"/>
      <c r="AU3"/>
      <c r="AV3"/>
      <c r="AW3"/>
      <c r="AX3"/>
      <c r="AY3"/>
      <c r="AZ3"/>
      <c r="BA3"/>
      <c r="BB3"/>
      <c r="BC3"/>
      <c r="BD3"/>
      <c r="BE3"/>
      <c r="BF3"/>
      <c r="BG3"/>
      <c r="BH3"/>
      <c r="BI3"/>
      <c r="BJ3"/>
      <c r="BK3"/>
      <c r="BL3"/>
      <c r="BM3"/>
      <c r="BN3"/>
      <c r="BO3"/>
    </row>
    <row r="4" spans="1:1402" s="99" customFormat="1" ht="30" hidden="1" x14ac:dyDescent="0.25">
      <c r="A4" s="103">
        <f t="shared" si="3"/>
        <v>3</v>
      </c>
      <c r="B4" s="114" t="s">
        <v>65</v>
      </c>
      <c r="C4" s="111" t="s">
        <v>1045</v>
      </c>
      <c r="D4" s="138" t="s">
        <v>1329</v>
      </c>
      <c r="E4" s="138" t="s">
        <v>1330</v>
      </c>
      <c r="F4" s="111" t="s">
        <v>1331</v>
      </c>
      <c r="G4" s="111" t="s">
        <v>720</v>
      </c>
      <c r="H4" s="111">
        <f t="shared" si="0"/>
        <v>-200</v>
      </c>
      <c r="I4" s="112"/>
      <c r="J4" s="112"/>
      <c r="K4" s="112">
        <v>0</v>
      </c>
      <c r="L4" s="112"/>
      <c r="M4" s="112"/>
      <c r="N4" s="116">
        <v>0</v>
      </c>
      <c r="O4" s="115">
        <v>250000</v>
      </c>
      <c r="P4" s="114">
        <v>2023</v>
      </c>
      <c r="Q4" s="111" t="s">
        <v>32</v>
      </c>
      <c r="R4" s="114">
        <v>1</v>
      </c>
      <c r="S4" s="114">
        <v>1</v>
      </c>
      <c r="T4" s="114">
        <f t="shared" si="1"/>
        <v>3</v>
      </c>
      <c r="U4" s="114" t="s">
        <v>37</v>
      </c>
      <c r="V4" s="114">
        <f t="shared" si="2"/>
        <v>3</v>
      </c>
      <c r="W4" s="114" t="s">
        <v>29</v>
      </c>
      <c r="X4" s="114"/>
      <c r="Y4" s="114">
        <v>0</v>
      </c>
      <c r="Z4" s="114">
        <v>-3</v>
      </c>
      <c r="AA4" s="114">
        <v>0</v>
      </c>
      <c r="AB4" s="114">
        <v>0</v>
      </c>
      <c r="AC4" s="114">
        <v>0</v>
      </c>
      <c r="AD4" s="114">
        <v>-1</v>
      </c>
      <c r="AE4" s="114"/>
      <c r="AF4" s="113" t="s">
        <v>29</v>
      </c>
      <c r="AG4" s="114">
        <f>VLOOKUP(Master20[[#This Row],[Elevated Priority]],Epriority,2,)</f>
        <v>0</v>
      </c>
      <c r="AH4" s="152">
        <f>IF(Master20[[#This Row],[Status]]="Active",Master20[[#This Row],[Status_Score]],IF(D4="","",R4+H4+T4+V4+AG4+AE4+Master20[[#This Row],[Risk Mitigation]]+Master20[[#This Row],[Master Plan]]+Master20[[#This Row],[Community Request]]+Master20[[#This Row],[Community need]]+Master20[[#This Row],[Offset Aging Inf.]]+Master20[[#This Row],[Energy Savings]]+Master20[[#This Row],[Gen Revenue]]-5))</f>
        <v>-202</v>
      </c>
      <c r="AI4" s="166"/>
      <c r="AJ4" s="166"/>
      <c r="AK4" s="166"/>
      <c r="AL4" s="166"/>
      <c r="AM4" s="166"/>
      <c r="AN4" s="165"/>
      <c r="AO4"/>
      <c r="AP4"/>
      <c r="AQ4"/>
      <c r="AR4"/>
      <c r="AS4"/>
      <c r="AT4"/>
      <c r="AU4"/>
      <c r="AV4"/>
      <c r="AW4"/>
      <c r="AX4"/>
      <c r="AY4"/>
      <c r="AZ4"/>
      <c r="BA4"/>
      <c r="BB4"/>
      <c r="BC4"/>
      <c r="BD4"/>
      <c r="BE4"/>
      <c r="BF4"/>
      <c r="BG4"/>
      <c r="BH4"/>
      <c r="BI4"/>
      <c r="BJ4"/>
      <c r="BK4"/>
      <c r="BL4"/>
      <c r="BM4"/>
      <c r="BN4"/>
      <c r="BO4"/>
    </row>
    <row r="5" spans="1:1402" s="99" customFormat="1" ht="90" hidden="1" x14ac:dyDescent="0.25">
      <c r="A5" s="103">
        <f t="shared" si="3"/>
        <v>4</v>
      </c>
      <c r="B5" s="114" t="s">
        <v>1195</v>
      </c>
      <c r="C5" s="111" t="s">
        <v>1045</v>
      </c>
      <c r="D5" s="138" t="s">
        <v>1090</v>
      </c>
      <c r="E5" s="138" t="s">
        <v>1091</v>
      </c>
      <c r="F5" s="111" t="s">
        <v>1129</v>
      </c>
      <c r="G5" s="111" t="s">
        <v>720</v>
      </c>
      <c r="H5" s="111">
        <f t="shared" si="0"/>
        <v>-200</v>
      </c>
      <c r="I5" s="112"/>
      <c r="J5" s="112"/>
      <c r="K5" s="112">
        <f>Master20[[#This Row],[Initial Budget]]-Master20[[#This Row],[Previously Committed Funds]]</f>
        <v>0</v>
      </c>
      <c r="L5" s="112"/>
      <c r="M5" s="112">
        <v>250000</v>
      </c>
      <c r="N5" s="116">
        <v>0</v>
      </c>
      <c r="O5" s="115">
        <v>250000</v>
      </c>
      <c r="P5" s="114">
        <v>2022</v>
      </c>
      <c r="Q5" s="111" t="s">
        <v>36</v>
      </c>
      <c r="R5" s="114">
        <f t="shared" ref="R5:R16" si="4">VLOOKUP(Q5,Importance,2,FALSE)</f>
        <v>10</v>
      </c>
      <c r="S5" s="114">
        <v>2</v>
      </c>
      <c r="T5" s="114">
        <f t="shared" si="1"/>
        <v>6</v>
      </c>
      <c r="U5" s="114" t="s">
        <v>33</v>
      </c>
      <c r="V5" s="114">
        <f t="shared" si="2"/>
        <v>1</v>
      </c>
      <c r="W5" s="114" t="s">
        <v>30</v>
      </c>
      <c r="X5" s="114">
        <v>-1</v>
      </c>
      <c r="Y5" s="114">
        <v>0</v>
      </c>
      <c r="Z5" s="114">
        <v>-3</v>
      </c>
      <c r="AA5" s="114">
        <v>-3</v>
      </c>
      <c r="AB5" s="114">
        <v>-2</v>
      </c>
      <c r="AC5" s="114">
        <v>0</v>
      </c>
      <c r="AD5" s="114">
        <v>-2</v>
      </c>
      <c r="AE5" s="114"/>
      <c r="AF5" s="113" t="s">
        <v>29</v>
      </c>
      <c r="AG5" s="114">
        <f>VLOOKUP(Master20[[#This Row],[Elevated Priority]],Epriority,2,)</f>
        <v>0</v>
      </c>
      <c r="AH5" s="152">
        <f>IF(Master20[[#This Row],[Status]]="Active",Master20[[#This Row],[Status_Score]],IF(D5="","",R5+H5+T5+V5+AG5+AE5+Master20[[#This Row],[Risk Mitigation]]+Master20[[#This Row],[Master Plan]]+Master20[[#This Row],[Community Request]]+Master20[[#This Row],[Community need]]+Master20[[#This Row],[Offset Aging Inf.]]+Master20[[#This Row],[Energy Savings]]+Master20[[#This Row],[Gen Revenue]]-5))</f>
        <v>-199</v>
      </c>
      <c r="AI5" s="114"/>
      <c r="AJ5" s="114"/>
      <c r="AK5" s="114"/>
      <c r="AL5" s="114">
        <v>2021</v>
      </c>
      <c r="AM5" s="114">
        <v>2022</v>
      </c>
      <c r="AN5" s="111"/>
      <c r="AO5"/>
      <c r="AP5"/>
      <c r="AQ5"/>
      <c r="AR5"/>
      <c r="AS5"/>
      <c r="AT5"/>
      <c r="AU5"/>
      <c r="AV5"/>
      <c r="AW5"/>
      <c r="AX5"/>
      <c r="AY5"/>
      <c r="AZ5"/>
      <c r="BA5"/>
      <c r="BB5"/>
      <c r="BC5"/>
      <c r="BD5"/>
      <c r="BE5"/>
      <c r="BF5"/>
      <c r="BG5"/>
      <c r="BH5"/>
      <c r="BI5"/>
      <c r="BJ5"/>
      <c r="BK5"/>
      <c r="BL5"/>
      <c r="BM5"/>
      <c r="BN5"/>
      <c r="BO5"/>
    </row>
    <row r="6" spans="1:1402" s="99" customFormat="1" ht="60" hidden="1" x14ac:dyDescent="0.25">
      <c r="A6" s="103">
        <f t="shared" si="3"/>
        <v>5</v>
      </c>
      <c r="B6" s="114" t="s">
        <v>67</v>
      </c>
      <c r="C6" s="111" t="s">
        <v>659</v>
      </c>
      <c r="D6" s="111" t="s">
        <v>986</v>
      </c>
      <c r="E6" s="111" t="s">
        <v>987</v>
      </c>
      <c r="F6" s="111" t="s">
        <v>988</v>
      </c>
      <c r="G6" s="111" t="s">
        <v>720</v>
      </c>
      <c r="H6" s="111">
        <f t="shared" si="0"/>
        <v>-200</v>
      </c>
      <c r="I6" s="112">
        <v>250000</v>
      </c>
      <c r="J6" s="112">
        <v>4264</v>
      </c>
      <c r="K6" s="112">
        <f>Master20[[#This Row],[Initial Budget]]-Master20[[#This Row],[Previously Committed Funds]]</f>
        <v>245736</v>
      </c>
      <c r="L6" s="112"/>
      <c r="M6" s="112">
        <v>250000</v>
      </c>
      <c r="N6" s="116">
        <v>0</v>
      </c>
      <c r="O6" s="137">
        <v>750000</v>
      </c>
      <c r="P6" s="114">
        <v>2021</v>
      </c>
      <c r="Q6" s="111" t="s">
        <v>36</v>
      </c>
      <c r="R6" s="114">
        <f t="shared" si="4"/>
        <v>10</v>
      </c>
      <c r="S6" s="113">
        <v>2</v>
      </c>
      <c r="T6" s="114">
        <f t="shared" si="1"/>
        <v>6</v>
      </c>
      <c r="U6" s="113" t="s">
        <v>41</v>
      </c>
      <c r="V6" s="114">
        <f t="shared" si="2"/>
        <v>4</v>
      </c>
      <c r="W6" s="114" t="s">
        <v>30</v>
      </c>
      <c r="X6" s="8">
        <v>0</v>
      </c>
      <c r="Y6" s="8">
        <v>-1</v>
      </c>
      <c r="Z6" s="8">
        <v>-3</v>
      </c>
      <c r="AA6" s="8">
        <v>0</v>
      </c>
      <c r="AB6" s="8">
        <v>0</v>
      </c>
      <c r="AC6" s="8">
        <v>0</v>
      </c>
      <c r="AD6" s="8">
        <v>-3</v>
      </c>
      <c r="AE6" s="8"/>
      <c r="AF6" s="17" t="s">
        <v>29</v>
      </c>
      <c r="AG6" s="8">
        <f>VLOOKUP(Master20[[#This Row],[Elevated Priority]],Epriority,2,)</f>
        <v>0</v>
      </c>
      <c r="AH6" s="152">
        <f>IF(Master20[[#This Row],[Status]]="Active",Master20[[#This Row],[Status_Score]],IF(D6="","",R6+H6+T6+V6+AG6+AE6+Master20[[#This Row],[Risk Mitigation]]+Master20[[#This Row],[Master Plan]]+Master20[[#This Row],[Community Request]]+Master20[[#This Row],[Community need]]+Master20[[#This Row],[Offset Aging Inf.]]+Master20[[#This Row],[Energy Savings]]+Master20[[#This Row],[Gen Revenue]]-5))</f>
        <v>-192</v>
      </c>
      <c r="AI6" s="8" t="s">
        <v>758</v>
      </c>
      <c r="AJ6" s="114">
        <v>2021</v>
      </c>
      <c r="AK6" s="114">
        <v>2022</v>
      </c>
      <c r="AL6" s="114">
        <v>2021</v>
      </c>
      <c r="AM6" s="114">
        <v>2022</v>
      </c>
      <c r="AN6" s="111" t="s">
        <v>1169</v>
      </c>
      <c r="AO6"/>
      <c r="AP6"/>
      <c r="AQ6"/>
      <c r="AR6"/>
      <c r="AS6"/>
      <c r="AT6"/>
      <c r="AU6"/>
      <c r="AV6"/>
      <c r="AW6"/>
      <c r="AX6"/>
      <c r="AY6"/>
      <c r="AZ6"/>
      <c r="BA6"/>
      <c r="BB6"/>
      <c r="BC6"/>
      <c r="BD6"/>
      <c r="BE6"/>
      <c r="BF6"/>
      <c r="BG6"/>
      <c r="BH6"/>
      <c r="BI6"/>
      <c r="BJ6"/>
      <c r="BK6"/>
      <c r="BL6"/>
      <c r="BM6"/>
      <c r="BN6"/>
      <c r="BO6"/>
    </row>
    <row r="7" spans="1:1402" s="99" customFormat="1" ht="84.75" hidden="1" customHeight="1" x14ac:dyDescent="0.25">
      <c r="A7" s="103">
        <f t="shared" si="3"/>
        <v>6</v>
      </c>
      <c r="B7" s="114" t="s">
        <v>1195</v>
      </c>
      <c r="C7" s="111" t="s">
        <v>1045</v>
      </c>
      <c r="D7" s="111" t="s">
        <v>313</v>
      </c>
      <c r="E7" s="111" t="s">
        <v>890</v>
      </c>
      <c r="F7" s="111" t="s">
        <v>315</v>
      </c>
      <c r="G7" s="111" t="s">
        <v>720</v>
      </c>
      <c r="H7" s="111">
        <f t="shared" si="0"/>
        <v>-200</v>
      </c>
      <c r="I7" s="112">
        <v>12000000</v>
      </c>
      <c r="J7" s="112">
        <v>622279</v>
      </c>
      <c r="K7" s="112">
        <f>Master20[[#This Row],[Initial Budget]]-Master20[[#This Row],[Previously Committed Funds]]</f>
        <v>11377721</v>
      </c>
      <c r="L7" s="112"/>
      <c r="M7" s="112">
        <v>4000000</v>
      </c>
      <c r="N7" s="116">
        <v>0</v>
      </c>
      <c r="O7" s="115">
        <v>17000000</v>
      </c>
      <c r="P7" s="114">
        <v>2018</v>
      </c>
      <c r="Q7" s="111" t="s">
        <v>687</v>
      </c>
      <c r="R7" s="114">
        <f t="shared" si="4"/>
        <v>30</v>
      </c>
      <c r="S7" s="114">
        <v>1</v>
      </c>
      <c r="T7" s="114">
        <f t="shared" si="1"/>
        <v>3</v>
      </c>
      <c r="U7" s="114" t="s">
        <v>41</v>
      </c>
      <c r="V7" s="114">
        <f t="shared" si="2"/>
        <v>4</v>
      </c>
      <c r="W7" s="114" t="s">
        <v>34</v>
      </c>
      <c r="X7" s="114">
        <v>-5</v>
      </c>
      <c r="Y7" s="114">
        <v>-3</v>
      </c>
      <c r="Z7" s="114">
        <v>-3</v>
      </c>
      <c r="AA7" s="114">
        <v>-3</v>
      </c>
      <c r="AB7" s="114">
        <v>0</v>
      </c>
      <c r="AC7" s="114">
        <v>-5</v>
      </c>
      <c r="AD7" s="114">
        <v>-3</v>
      </c>
      <c r="AE7" s="114"/>
      <c r="AF7" s="113" t="s">
        <v>29</v>
      </c>
      <c r="AG7" s="114">
        <f>VLOOKUP(Master20[[#This Row],[Elevated Priority]],Epriority,2,)</f>
        <v>0</v>
      </c>
      <c r="AH7" s="152">
        <f>IF(Master20[[#This Row],[Status]]="Active",Master20[[#This Row],[Status_Score]],IF(D7="","",R7+H7+T7+V7+AG7+AE7+Master20[[#This Row],[Risk Mitigation]]+Master20[[#This Row],[Master Plan]]+Master20[[#This Row],[Community Request]]+Master20[[#This Row],[Community need]]+Master20[[#This Row],[Offset Aging Inf.]]+Master20[[#This Row],[Energy Savings]]+Master20[[#This Row],[Gen Revenue]]-5))</f>
        <v>-190</v>
      </c>
      <c r="AI7" s="114" t="s">
        <v>754</v>
      </c>
      <c r="AJ7" s="114">
        <v>2020</v>
      </c>
      <c r="AK7" s="114">
        <v>2023</v>
      </c>
      <c r="AL7" s="114">
        <v>2020</v>
      </c>
      <c r="AM7" s="114">
        <v>2023</v>
      </c>
      <c r="AN7" s="111" t="s">
        <v>1170</v>
      </c>
      <c r="AO7"/>
      <c r="AP7"/>
      <c r="AQ7"/>
      <c r="AR7"/>
      <c r="AS7"/>
      <c r="AT7"/>
      <c r="AU7"/>
      <c r="AV7"/>
      <c r="AW7"/>
      <c r="AX7"/>
      <c r="AY7"/>
      <c r="AZ7"/>
      <c r="BA7"/>
      <c r="BB7"/>
      <c r="BC7"/>
      <c r="BD7"/>
      <c r="BE7"/>
      <c r="BF7"/>
      <c r="BG7"/>
      <c r="BH7"/>
      <c r="BI7"/>
      <c r="BJ7"/>
      <c r="BK7"/>
      <c r="BL7"/>
      <c r="BM7"/>
      <c r="BN7"/>
      <c r="BO7"/>
    </row>
    <row r="8" spans="1:1402" s="99" customFormat="1" ht="45" hidden="1" x14ac:dyDescent="0.25">
      <c r="A8" s="103">
        <f t="shared" si="3"/>
        <v>7</v>
      </c>
      <c r="B8" s="114" t="s">
        <v>65</v>
      </c>
      <c r="C8" s="111" t="s">
        <v>1045</v>
      </c>
      <c r="D8" s="187" t="s">
        <v>966</v>
      </c>
      <c r="E8" s="111" t="s">
        <v>967</v>
      </c>
      <c r="F8" s="111" t="s">
        <v>968</v>
      </c>
      <c r="G8" s="111" t="s">
        <v>720</v>
      </c>
      <c r="H8" s="111">
        <f t="shared" si="0"/>
        <v>-200</v>
      </c>
      <c r="I8" s="112"/>
      <c r="J8" s="112"/>
      <c r="K8" s="112">
        <f>Master20[[#This Row],[Initial Budget]]-Master20[[#This Row],[Previously Committed Funds]]</f>
        <v>0</v>
      </c>
      <c r="L8" s="112">
        <v>100000</v>
      </c>
      <c r="M8" s="112">
        <v>250000</v>
      </c>
      <c r="N8" s="116">
        <v>0</v>
      </c>
      <c r="O8" s="137">
        <v>350000</v>
      </c>
      <c r="P8" s="114">
        <v>2020</v>
      </c>
      <c r="Q8" s="111" t="s">
        <v>36</v>
      </c>
      <c r="R8" s="114">
        <f t="shared" si="4"/>
        <v>10</v>
      </c>
      <c r="S8" s="114">
        <v>1</v>
      </c>
      <c r="T8" s="114">
        <f t="shared" si="1"/>
        <v>3</v>
      </c>
      <c r="U8" s="113" t="s">
        <v>41</v>
      </c>
      <c r="V8" s="114">
        <f t="shared" si="2"/>
        <v>4</v>
      </c>
      <c r="W8" s="114" t="s">
        <v>30</v>
      </c>
      <c r="X8" s="114">
        <v>0</v>
      </c>
      <c r="Y8" s="114">
        <v>0</v>
      </c>
      <c r="Z8" s="114">
        <v>0</v>
      </c>
      <c r="AA8" s="114">
        <v>0</v>
      </c>
      <c r="AB8" s="114">
        <v>0</v>
      </c>
      <c r="AC8" s="114">
        <v>0</v>
      </c>
      <c r="AD8" s="114">
        <v>0</v>
      </c>
      <c r="AE8" s="114"/>
      <c r="AF8" s="113" t="s">
        <v>29</v>
      </c>
      <c r="AG8" s="114">
        <f>VLOOKUP(Master20[[#This Row],[Elevated Priority]],Epriority,2,)</f>
        <v>0</v>
      </c>
      <c r="AH8" s="152">
        <f>IF(Master20[[#This Row],[Status]]="Active",Master20[[#This Row],[Status_Score]],IF(D8="","",R8+H8+T8+V8+AG8+AE8+Master20[[#This Row],[Risk Mitigation]]+Master20[[#This Row],[Master Plan]]+Master20[[#This Row],[Community Request]]+Master20[[#This Row],[Community need]]+Master20[[#This Row],[Offset Aging Inf.]]+Master20[[#This Row],[Energy Savings]]+Master20[[#This Row],[Gen Revenue]]-5))</f>
        <v>-188</v>
      </c>
      <c r="AI8" s="114" t="s">
        <v>1044</v>
      </c>
      <c r="AJ8" s="114">
        <v>2021</v>
      </c>
      <c r="AK8" s="114">
        <v>2022</v>
      </c>
      <c r="AL8" s="114">
        <v>2022</v>
      </c>
      <c r="AM8" s="114">
        <v>2022</v>
      </c>
      <c r="AN8" s="111"/>
      <c r="AO8"/>
      <c r="AP8"/>
      <c r="AQ8"/>
      <c r="AR8"/>
      <c r="AS8"/>
      <c r="AT8"/>
      <c r="AU8"/>
      <c r="AV8"/>
      <c r="AW8"/>
      <c r="AX8"/>
      <c r="AY8"/>
      <c r="AZ8"/>
      <c r="BA8"/>
      <c r="BB8"/>
      <c r="BC8"/>
      <c r="BD8"/>
      <c r="BE8"/>
      <c r="BF8"/>
      <c r="BG8"/>
      <c r="BH8"/>
      <c r="BI8"/>
      <c r="BJ8"/>
      <c r="BK8"/>
      <c r="BL8"/>
      <c r="BM8"/>
      <c r="BN8"/>
      <c r="BO8"/>
    </row>
    <row r="9" spans="1:1402" s="99" customFormat="1" ht="60" hidden="1" x14ac:dyDescent="0.25">
      <c r="A9" s="103">
        <f t="shared" si="3"/>
        <v>8</v>
      </c>
      <c r="B9" s="114" t="s">
        <v>1191</v>
      </c>
      <c r="C9" s="111" t="s">
        <v>1045</v>
      </c>
      <c r="D9" s="111" t="s">
        <v>185</v>
      </c>
      <c r="E9" s="111" t="s">
        <v>1027</v>
      </c>
      <c r="F9" s="111" t="s">
        <v>1028</v>
      </c>
      <c r="G9" s="111" t="s">
        <v>720</v>
      </c>
      <c r="H9" s="111">
        <f t="shared" si="0"/>
        <v>-200</v>
      </c>
      <c r="I9" s="112">
        <v>250000</v>
      </c>
      <c r="J9" s="112">
        <v>33968</v>
      </c>
      <c r="K9" s="112">
        <f>Master20[[#This Row],[Initial Budget]]-Master20[[#This Row],[Previously Committed Funds]]</f>
        <v>216032</v>
      </c>
      <c r="L9" s="112">
        <v>0</v>
      </c>
      <c r="M9" s="112">
        <v>0</v>
      </c>
      <c r="N9" s="116">
        <v>0</v>
      </c>
      <c r="O9" s="112">
        <v>250000</v>
      </c>
      <c r="P9" s="114">
        <v>2018</v>
      </c>
      <c r="Q9" s="111" t="s">
        <v>688</v>
      </c>
      <c r="R9" s="114">
        <f t="shared" si="4"/>
        <v>20</v>
      </c>
      <c r="S9" s="114">
        <v>1</v>
      </c>
      <c r="T9" s="114">
        <f t="shared" si="1"/>
        <v>3</v>
      </c>
      <c r="U9" s="114" t="s">
        <v>37</v>
      </c>
      <c r="V9" s="114">
        <f t="shared" si="2"/>
        <v>3</v>
      </c>
      <c r="W9" s="114" t="s">
        <v>30</v>
      </c>
      <c r="X9" s="8">
        <v>0</v>
      </c>
      <c r="Y9" s="114">
        <v>0</v>
      </c>
      <c r="Z9" s="114">
        <v>0</v>
      </c>
      <c r="AA9" s="114">
        <v>0</v>
      </c>
      <c r="AB9" s="114">
        <v>0</v>
      </c>
      <c r="AC9" s="114">
        <v>0</v>
      </c>
      <c r="AD9" s="114">
        <v>0</v>
      </c>
      <c r="AE9" s="114"/>
      <c r="AF9" s="113" t="s">
        <v>29</v>
      </c>
      <c r="AG9" s="114">
        <f>VLOOKUP(Master20[[#This Row],[Elevated Priority]],Epriority,2,)</f>
        <v>0</v>
      </c>
      <c r="AH9" s="152">
        <f>IF(Master20[[#This Row],[Status]]="Active",Master20[[#This Row],[Status_Score]],IF(D9="","",R9+H9+T9+V9+AG9+AE9+Master20[[#This Row],[Risk Mitigation]]+Master20[[#This Row],[Master Plan]]+Master20[[#This Row],[Community Request]]+Master20[[#This Row],[Community need]]+Master20[[#This Row],[Offset Aging Inf.]]+Master20[[#This Row],[Energy Savings]]+Master20[[#This Row],[Gen Revenue]]-5))</f>
        <v>-179</v>
      </c>
      <c r="AI9" s="114" t="s">
        <v>718</v>
      </c>
      <c r="AJ9" s="114">
        <v>2017</v>
      </c>
      <c r="AK9" s="114">
        <v>2020</v>
      </c>
      <c r="AL9" s="114">
        <v>2017</v>
      </c>
      <c r="AM9" s="114">
        <v>2022</v>
      </c>
      <c r="AN9" s="111" t="s">
        <v>710</v>
      </c>
      <c r="AO9"/>
      <c r="AP9"/>
      <c r="AQ9"/>
      <c r="AR9"/>
      <c r="AS9"/>
      <c r="AT9"/>
      <c r="AU9"/>
      <c r="AV9"/>
      <c r="AW9"/>
      <c r="AX9"/>
      <c r="AY9"/>
      <c r="AZ9"/>
      <c r="BA9"/>
      <c r="BB9"/>
      <c r="BC9"/>
      <c r="BD9"/>
      <c r="BE9"/>
      <c r="BF9"/>
      <c r="BG9"/>
      <c r="BH9"/>
      <c r="BI9"/>
      <c r="BJ9"/>
      <c r="BK9"/>
      <c r="BL9"/>
      <c r="BM9"/>
      <c r="BN9"/>
      <c r="BO9"/>
    </row>
    <row r="10" spans="1:1402" s="99" customFormat="1" ht="45" hidden="1" x14ac:dyDescent="0.25">
      <c r="A10" s="103">
        <f t="shared" si="3"/>
        <v>9</v>
      </c>
      <c r="B10" s="114" t="s">
        <v>79</v>
      </c>
      <c r="C10" s="176" t="s">
        <v>1045</v>
      </c>
      <c r="D10" s="176" t="s">
        <v>837</v>
      </c>
      <c r="E10" s="111" t="s">
        <v>784</v>
      </c>
      <c r="F10" s="111" t="s">
        <v>805</v>
      </c>
      <c r="G10" s="111" t="s">
        <v>720</v>
      </c>
      <c r="H10" s="111">
        <f t="shared" si="0"/>
        <v>-200</v>
      </c>
      <c r="I10" s="112"/>
      <c r="J10" s="112"/>
      <c r="K10" s="112">
        <f>Master20[[#This Row],[Initial Budget]]-Master20[[#This Row],[Previously Committed Funds]]</f>
        <v>0</v>
      </c>
      <c r="L10" s="112">
        <v>50000</v>
      </c>
      <c r="M10" s="112">
        <v>200000</v>
      </c>
      <c r="N10" s="116">
        <v>0</v>
      </c>
      <c r="O10" s="115">
        <v>250000</v>
      </c>
      <c r="P10" s="114">
        <v>2020</v>
      </c>
      <c r="Q10" s="111" t="s">
        <v>688</v>
      </c>
      <c r="R10" s="114">
        <f t="shared" si="4"/>
        <v>20</v>
      </c>
      <c r="S10" s="114">
        <v>2</v>
      </c>
      <c r="T10" s="114">
        <f t="shared" si="1"/>
        <v>6</v>
      </c>
      <c r="U10" s="114" t="s">
        <v>33</v>
      </c>
      <c r="V10" s="114">
        <f t="shared" si="2"/>
        <v>1</v>
      </c>
      <c r="W10" s="114" t="s">
        <v>30</v>
      </c>
      <c r="X10" s="114">
        <v>0</v>
      </c>
      <c r="Y10" s="114">
        <v>0</v>
      </c>
      <c r="Z10" s="114">
        <v>0</v>
      </c>
      <c r="AA10" s="114">
        <v>0</v>
      </c>
      <c r="AB10" s="114">
        <v>0</v>
      </c>
      <c r="AC10" s="114">
        <v>0</v>
      </c>
      <c r="AD10" s="114">
        <v>0</v>
      </c>
      <c r="AE10" s="114"/>
      <c r="AF10" s="113" t="s">
        <v>29</v>
      </c>
      <c r="AG10" s="114">
        <f>VLOOKUP(Master20[[#This Row],[Elevated Priority]],Epriority,2,)</f>
        <v>0</v>
      </c>
      <c r="AH10" s="152">
        <f>IF(Master20[[#This Row],[Status]]="Active",Master20[[#This Row],[Status_Score]],IF(D10="","",R10+H10+T10+V10+AG10+AE10+Master20[[#This Row],[Risk Mitigation]]+Master20[[#This Row],[Master Plan]]+Master20[[#This Row],[Community Request]]+Master20[[#This Row],[Community need]]+Master20[[#This Row],[Offset Aging Inf.]]+Master20[[#This Row],[Energy Savings]]+Master20[[#This Row],[Gen Revenue]]-5))</f>
        <v>-178</v>
      </c>
      <c r="AI10" s="114" t="s">
        <v>758</v>
      </c>
      <c r="AJ10" s="114">
        <v>2020</v>
      </c>
      <c r="AK10" s="114">
        <v>2021</v>
      </c>
      <c r="AL10" s="114">
        <v>2020</v>
      </c>
      <c r="AM10" s="114">
        <v>2022</v>
      </c>
      <c r="AN10" s="111" t="s">
        <v>1183</v>
      </c>
      <c r="AO10"/>
      <c r="AP10"/>
      <c r="AQ10"/>
      <c r="AR10"/>
      <c r="AS10"/>
      <c r="AT10"/>
      <c r="AU10"/>
      <c r="AV10"/>
      <c r="AW10"/>
      <c r="AX10"/>
      <c r="AY10"/>
      <c r="AZ10"/>
      <c r="BA10"/>
      <c r="BB10"/>
      <c r="BC10"/>
      <c r="BD10"/>
      <c r="BE10"/>
      <c r="BF10"/>
      <c r="BG10"/>
      <c r="BH10"/>
      <c r="BI10"/>
      <c r="BJ10"/>
      <c r="BK10"/>
      <c r="BL10"/>
      <c r="BM10"/>
      <c r="BN10"/>
      <c r="BO10"/>
    </row>
    <row r="11" spans="1:1402" s="99" customFormat="1" ht="30" hidden="1" x14ac:dyDescent="0.25">
      <c r="A11" s="103">
        <f t="shared" si="3"/>
        <v>10</v>
      </c>
      <c r="B11" s="114" t="s">
        <v>1206</v>
      </c>
      <c r="C11" s="111" t="s">
        <v>1196</v>
      </c>
      <c r="D11" s="187" t="s">
        <v>1135</v>
      </c>
      <c r="E11" s="176" t="s">
        <v>1127</v>
      </c>
      <c r="F11" s="111"/>
      <c r="G11" s="111" t="s">
        <v>719</v>
      </c>
      <c r="H11" s="111">
        <f t="shared" si="0"/>
        <v>-150</v>
      </c>
      <c r="I11" s="112"/>
      <c r="J11" s="112"/>
      <c r="K11" s="112">
        <f>Master20[[#This Row],[Initial Budget]]-Master20[[#This Row],[Previously Committed Funds]]</f>
        <v>0</v>
      </c>
      <c r="L11" s="112"/>
      <c r="M11" s="112"/>
      <c r="N11" s="116">
        <v>0</v>
      </c>
      <c r="O11" s="115">
        <v>15000000</v>
      </c>
      <c r="P11" s="114">
        <v>2019</v>
      </c>
      <c r="Q11" s="111" t="s">
        <v>46</v>
      </c>
      <c r="R11" s="114">
        <f t="shared" si="4"/>
        <v>50</v>
      </c>
      <c r="S11" s="114">
        <v>3</v>
      </c>
      <c r="T11" s="114">
        <f t="shared" si="1"/>
        <v>9</v>
      </c>
      <c r="U11" s="114" t="s">
        <v>43</v>
      </c>
      <c r="V11" s="114"/>
      <c r="W11" s="114" t="s">
        <v>34</v>
      </c>
      <c r="X11" s="114">
        <v>-9</v>
      </c>
      <c r="Y11" s="114">
        <v>0</v>
      </c>
      <c r="Z11" s="114">
        <v>-3</v>
      </c>
      <c r="AA11" s="114">
        <v>-3</v>
      </c>
      <c r="AB11" s="114">
        <v>-2</v>
      </c>
      <c r="AC11" s="114">
        <v>-9</v>
      </c>
      <c r="AD11" s="114">
        <v>-2</v>
      </c>
      <c r="AE11" s="114"/>
      <c r="AF11" s="113" t="s">
        <v>35</v>
      </c>
      <c r="AG11" s="114">
        <f>VLOOKUP(Master20[[#This Row],[Elevated Priority]],Epriority,2,)</f>
        <v>-50</v>
      </c>
      <c r="AH11" s="152">
        <f>IF(Master20[[#This Row],[Status]]="Active",Master20[[#This Row],[Status_Score]],IF(D11="","",R11+H11+T11+V11+AG11+AE11+Master20[[#This Row],[Risk Mitigation]]+Master20[[#This Row],[Master Plan]]+Master20[[#This Row],[Community Request]]+Master20[[#This Row],[Community need]]+Master20[[#This Row],[Offset Aging Inf.]]+Master20[[#This Row],[Energy Savings]]+Master20[[#This Row],[Gen Revenue]]-5))</f>
        <v>-174</v>
      </c>
      <c r="AI11" s="114"/>
      <c r="AJ11" s="114">
        <v>2021</v>
      </c>
      <c r="AK11" s="114">
        <v>2023</v>
      </c>
      <c r="AL11" s="114">
        <v>2022</v>
      </c>
      <c r="AM11" s="114">
        <v>2023</v>
      </c>
      <c r="AN11" s="111" t="s">
        <v>1148</v>
      </c>
      <c r="AO11"/>
      <c r="AP11"/>
      <c r="AQ11"/>
      <c r="AR11"/>
      <c r="AS11"/>
      <c r="AT11"/>
      <c r="AU11"/>
      <c r="AV11"/>
      <c r="AW11"/>
      <c r="AX11"/>
      <c r="AY11"/>
      <c r="AZ11"/>
      <c r="BA11"/>
      <c r="BB11"/>
      <c r="BC11"/>
      <c r="BD11"/>
      <c r="BE11"/>
      <c r="BF11"/>
      <c r="BG11"/>
      <c r="BH11"/>
      <c r="BI11"/>
      <c r="BJ11"/>
      <c r="BK11"/>
      <c r="BL11"/>
      <c r="BM11"/>
      <c r="BN11"/>
      <c r="BO11"/>
    </row>
    <row r="12" spans="1:1402" ht="90" hidden="1" x14ac:dyDescent="0.25">
      <c r="A12" s="103">
        <f t="shared" si="3"/>
        <v>11</v>
      </c>
      <c r="B12" s="114" t="s">
        <v>1270</v>
      </c>
      <c r="C12" s="111" t="s">
        <v>79</v>
      </c>
      <c r="D12" s="187" t="s">
        <v>1061</v>
      </c>
      <c r="E12" s="111" t="s">
        <v>1062</v>
      </c>
      <c r="F12" s="111" t="s">
        <v>1063</v>
      </c>
      <c r="G12" s="111" t="s">
        <v>719</v>
      </c>
      <c r="H12" s="111">
        <f t="shared" si="0"/>
        <v>-150</v>
      </c>
      <c r="I12" s="112"/>
      <c r="J12" s="112"/>
      <c r="K12" s="112">
        <f>Master20[[#This Row],[Initial Budget]]-Master20[[#This Row],[Previously Committed Funds]]</f>
        <v>0</v>
      </c>
      <c r="L12" s="112">
        <v>25000</v>
      </c>
      <c r="M12" s="112">
        <v>50000</v>
      </c>
      <c r="N12" s="116">
        <v>0</v>
      </c>
      <c r="O12" s="115">
        <v>75000</v>
      </c>
      <c r="P12" s="114">
        <v>2022</v>
      </c>
      <c r="Q12" s="111" t="s">
        <v>1128</v>
      </c>
      <c r="R12" s="114">
        <f t="shared" si="4"/>
        <v>5</v>
      </c>
      <c r="S12" s="114">
        <v>1</v>
      </c>
      <c r="T12" s="114">
        <f t="shared" si="1"/>
        <v>3</v>
      </c>
      <c r="U12" s="114" t="s">
        <v>37</v>
      </c>
      <c r="V12" s="114">
        <f t="shared" ref="V12:V26" si="5">VLOOKUP(U12,Urgency,2,FALSE)</f>
        <v>3</v>
      </c>
      <c r="W12" s="114" t="s">
        <v>30</v>
      </c>
      <c r="X12" s="114">
        <v>0</v>
      </c>
      <c r="Y12" s="114">
        <v>0</v>
      </c>
      <c r="Z12" s="114">
        <v>-3</v>
      </c>
      <c r="AA12" s="114">
        <v>-3</v>
      </c>
      <c r="AB12" s="114">
        <v>0</v>
      </c>
      <c r="AC12" s="114">
        <v>-3</v>
      </c>
      <c r="AD12" s="114">
        <v>-2</v>
      </c>
      <c r="AE12" s="114"/>
      <c r="AF12" s="113" t="s">
        <v>29</v>
      </c>
      <c r="AG12" s="114">
        <f>VLOOKUP(Master20[[#This Row],[Elevated Priority]],Epriority,2,)</f>
        <v>0</v>
      </c>
      <c r="AH12" s="152">
        <f>IF(Master20[[#This Row],[Status]]="Active",Master20[[#This Row],[Status_Score]],IF(D12="","",R12+H12+T12+V12+AG12+AE12+Master20[[#This Row],[Risk Mitigation]]+Master20[[#This Row],[Master Plan]]+Master20[[#This Row],[Community Request]]+Master20[[#This Row],[Community need]]+Master20[[#This Row],[Offset Aging Inf.]]+Master20[[#This Row],[Energy Savings]]+Master20[[#This Row],[Gen Revenue]]-5))</f>
        <v>-155</v>
      </c>
      <c r="AI12" s="114"/>
      <c r="AJ12" s="114"/>
      <c r="AK12" s="114"/>
      <c r="AL12" s="114">
        <v>2022</v>
      </c>
      <c r="AM12" s="114">
        <v>2023</v>
      </c>
      <c r="AN12" s="111" t="s">
        <v>1185</v>
      </c>
    </row>
    <row r="13" spans="1:1402" s="99" customFormat="1" ht="75" hidden="1" x14ac:dyDescent="0.25">
      <c r="A13" s="103">
        <f t="shared" si="3"/>
        <v>12</v>
      </c>
      <c r="B13" s="114" t="s">
        <v>67</v>
      </c>
      <c r="C13" s="120" t="s">
        <v>73</v>
      </c>
      <c r="D13" s="187" t="s">
        <v>1100</v>
      </c>
      <c r="E13" s="111" t="s">
        <v>1101</v>
      </c>
      <c r="F13" s="111" t="s">
        <v>1102</v>
      </c>
      <c r="G13" s="111" t="s">
        <v>719</v>
      </c>
      <c r="H13" s="111">
        <f t="shared" si="0"/>
        <v>-150</v>
      </c>
      <c r="I13" s="121"/>
      <c r="J13" s="121"/>
      <c r="K13" s="112">
        <f>Master20[[#This Row],[Initial Budget]]-Master20[[#This Row],[Previously Committed Funds]]</f>
        <v>0</v>
      </c>
      <c r="L13" s="121">
        <v>75000</v>
      </c>
      <c r="M13" s="122">
        <v>275000</v>
      </c>
      <c r="N13" s="116">
        <v>0</v>
      </c>
      <c r="O13" s="115">
        <v>350000</v>
      </c>
      <c r="P13" s="114">
        <v>2022</v>
      </c>
      <c r="Q13" s="111" t="s">
        <v>36</v>
      </c>
      <c r="R13" s="114">
        <f t="shared" si="4"/>
        <v>10</v>
      </c>
      <c r="S13" s="114">
        <v>1</v>
      </c>
      <c r="T13" s="114">
        <f t="shared" si="1"/>
        <v>3</v>
      </c>
      <c r="U13" s="114" t="s">
        <v>33</v>
      </c>
      <c r="V13" s="114">
        <f t="shared" si="5"/>
        <v>1</v>
      </c>
      <c r="W13" s="114" t="s">
        <v>30</v>
      </c>
      <c r="X13" s="114">
        <v>-1</v>
      </c>
      <c r="Y13" s="114">
        <v>0</v>
      </c>
      <c r="Z13" s="114">
        <v>-3</v>
      </c>
      <c r="AA13" s="114">
        <v>0</v>
      </c>
      <c r="AB13" s="114">
        <v>0</v>
      </c>
      <c r="AC13" s="114">
        <v>0</v>
      </c>
      <c r="AD13" s="114">
        <v>-3</v>
      </c>
      <c r="AE13" s="114"/>
      <c r="AF13" s="113" t="s">
        <v>29</v>
      </c>
      <c r="AG13" s="114">
        <f>VLOOKUP(Master20[[#This Row],[Elevated Priority]],Epriority,2,)</f>
        <v>0</v>
      </c>
      <c r="AH13" s="152">
        <f>IF(Master20[[#This Row],[Status]]="Active",Master20[[#This Row],[Status_Score]],IF(D13="","",R13+H13+T13+V13+AG13+AE13+Master20[[#This Row],[Risk Mitigation]]+Master20[[#This Row],[Master Plan]]+Master20[[#This Row],[Community Request]]+Master20[[#This Row],[Community need]]+Master20[[#This Row],[Offset Aging Inf.]]+Master20[[#This Row],[Energy Savings]]+Master20[[#This Row],[Gen Revenue]]-5))</f>
        <v>-148</v>
      </c>
      <c r="AI13" s="114"/>
      <c r="AJ13" s="114"/>
      <c r="AK13" s="114"/>
      <c r="AL13" s="114">
        <v>2022</v>
      </c>
      <c r="AM13" s="114">
        <v>2023</v>
      </c>
      <c r="AN13" s="111"/>
      <c r="AO13"/>
      <c r="AP13"/>
      <c r="AQ13"/>
      <c r="AR13"/>
      <c r="AS13"/>
      <c r="AT13"/>
      <c r="AU13"/>
      <c r="AV13"/>
      <c r="AW13"/>
      <c r="AX13"/>
      <c r="AY13"/>
      <c r="AZ13"/>
      <c r="BA13"/>
      <c r="BB13"/>
      <c r="BC13"/>
      <c r="BD13"/>
      <c r="BE13"/>
      <c r="BF13"/>
      <c r="BG13"/>
      <c r="BH13"/>
      <c r="BI13"/>
      <c r="BJ13"/>
      <c r="BK13"/>
      <c r="BL13"/>
      <c r="BM13"/>
      <c r="BN13"/>
      <c r="BO13"/>
    </row>
    <row r="14" spans="1:1402" s="99" customFormat="1" ht="45" hidden="1" x14ac:dyDescent="0.25">
      <c r="A14" s="103">
        <f t="shared" si="3"/>
        <v>13</v>
      </c>
      <c r="B14" s="114" t="s">
        <v>1203</v>
      </c>
      <c r="C14" s="120" t="s">
        <v>1194</v>
      </c>
      <c r="D14" s="138" t="s">
        <v>827</v>
      </c>
      <c r="E14" s="138" t="s">
        <v>828</v>
      </c>
      <c r="F14" s="139" t="s">
        <v>861</v>
      </c>
      <c r="G14" s="111" t="s">
        <v>719</v>
      </c>
      <c r="H14" s="111">
        <f t="shared" si="0"/>
        <v>-150</v>
      </c>
      <c r="I14" s="121">
        <v>604463</v>
      </c>
      <c r="J14" s="121">
        <v>90087</v>
      </c>
      <c r="K14" s="112">
        <f>Master20[[#This Row],[Initial Budget]]-Master20[[#This Row],[Previously Committed Funds]]</f>
        <v>514376</v>
      </c>
      <c r="L14" s="121"/>
      <c r="M14" s="122">
        <v>250000</v>
      </c>
      <c r="N14" s="116">
        <v>0</v>
      </c>
      <c r="O14" s="115">
        <v>2000000</v>
      </c>
      <c r="P14" s="114">
        <v>2020</v>
      </c>
      <c r="Q14" s="111" t="s">
        <v>32</v>
      </c>
      <c r="R14" s="114">
        <f t="shared" si="4"/>
        <v>1</v>
      </c>
      <c r="S14" s="114">
        <v>1</v>
      </c>
      <c r="T14" s="114">
        <f t="shared" si="1"/>
        <v>3</v>
      </c>
      <c r="U14" s="114" t="s">
        <v>41</v>
      </c>
      <c r="V14" s="114">
        <f t="shared" si="5"/>
        <v>4</v>
      </c>
      <c r="W14" s="114" t="s">
        <v>30</v>
      </c>
      <c r="X14" s="114">
        <v>0</v>
      </c>
      <c r="Y14" s="114">
        <v>0</v>
      </c>
      <c r="Z14" s="114">
        <v>0</v>
      </c>
      <c r="AA14" s="114">
        <v>0</v>
      </c>
      <c r="AB14" s="114">
        <v>0</v>
      </c>
      <c r="AC14" s="114">
        <v>0</v>
      </c>
      <c r="AD14" s="114">
        <v>0</v>
      </c>
      <c r="AE14" s="114"/>
      <c r="AF14" s="113" t="s">
        <v>29</v>
      </c>
      <c r="AG14" s="114">
        <f>VLOOKUP(Master20[[#This Row],[Elevated Priority]],Epriority,2,)</f>
        <v>0</v>
      </c>
      <c r="AH14" s="152">
        <f>IF(Master20[[#This Row],[Status]]="Active",Master20[[#This Row],[Status_Score]],IF(D14="","",R14+H14+T14+V14+AG14+AE14+Master20[[#This Row],[Risk Mitigation]]+Master20[[#This Row],[Master Plan]]+Master20[[#This Row],[Community Request]]+Master20[[#This Row],[Community need]]+Master20[[#This Row],[Offset Aging Inf.]]+Master20[[#This Row],[Energy Savings]]+Master20[[#This Row],[Gen Revenue]]-5))</f>
        <v>-147</v>
      </c>
      <c r="AI14" s="114" t="s">
        <v>1041</v>
      </c>
      <c r="AJ14" s="114">
        <v>2020</v>
      </c>
      <c r="AK14" s="114">
        <v>2021</v>
      </c>
      <c r="AL14" s="114">
        <v>2020</v>
      </c>
      <c r="AM14" s="114">
        <v>2022</v>
      </c>
      <c r="AN14" s="111" t="s">
        <v>1165</v>
      </c>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row>
    <row r="15" spans="1:1402" s="99" customFormat="1" ht="88.5" hidden="1" customHeight="1" x14ac:dyDescent="0.25">
      <c r="A15" s="103">
        <f t="shared" si="3"/>
        <v>14</v>
      </c>
      <c r="B15" s="193" t="s">
        <v>67</v>
      </c>
      <c r="C15" s="175" t="s">
        <v>1045</v>
      </c>
      <c r="D15" s="111" t="s">
        <v>865</v>
      </c>
      <c r="E15" s="111" t="s">
        <v>866</v>
      </c>
      <c r="F15" s="111" t="s">
        <v>998</v>
      </c>
      <c r="G15" s="111" t="s">
        <v>719</v>
      </c>
      <c r="H15" s="111">
        <f t="shared" si="0"/>
        <v>-150</v>
      </c>
      <c r="I15" s="112"/>
      <c r="J15" s="112"/>
      <c r="K15" s="112">
        <f>Master20[[#This Row],[Initial Budget]]-Master20[[#This Row],[Previously Committed Funds]]</f>
        <v>0</v>
      </c>
      <c r="L15" s="112"/>
      <c r="M15" s="112"/>
      <c r="N15" s="116">
        <f>Master20[[#This Row],[Design $ (Add/Deduct)]]+Master20[[#This Row],[Construction $ (Add/Ded)]]</f>
        <v>0</v>
      </c>
      <c r="O15" s="115">
        <v>3500000</v>
      </c>
      <c r="P15" s="114">
        <v>2020</v>
      </c>
      <c r="Q15" s="111" t="s">
        <v>46</v>
      </c>
      <c r="R15" s="114">
        <f t="shared" si="4"/>
        <v>50</v>
      </c>
      <c r="S15" s="114">
        <v>2</v>
      </c>
      <c r="T15" s="114">
        <f t="shared" si="1"/>
        <v>6</v>
      </c>
      <c r="U15" s="114" t="s">
        <v>37</v>
      </c>
      <c r="V15" s="114">
        <f t="shared" si="5"/>
        <v>3</v>
      </c>
      <c r="W15" s="114" t="s">
        <v>34</v>
      </c>
      <c r="X15" s="114">
        <v>0</v>
      </c>
      <c r="Y15" s="114">
        <v>0</v>
      </c>
      <c r="Z15" s="114">
        <v>0</v>
      </c>
      <c r="AA15" s="114">
        <v>0</v>
      </c>
      <c r="AB15" s="114">
        <v>0</v>
      </c>
      <c r="AC15" s="114">
        <v>-1</v>
      </c>
      <c r="AD15" s="114">
        <v>0</v>
      </c>
      <c r="AE15" s="114"/>
      <c r="AF15" s="113" t="s">
        <v>35</v>
      </c>
      <c r="AG15" s="114">
        <f>VLOOKUP(Master20[[#This Row],[Elevated Priority]],Epriority,2,)</f>
        <v>-50</v>
      </c>
      <c r="AH15" s="152">
        <f>IF(Master20[[#This Row],[Status]]="Active",Master20[[#This Row],[Status_Score]],IF(D15="","",R15+H15+T15+V15+AG15+AE15+Master20[[#This Row],[Risk Mitigation]]+Master20[[#This Row],[Master Plan]]+Master20[[#This Row],[Community Request]]+Master20[[#This Row],[Community need]]+Master20[[#This Row],[Offset Aging Inf.]]+Master20[[#This Row],[Energy Savings]]+Master20[[#This Row],[Gen Revenue]]-5))</f>
        <v>-147</v>
      </c>
      <c r="AI15" s="114"/>
      <c r="AJ15" s="114">
        <v>2020</v>
      </c>
      <c r="AK15" s="114">
        <v>2023</v>
      </c>
      <c r="AL15" s="114">
        <v>2020</v>
      </c>
      <c r="AM15" s="114">
        <v>2023</v>
      </c>
      <c r="AN15" s="111" t="s">
        <v>1144</v>
      </c>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row>
    <row r="16" spans="1:1402" ht="30" hidden="1" x14ac:dyDescent="0.25">
      <c r="A16" s="103">
        <f t="shared" si="3"/>
        <v>15</v>
      </c>
      <c r="B16" s="114" t="s">
        <v>65</v>
      </c>
      <c r="C16" s="111" t="s">
        <v>1045</v>
      </c>
      <c r="D16" s="187" t="s">
        <v>1113</v>
      </c>
      <c r="E16" s="111" t="s">
        <v>1114</v>
      </c>
      <c r="F16" s="111" t="s">
        <v>546</v>
      </c>
      <c r="G16" s="111" t="s">
        <v>719</v>
      </c>
      <c r="H16" s="111">
        <f t="shared" si="0"/>
        <v>-150</v>
      </c>
      <c r="I16" s="112"/>
      <c r="J16" s="112"/>
      <c r="K16" s="112">
        <f>Master20[[#This Row],[Initial Budget]]-Master20[[#This Row],[Previously Committed Funds]]</f>
        <v>0</v>
      </c>
      <c r="L16" s="112">
        <v>100000</v>
      </c>
      <c r="M16" s="112"/>
      <c r="N16" s="116">
        <v>0</v>
      </c>
      <c r="O16" s="115">
        <v>1250000</v>
      </c>
      <c r="P16" s="114">
        <v>2018</v>
      </c>
      <c r="Q16" s="111" t="s">
        <v>36</v>
      </c>
      <c r="R16" s="114">
        <f t="shared" si="4"/>
        <v>10</v>
      </c>
      <c r="S16" s="114">
        <v>1</v>
      </c>
      <c r="T16" s="114">
        <f t="shared" si="1"/>
        <v>3</v>
      </c>
      <c r="U16" s="114" t="s">
        <v>37</v>
      </c>
      <c r="V16" s="114">
        <f t="shared" si="5"/>
        <v>3</v>
      </c>
      <c r="W16" s="114" t="s">
        <v>34</v>
      </c>
      <c r="X16" s="114">
        <v>0</v>
      </c>
      <c r="Y16" s="114">
        <v>0</v>
      </c>
      <c r="Z16" s="114">
        <v>-3</v>
      </c>
      <c r="AA16" s="114">
        <v>0</v>
      </c>
      <c r="AB16" s="114">
        <v>0</v>
      </c>
      <c r="AC16" s="114">
        <v>0</v>
      </c>
      <c r="AD16" s="114">
        <v>-3</v>
      </c>
      <c r="AE16" s="114"/>
      <c r="AF16" s="113" t="s">
        <v>29</v>
      </c>
      <c r="AG16" s="114">
        <f>VLOOKUP(Master20[[#This Row],[Elevated Priority]],Epriority,2,)</f>
        <v>0</v>
      </c>
      <c r="AH16" s="152">
        <f>IF(Master20[[#This Row],[Status]]="Active",Master20[[#This Row],[Status_Score]],IF(D16="","",R16+H16+T16+V16+AG16+AE16+Master20[[#This Row],[Risk Mitigation]]+Master20[[#This Row],[Master Plan]]+Master20[[#This Row],[Community Request]]+Master20[[#This Row],[Community need]]+Master20[[#This Row],[Offset Aging Inf.]]+Master20[[#This Row],[Energy Savings]]+Master20[[#This Row],[Gen Revenue]]-5))</f>
        <v>-145</v>
      </c>
      <c r="AI16" s="114"/>
      <c r="AJ16" s="114">
        <v>2022</v>
      </c>
      <c r="AK16" s="114">
        <v>2023</v>
      </c>
      <c r="AL16" s="114">
        <v>2022</v>
      </c>
      <c r="AM16" s="114">
        <v>2023</v>
      </c>
      <c r="AN16" s="10"/>
    </row>
    <row r="17" spans="1:1402" s="102" customFormat="1" ht="63.75" hidden="1" customHeight="1" x14ac:dyDescent="0.25">
      <c r="A17" s="103">
        <f t="shared" si="3"/>
        <v>16</v>
      </c>
      <c r="B17" s="114" t="s">
        <v>70</v>
      </c>
      <c r="C17" s="111" t="s">
        <v>1045</v>
      </c>
      <c r="D17" s="111" t="s">
        <v>744</v>
      </c>
      <c r="E17" s="111" t="s">
        <v>856</v>
      </c>
      <c r="F17" s="111" t="s">
        <v>857</v>
      </c>
      <c r="G17" s="111" t="s">
        <v>719</v>
      </c>
      <c r="H17" s="111">
        <f t="shared" si="0"/>
        <v>-150</v>
      </c>
      <c r="I17" s="112">
        <v>1501506</v>
      </c>
      <c r="J17" s="112">
        <f>356238+29680</f>
        <v>385918</v>
      </c>
      <c r="K17" s="112">
        <f>Master20[[#This Row],[Initial Budget]]-Master20[[#This Row],[Previously Committed Funds]]</f>
        <v>1115588</v>
      </c>
      <c r="L17" s="112"/>
      <c r="M17" s="112"/>
      <c r="N17" s="116">
        <f>Master20[[#This Row],[Design $ (Add/Deduct)]]+Master20[[#This Row],[Construction $ (Add/Ded)]]</f>
        <v>0</v>
      </c>
      <c r="O17" s="115">
        <v>2500000</v>
      </c>
      <c r="P17" s="114">
        <v>2018</v>
      </c>
      <c r="Q17" s="111" t="s">
        <v>1128</v>
      </c>
      <c r="R17" s="114">
        <f>VLOOKUP(Q17,Importance, 2, FALSE)</f>
        <v>5</v>
      </c>
      <c r="S17" s="114">
        <v>1</v>
      </c>
      <c r="T17" s="114">
        <f t="shared" si="1"/>
        <v>3</v>
      </c>
      <c r="U17" s="114" t="s">
        <v>41</v>
      </c>
      <c r="V17" s="114">
        <f t="shared" si="5"/>
        <v>4</v>
      </c>
      <c r="W17" s="114" t="s">
        <v>38</v>
      </c>
      <c r="X17" s="114">
        <v>0</v>
      </c>
      <c r="Y17" s="114">
        <v>0</v>
      </c>
      <c r="Z17" s="114">
        <v>0</v>
      </c>
      <c r="AA17" s="114">
        <v>0</v>
      </c>
      <c r="AB17" s="114">
        <v>0</v>
      </c>
      <c r="AC17" s="114">
        <v>0</v>
      </c>
      <c r="AD17" s="114">
        <v>0</v>
      </c>
      <c r="AE17" s="114"/>
      <c r="AF17" s="113" t="s">
        <v>29</v>
      </c>
      <c r="AG17" s="114">
        <f>VLOOKUP(Master20[[#This Row],[Elevated Priority]],Epriority,2,)</f>
        <v>0</v>
      </c>
      <c r="AH17" s="152">
        <f>IF(Master20[[#This Row],[Status]]="Active",Master20[[#This Row],[Status_Score]],IF(D17="","",R17+H17+T17+V17+AG17+AE17+Master20[[#This Row],[Risk Mitigation]]+Master20[[#This Row],[Master Plan]]+Master20[[#This Row],[Community Request]]+Master20[[#This Row],[Community need]]+Master20[[#This Row],[Offset Aging Inf.]]+Master20[[#This Row],[Energy Savings]]+Master20[[#This Row],[Gen Revenue]]-5))</f>
        <v>-143</v>
      </c>
      <c r="AI17" s="114" t="s">
        <v>716</v>
      </c>
      <c r="AJ17" s="114">
        <v>2017</v>
      </c>
      <c r="AK17" s="114">
        <v>2021</v>
      </c>
      <c r="AL17" s="114">
        <v>2017</v>
      </c>
      <c r="AM17" s="114">
        <v>2022</v>
      </c>
      <c r="AN17" s="111" t="s">
        <v>1150</v>
      </c>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row>
    <row r="18" spans="1:1402" s="99" customFormat="1" ht="90" hidden="1" x14ac:dyDescent="0.25">
      <c r="A18" s="103">
        <f t="shared" si="3"/>
        <v>17</v>
      </c>
      <c r="B18" s="114" t="s">
        <v>65</v>
      </c>
      <c r="C18" s="111" t="s">
        <v>1045</v>
      </c>
      <c r="D18" s="111" t="s">
        <v>191</v>
      </c>
      <c r="E18" s="111" t="s">
        <v>1367</v>
      </c>
      <c r="F18" s="111" t="s">
        <v>193</v>
      </c>
      <c r="G18" s="111" t="s">
        <v>719</v>
      </c>
      <c r="H18" s="111">
        <f t="shared" si="0"/>
        <v>-150</v>
      </c>
      <c r="I18" s="112"/>
      <c r="J18" s="112"/>
      <c r="K18" s="112">
        <f>Master20[[#This Row],[Initial Budget]]-Master20[[#This Row],[Previously Committed Funds]]</f>
        <v>0</v>
      </c>
      <c r="L18" s="112"/>
      <c r="M18" s="112"/>
      <c r="N18" s="116">
        <v>0</v>
      </c>
      <c r="O18" s="115">
        <v>2750000</v>
      </c>
      <c r="P18" s="114">
        <v>2018</v>
      </c>
      <c r="Q18" s="111" t="s">
        <v>36</v>
      </c>
      <c r="R18" s="114">
        <f t="shared" ref="R18:R26" si="6">VLOOKUP(Q18,Importance,2,FALSE)</f>
        <v>10</v>
      </c>
      <c r="S18" s="114">
        <v>1</v>
      </c>
      <c r="T18" s="114">
        <f t="shared" si="1"/>
        <v>3</v>
      </c>
      <c r="U18" s="114" t="s">
        <v>41</v>
      </c>
      <c r="V18" s="114">
        <f t="shared" si="5"/>
        <v>4</v>
      </c>
      <c r="W18" s="114" t="s">
        <v>65</v>
      </c>
      <c r="X18" s="114">
        <v>0</v>
      </c>
      <c r="Y18" s="114">
        <v>0</v>
      </c>
      <c r="Z18" s="114">
        <v>0</v>
      </c>
      <c r="AA18" s="114">
        <v>0</v>
      </c>
      <c r="AB18" s="114">
        <v>0</v>
      </c>
      <c r="AC18" s="114">
        <v>0</v>
      </c>
      <c r="AD18" s="114">
        <v>-1</v>
      </c>
      <c r="AE18" s="114"/>
      <c r="AF18" s="113" t="s">
        <v>29</v>
      </c>
      <c r="AG18" s="114">
        <f>VLOOKUP(Master20[[#This Row],[Elevated Priority]],Epriority,2,)</f>
        <v>0</v>
      </c>
      <c r="AH18" s="152">
        <f>IF(Master20[[#This Row],[Status]]="Active",Master20[[#This Row],[Status_Score]],IF(D18="","",R18+H18+T18+V18+AG18+AE18+Master20[[#This Row],[Risk Mitigation]]+Master20[[#This Row],[Master Plan]]+Master20[[#This Row],[Community Request]]+Master20[[#This Row],[Community need]]+Master20[[#This Row],[Offset Aging Inf.]]+Master20[[#This Row],[Energy Savings]]+Master20[[#This Row],[Gen Revenue]]-5))</f>
        <v>-139</v>
      </c>
      <c r="AI18" s="114"/>
      <c r="AJ18" s="114"/>
      <c r="AK18" s="114"/>
      <c r="AL18" s="114">
        <v>2021</v>
      </c>
      <c r="AM18" s="114">
        <v>2022</v>
      </c>
      <c r="AN18" s="111" t="s">
        <v>1179</v>
      </c>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row>
    <row r="19" spans="1:1402" s="99" customFormat="1" ht="45" hidden="1" x14ac:dyDescent="0.25">
      <c r="A19" s="103">
        <f t="shared" si="3"/>
        <v>18</v>
      </c>
      <c r="B19" s="193" t="s">
        <v>67</v>
      </c>
      <c r="C19" s="175" t="s">
        <v>73</v>
      </c>
      <c r="D19" s="111" t="s">
        <v>177</v>
      </c>
      <c r="E19" s="111" t="s">
        <v>178</v>
      </c>
      <c r="F19" s="111" t="s">
        <v>179</v>
      </c>
      <c r="G19" s="111" t="s">
        <v>719</v>
      </c>
      <c r="H19" s="111">
        <f t="shared" si="0"/>
        <v>-150</v>
      </c>
      <c r="I19" s="112">
        <v>45000</v>
      </c>
      <c r="J19" s="112"/>
      <c r="K19" s="112">
        <f>Master20[[#This Row],[Initial Budget]]-Master20[[#This Row],[Previously Committed Funds]]</f>
        <v>45000</v>
      </c>
      <c r="L19" s="112"/>
      <c r="M19" s="112">
        <v>100000</v>
      </c>
      <c r="N19" s="116">
        <v>0</v>
      </c>
      <c r="O19" s="115">
        <v>145000</v>
      </c>
      <c r="P19" s="114">
        <v>2018</v>
      </c>
      <c r="Q19" s="111" t="s">
        <v>36</v>
      </c>
      <c r="R19" s="114">
        <f t="shared" si="6"/>
        <v>10</v>
      </c>
      <c r="S19" s="114">
        <v>2</v>
      </c>
      <c r="T19" s="114">
        <f t="shared" si="1"/>
        <v>6</v>
      </c>
      <c r="U19" s="114" t="s">
        <v>41</v>
      </c>
      <c r="V19" s="114">
        <f t="shared" si="5"/>
        <v>4</v>
      </c>
      <c r="W19" s="114" t="s">
        <v>30</v>
      </c>
      <c r="X19" s="114">
        <v>0</v>
      </c>
      <c r="Y19" s="114">
        <v>0</v>
      </c>
      <c r="Z19" s="114">
        <v>0</v>
      </c>
      <c r="AA19" s="114">
        <v>0</v>
      </c>
      <c r="AB19" s="114">
        <v>0</v>
      </c>
      <c r="AC19" s="114">
        <v>0</v>
      </c>
      <c r="AD19" s="114">
        <v>0</v>
      </c>
      <c r="AE19" s="114"/>
      <c r="AF19" s="113" t="s">
        <v>29</v>
      </c>
      <c r="AG19" s="114">
        <f>VLOOKUP(Master20[[#This Row],[Elevated Priority]],Epriority,2,)</f>
        <v>0</v>
      </c>
      <c r="AH19" s="152">
        <f>IF(Master20[[#This Row],[Status]]="Active",Master20[[#This Row],[Status_Score]],IF(D19="","",R19+H19+T19+V19+AG19+AE19+Master20[[#This Row],[Risk Mitigation]]+Master20[[#This Row],[Master Plan]]+Master20[[#This Row],[Community Request]]+Master20[[#This Row],[Community need]]+Master20[[#This Row],[Offset Aging Inf.]]+Master20[[#This Row],[Energy Savings]]+Master20[[#This Row],[Gen Revenue]]-5))</f>
        <v>-135</v>
      </c>
      <c r="AI19" s="114" t="s">
        <v>758</v>
      </c>
      <c r="AJ19" s="114">
        <v>2021</v>
      </c>
      <c r="AK19" s="114">
        <v>2022</v>
      </c>
      <c r="AL19" s="114">
        <v>2021</v>
      </c>
      <c r="AM19" s="114">
        <v>2022</v>
      </c>
      <c r="AN19" s="111" t="s">
        <v>1174</v>
      </c>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row>
    <row r="20" spans="1:1402" s="99" customFormat="1" ht="43.5" hidden="1" customHeight="1" x14ac:dyDescent="0.25">
      <c r="A20" s="103">
        <f t="shared" si="3"/>
        <v>19</v>
      </c>
      <c r="B20" s="114" t="s">
        <v>1205</v>
      </c>
      <c r="C20" s="111" t="s">
        <v>70</v>
      </c>
      <c r="D20" s="111" t="s">
        <v>217</v>
      </c>
      <c r="E20" s="111" t="s">
        <v>218</v>
      </c>
      <c r="F20" s="111" t="s">
        <v>219</v>
      </c>
      <c r="G20" s="111" t="s">
        <v>719</v>
      </c>
      <c r="H20" s="111">
        <f t="shared" si="0"/>
        <v>-150</v>
      </c>
      <c r="I20" s="112">
        <v>200000</v>
      </c>
      <c r="J20" s="112"/>
      <c r="K20" s="112">
        <f>Master20[[#This Row],[Initial Budget]]-Master20[[#This Row],[Previously Committed Funds]]</f>
        <v>200000</v>
      </c>
      <c r="L20" s="112"/>
      <c r="M20" s="112"/>
      <c r="N20" s="116">
        <f>Master20[[#This Row],[Design $ (Add/Deduct)]]+Master20[[#This Row],[Construction $ (Add/Ded)]]</f>
        <v>0</v>
      </c>
      <c r="O20" s="115">
        <v>1500000</v>
      </c>
      <c r="P20" s="114">
        <v>2018</v>
      </c>
      <c r="Q20" s="111" t="s">
        <v>36</v>
      </c>
      <c r="R20" s="114">
        <f t="shared" si="6"/>
        <v>10</v>
      </c>
      <c r="S20" s="114">
        <v>2</v>
      </c>
      <c r="T20" s="114">
        <f t="shared" si="1"/>
        <v>6</v>
      </c>
      <c r="U20" s="114" t="s">
        <v>43</v>
      </c>
      <c r="V20" s="114">
        <f t="shared" si="5"/>
        <v>16</v>
      </c>
      <c r="W20" s="114" t="s">
        <v>34</v>
      </c>
      <c r="X20" s="114">
        <v>-2</v>
      </c>
      <c r="Y20" s="114">
        <v>-5</v>
      </c>
      <c r="Z20" s="114">
        <v>0</v>
      </c>
      <c r="AA20" s="114">
        <v>0</v>
      </c>
      <c r="AB20" s="114">
        <v>0</v>
      </c>
      <c r="AC20" s="114">
        <v>-3</v>
      </c>
      <c r="AD20" s="114">
        <v>-1</v>
      </c>
      <c r="AE20" s="114"/>
      <c r="AF20" s="113" t="s">
        <v>29</v>
      </c>
      <c r="AG20" s="114">
        <f>VLOOKUP(Master20[[#This Row],[Elevated Priority]],Epriority,2,)</f>
        <v>0</v>
      </c>
      <c r="AH20" s="152">
        <f>IF(Master20[[#This Row],[Status]]="Active",Master20[[#This Row],[Status_Score]],IF(D20="","",R20+H20+T20+V20+AG20+AE20+Master20[[#This Row],[Risk Mitigation]]+Master20[[#This Row],[Master Plan]]+Master20[[#This Row],[Community Request]]+Master20[[#This Row],[Community need]]+Master20[[#This Row],[Offset Aging Inf.]]+Master20[[#This Row],[Energy Savings]]+Master20[[#This Row],[Gen Revenue]]-5))</f>
        <v>-134</v>
      </c>
      <c r="AI20" s="114" t="s">
        <v>715</v>
      </c>
      <c r="AJ20" s="114">
        <v>2021</v>
      </c>
      <c r="AK20" s="114">
        <v>2022</v>
      </c>
      <c r="AL20" s="114">
        <v>2021</v>
      </c>
      <c r="AM20" s="114">
        <v>2023</v>
      </c>
      <c r="AN20" s="111" t="s">
        <v>1175</v>
      </c>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row>
    <row r="21" spans="1:1402" s="99" customFormat="1" ht="105" hidden="1" x14ac:dyDescent="0.25">
      <c r="A21" s="103">
        <f t="shared" si="3"/>
        <v>20</v>
      </c>
      <c r="B21" s="114" t="s">
        <v>1191</v>
      </c>
      <c r="C21" s="111" t="s">
        <v>79</v>
      </c>
      <c r="D21" s="111" t="s">
        <v>834</v>
      </c>
      <c r="E21" s="111" t="s">
        <v>835</v>
      </c>
      <c r="F21" s="111" t="s">
        <v>275</v>
      </c>
      <c r="G21" s="111" t="s">
        <v>719</v>
      </c>
      <c r="H21" s="111">
        <f t="shared" si="0"/>
        <v>-150</v>
      </c>
      <c r="I21" s="112">
        <v>350000</v>
      </c>
      <c r="J21" s="112"/>
      <c r="K21" s="112">
        <f>Master20[[#This Row],[Initial Budget]]-Master20[[#This Row],[Previously Committed Funds]]</f>
        <v>350000</v>
      </c>
      <c r="L21" s="112"/>
      <c r="M21" s="112"/>
      <c r="N21" s="116">
        <f>Master20[[#This Row],[Design $ (Add/Deduct)]]+Master20[[#This Row],[Construction $ (Add/Ded)]]</f>
        <v>0</v>
      </c>
      <c r="O21" s="115">
        <v>350000</v>
      </c>
      <c r="P21" s="114">
        <v>2018</v>
      </c>
      <c r="Q21" s="111" t="s">
        <v>36</v>
      </c>
      <c r="R21" s="114">
        <f t="shared" si="6"/>
        <v>10</v>
      </c>
      <c r="S21" s="114">
        <v>3</v>
      </c>
      <c r="T21" s="114">
        <f t="shared" si="1"/>
        <v>9</v>
      </c>
      <c r="U21" s="114" t="s">
        <v>37</v>
      </c>
      <c r="V21" s="114">
        <f t="shared" si="5"/>
        <v>3</v>
      </c>
      <c r="W21" s="114" t="s">
        <v>30</v>
      </c>
      <c r="X21" s="114">
        <v>0</v>
      </c>
      <c r="Y21" s="114">
        <v>0</v>
      </c>
      <c r="Z21" s="114">
        <v>0</v>
      </c>
      <c r="AA21" s="114">
        <v>0</v>
      </c>
      <c r="AB21" s="114">
        <v>0</v>
      </c>
      <c r="AC21" s="114">
        <v>0</v>
      </c>
      <c r="AD21" s="114">
        <v>0</v>
      </c>
      <c r="AE21" s="114"/>
      <c r="AF21" s="113" t="s">
        <v>29</v>
      </c>
      <c r="AG21" s="114">
        <f>VLOOKUP(Master20[[#This Row],[Elevated Priority]],Epriority,2,)</f>
        <v>0</v>
      </c>
      <c r="AH21" s="152">
        <f>IF(Master20[[#This Row],[Status]]="Active",Master20[[#This Row],[Status_Score]],IF(D21="","",R21+H21+T21+V21+AG21+AE21+Master20[[#This Row],[Risk Mitigation]]+Master20[[#This Row],[Master Plan]]+Master20[[#This Row],[Community Request]]+Master20[[#This Row],[Community need]]+Master20[[#This Row],[Offset Aging Inf.]]+Master20[[#This Row],[Energy Savings]]+Master20[[#This Row],[Gen Revenue]]-5))</f>
        <v>-133</v>
      </c>
      <c r="AI21" s="114" t="s">
        <v>758</v>
      </c>
      <c r="AJ21" s="114">
        <v>2021</v>
      </c>
      <c r="AK21" s="114">
        <v>2022</v>
      </c>
      <c r="AL21" s="114">
        <v>2021</v>
      </c>
      <c r="AM21" s="114">
        <v>2023</v>
      </c>
      <c r="AN21" s="111" t="s">
        <v>1169</v>
      </c>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row>
    <row r="22" spans="1:1402" s="99" customFormat="1" ht="37.5" hidden="1" customHeight="1" x14ac:dyDescent="0.25">
      <c r="A22" s="103">
        <f t="shared" si="3"/>
        <v>21</v>
      </c>
      <c r="B22" s="114" t="s">
        <v>1189</v>
      </c>
      <c r="C22" s="111" t="s">
        <v>1045</v>
      </c>
      <c r="D22" s="111" t="s">
        <v>1046</v>
      </c>
      <c r="E22" s="111" t="s">
        <v>1047</v>
      </c>
      <c r="F22" s="111" t="s">
        <v>1048</v>
      </c>
      <c r="G22" s="111" t="s">
        <v>719</v>
      </c>
      <c r="H22" s="111">
        <f t="shared" si="0"/>
        <v>-150</v>
      </c>
      <c r="I22" s="112">
        <v>250000</v>
      </c>
      <c r="J22" s="112"/>
      <c r="K22" s="112">
        <f>Master20[[#This Row],[Initial Budget]]-Master20[[#This Row],[Previously Committed Funds]]</f>
        <v>250000</v>
      </c>
      <c r="L22" s="112"/>
      <c r="M22" s="112">
        <v>-150000</v>
      </c>
      <c r="N22" s="116">
        <v>0</v>
      </c>
      <c r="O22" s="115">
        <v>90000</v>
      </c>
      <c r="P22" s="114">
        <v>2020</v>
      </c>
      <c r="Q22" s="111" t="s">
        <v>686</v>
      </c>
      <c r="R22" s="114">
        <f t="shared" si="6"/>
        <v>60</v>
      </c>
      <c r="S22" s="114">
        <v>17</v>
      </c>
      <c r="T22" s="114">
        <f t="shared" si="1"/>
        <v>25</v>
      </c>
      <c r="U22" s="114" t="s">
        <v>37</v>
      </c>
      <c r="V22" s="114">
        <f t="shared" si="5"/>
        <v>3</v>
      </c>
      <c r="W22" s="114" t="s">
        <v>34</v>
      </c>
      <c r="X22" s="114">
        <v>-1</v>
      </c>
      <c r="Y22" s="8">
        <v>0</v>
      </c>
      <c r="Z22" s="8">
        <v>0</v>
      </c>
      <c r="AA22" s="8">
        <v>-3</v>
      </c>
      <c r="AB22" s="8">
        <v>0</v>
      </c>
      <c r="AC22" s="8">
        <v>-3</v>
      </c>
      <c r="AD22" s="8">
        <v>0</v>
      </c>
      <c r="AE22" s="8">
        <v>-57</v>
      </c>
      <c r="AF22" s="17" t="s">
        <v>29</v>
      </c>
      <c r="AG22" s="8">
        <f>VLOOKUP(Master20[[#This Row],[Elevated Priority]],Epriority,2,)</f>
        <v>0</v>
      </c>
      <c r="AH22" s="152">
        <f>IF(Master20[[#This Row],[Status]]="Active",Master20[[#This Row],[Status_Score]],IF(D22="","",R22+H22+T22+V22+AG22+AE22+Master20[[#This Row],[Risk Mitigation]]+Master20[[#This Row],[Master Plan]]+Master20[[#This Row],[Community Request]]+Master20[[#This Row],[Community need]]+Master20[[#This Row],[Offset Aging Inf.]]+Master20[[#This Row],[Energy Savings]]+Master20[[#This Row],[Gen Revenue]]-5))</f>
        <v>-131</v>
      </c>
      <c r="AI22" s="8" t="s">
        <v>718</v>
      </c>
      <c r="AJ22" s="114">
        <v>2020</v>
      </c>
      <c r="AK22" s="114">
        <v>2021</v>
      </c>
      <c r="AL22" s="114">
        <v>2020</v>
      </c>
      <c r="AM22" s="114">
        <v>2022</v>
      </c>
      <c r="AN22" s="111" t="s">
        <v>1160</v>
      </c>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row>
    <row r="23" spans="1:1402" s="99" customFormat="1" ht="90" hidden="1" x14ac:dyDescent="0.25">
      <c r="A23" s="103">
        <f t="shared" si="3"/>
        <v>22</v>
      </c>
      <c r="B23" s="114" t="s">
        <v>67</v>
      </c>
      <c r="C23" s="120" t="s">
        <v>659</v>
      </c>
      <c r="D23" s="111" t="s">
        <v>211</v>
      </c>
      <c r="E23" s="111" t="s">
        <v>212</v>
      </c>
      <c r="F23" s="111" t="s">
        <v>1380</v>
      </c>
      <c r="G23" s="111" t="s">
        <v>719</v>
      </c>
      <c r="H23" s="111">
        <f t="shared" si="0"/>
        <v>-150</v>
      </c>
      <c r="I23" s="112">
        <v>65000</v>
      </c>
      <c r="J23" s="112">
        <f>3186+51834</f>
        <v>55020</v>
      </c>
      <c r="K23" s="112">
        <f>Master20[[#This Row],[Initial Budget]]-Master20[[#This Row],[Previously Committed Funds]]</f>
        <v>9980</v>
      </c>
      <c r="L23" s="112"/>
      <c r="M23" s="112">
        <v>300000</v>
      </c>
      <c r="N23" s="116">
        <v>0</v>
      </c>
      <c r="O23" s="115">
        <v>500000</v>
      </c>
      <c r="P23" s="114">
        <v>2018</v>
      </c>
      <c r="Q23" s="111" t="s">
        <v>688</v>
      </c>
      <c r="R23" s="114">
        <f t="shared" si="6"/>
        <v>20</v>
      </c>
      <c r="S23" s="114">
        <v>1</v>
      </c>
      <c r="T23" s="114">
        <f t="shared" si="1"/>
        <v>3</v>
      </c>
      <c r="U23" s="114" t="s">
        <v>41</v>
      </c>
      <c r="V23" s="114">
        <f t="shared" si="5"/>
        <v>4</v>
      </c>
      <c r="W23" s="114" t="s">
        <v>30</v>
      </c>
      <c r="X23" s="8">
        <v>0</v>
      </c>
      <c r="Y23" s="8">
        <v>0</v>
      </c>
      <c r="Z23" s="8">
        <v>0</v>
      </c>
      <c r="AA23" s="8">
        <v>0</v>
      </c>
      <c r="AB23" s="8">
        <v>0</v>
      </c>
      <c r="AC23" s="8">
        <v>0</v>
      </c>
      <c r="AD23" s="8">
        <v>0</v>
      </c>
      <c r="AE23" s="8"/>
      <c r="AF23" s="17" t="s">
        <v>29</v>
      </c>
      <c r="AG23" s="8">
        <f>VLOOKUP(Master20[[#This Row],[Elevated Priority]],Epriority,2,)</f>
        <v>0</v>
      </c>
      <c r="AH23" s="152">
        <f>IF(Master20[[#This Row],[Status]]="Active",Master20[[#This Row],[Status_Score]],IF(D23="","",R23+H23+T23+V23+AG23+AE23+Master20[[#This Row],[Risk Mitigation]]+Master20[[#This Row],[Master Plan]]+Master20[[#This Row],[Community Request]]+Master20[[#This Row],[Community need]]+Master20[[#This Row],[Offset Aging Inf.]]+Master20[[#This Row],[Energy Savings]]+Master20[[#This Row],[Gen Revenue]]-5))</f>
        <v>-128</v>
      </c>
      <c r="AI23" s="8" t="s">
        <v>754</v>
      </c>
      <c r="AJ23" s="114">
        <v>2021</v>
      </c>
      <c r="AK23" s="114">
        <v>2022</v>
      </c>
      <c r="AL23" s="114">
        <v>2021</v>
      </c>
      <c r="AM23" s="114">
        <v>2023</v>
      </c>
      <c r="AN23" s="111" t="s">
        <v>1176</v>
      </c>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row>
    <row r="24" spans="1:1402" s="99" customFormat="1" ht="75" x14ac:dyDescent="0.25">
      <c r="A24" s="103">
        <f t="shared" si="3"/>
        <v>23</v>
      </c>
      <c r="B24" s="114" t="s">
        <v>214</v>
      </c>
      <c r="C24" s="111" t="s">
        <v>1045</v>
      </c>
      <c r="D24" s="111" t="s">
        <v>559</v>
      </c>
      <c r="E24" s="111" t="s">
        <v>858</v>
      </c>
      <c r="F24" s="111" t="s">
        <v>881</v>
      </c>
      <c r="G24" s="111" t="s">
        <v>598</v>
      </c>
      <c r="H24" s="111">
        <f t="shared" si="0"/>
        <v>-100</v>
      </c>
      <c r="I24" s="112">
        <v>250000</v>
      </c>
      <c r="J24" s="112">
        <v>237998</v>
      </c>
      <c r="K24" s="112">
        <f>Master20[[#This Row],[Initial Budget]]-Master20[[#This Row],[Previously Committed Funds]]</f>
        <v>12002</v>
      </c>
      <c r="L24" s="112"/>
      <c r="M24" s="112"/>
      <c r="N24" s="116">
        <v>0</v>
      </c>
      <c r="O24" s="115">
        <v>28000000</v>
      </c>
      <c r="P24" s="114">
        <v>2018</v>
      </c>
      <c r="Q24" s="111" t="s">
        <v>46</v>
      </c>
      <c r="R24" s="114">
        <f t="shared" si="6"/>
        <v>50</v>
      </c>
      <c r="S24" s="114">
        <v>3</v>
      </c>
      <c r="T24" s="114">
        <f t="shared" si="1"/>
        <v>9</v>
      </c>
      <c r="U24" s="114" t="s">
        <v>45</v>
      </c>
      <c r="V24" s="114">
        <f t="shared" si="5"/>
        <v>32</v>
      </c>
      <c r="W24" s="114" t="s">
        <v>34</v>
      </c>
      <c r="X24" s="114">
        <v>0</v>
      </c>
      <c r="Y24" s="8">
        <v>0</v>
      </c>
      <c r="Z24" s="114">
        <v>0</v>
      </c>
      <c r="AA24" s="114">
        <v>0</v>
      </c>
      <c r="AB24" s="8">
        <v>0</v>
      </c>
      <c r="AC24" s="8">
        <v>0</v>
      </c>
      <c r="AD24" s="8">
        <v>0</v>
      </c>
      <c r="AE24" s="8"/>
      <c r="AF24" s="113" t="s">
        <v>29</v>
      </c>
      <c r="AG24" s="114">
        <f>VLOOKUP(Master20[[#This Row],[Elevated Priority]],Epriority,2,)</f>
        <v>0</v>
      </c>
      <c r="AH24" s="152">
        <f>IF(Master20[[#This Row],[Status]]="Active",Master20[[#This Row],[Status_Score]],IF(D24="","",R24+H24+T24+V24+AG24+AE24+Master20[[#This Row],[Risk Mitigation]]+Master20[[#This Row],[Master Plan]]+Master20[[#This Row],[Community Request]]+Master20[[#This Row],[Community need]]+Master20[[#This Row],[Offset Aging Inf.]]+Master20[[#This Row],[Energy Savings]]+Master20[[#This Row],[Gen Revenue]]-5))</f>
        <v>-100</v>
      </c>
      <c r="AI24" s="114" t="s">
        <v>717</v>
      </c>
      <c r="AJ24" s="114">
        <v>2020</v>
      </c>
      <c r="AK24" s="114">
        <v>2024</v>
      </c>
      <c r="AL24" s="114">
        <v>2020</v>
      </c>
      <c r="AM24" s="114">
        <v>2024</v>
      </c>
      <c r="AN24" s="111" t="s">
        <v>1145</v>
      </c>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row>
    <row r="25" spans="1:1402" ht="45" hidden="1" customHeight="1" x14ac:dyDescent="0.25">
      <c r="A25" s="103">
        <f t="shared" si="3"/>
        <v>24</v>
      </c>
      <c r="B25" s="114" t="s">
        <v>732</v>
      </c>
      <c r="C25" s="111" t="s">
        <v>79</v>
      </c>
      <c r="D25" s="111" t="s">
        <v>969</v>
      </c>
      <c r="E25" s="111" t="s">
        <v>970</v>
      </c>
      <c r="F25" s="111" t="s">
        <v>971</v>
      </c>
      <c r="G25" s="111" t="s">
        <v>598</v>
      </c>
      <c r="H25" s="111">
        <f t="shared" si="0"/>
        <v>-100</v>
      </c>
      <c r="I25" s="112">
        <v>75000</v>
      </c>
      <c r="J25" s="112"/>
      <c r="K25" s="112">
        <f>Master20[[#This Row],[Initial Budget]]-Master20[[#This Row],[Previously Committed Funds]]</f>
        <v>75000</v>
      </c>
      <c r="L25" s="112"/>
      <c r="M25" s="112"/>
      <c r="N25" s="116"/>
      <c r="O25" s="115">
        <v>75000</v>
      </c>
      <c r="P25" s="114">
        <v>2018</v>
      </c>
      <c r="Q25" s="111" t="s">
        <v>688</v>
      </c>
      <c r="R25" s="114">
        <f t="shared" si="6"/>
        <v>20</v>
      </c>
      <c r="S25" s="114">
        <v>2</v>
      </c>
      <c r="T25" s="114">
        <f t="shared" si="1"/>
        <v>6</v>
      </c>
      <c r="U25" s="114" t="s">
        <v>37</v>
      </c>
      <c r="V25" s="114">
        <f t="shared" si="5"/>
        <v>3</v>
      </c>
      <c r="W25" s="114" t="s">
        <v>30</v>
      </c>
      <c r="X25" s="114">
        <v>0</v>
      </c>
      <c r="Y25" s="114">
        <v>0</v>
      </c>
      <c r="Z25" s="114">
        <v>0</v>
      </c>
      <c r="AA25" s="114">
        <v>0</v>
      </c>
      <c r="AB25" s="114">
        <v>0</v>
      </c>
      <c r="AC25" s="114">
        <v>0</v>
      </c>
      <c r="AD25" s="114">
        <v>0</v>
      </c>
      <c r="AE25" s="114"/>
      <c r="AF25" s="113" t="s">
        <v>29</v>
      </c>
      <c r="AG25" s="114">
        <f>VLOOKUP(Master20[[#This Row],[Elevated Priority]],Epriority,2,)</f>
        <v>0</v>
      </c>
      <c r="AH25" s="152">
        <f>IF(Master20[[#This Row],[Status]]="Active",Master20[[#This Row],[Status_Score]],IF(D25="","",R25+H25+T25+V25+AG25+AE25+Master20[[#This Row],[Risk Mitigation]]+Master20[[#This Row],[Master Plan]]+Master20[[#This Row],[Community Request]]+Master20[[#This Row],[Community need]]+Master20[[#This Row],[Offset Aging Inf.]]+Master20[[#This Row],[Energy Savings]]+Master20[[#This Row],[Gen Revenue]]-5))</f>
        <v>-100</v>
      </c>
      <c r="AI25" s="114" t="s">
        <v>757</v>
      </c>
      <c r="AJ25" s="114">
        <v>2020</v>
      </c>
      <c r="AK25" s="114">
        <v>2022</v>
      </c>
      <c r="AL25" s="114">
        <v>2020</v>
      </c>
      <c r="AM25" s="114">
        <v>2022</v>
      </c>
      <c r="AN25" s="111"/>
    </row>
    <row r="26" spans="1:1402" ht="30" hidden="1" x14ac:dyDescent="0.25">
      <c r="A26" s="103">
        <f t="shared" si="3"/>
        <v>25</v>
      </c>
      <c r="B26" s="114" t="s">
        <v>65</v>
      </c>
      <c r="C26" s="111" t="s">
        <v>1045</v>
      </c>
      <c r="D26" s="111" t="s">
        <v>556</v>
      </c>
      <c r="E26" s="111" t="s">
        <v>557</v>
      </c>
      <c r="F26" s="111" t="s">
        <v>1055</v>
      </c>
      <c r="G26" s="111" t="s">
        <v>598</v>
      </c>
      <c r="H26" s="111">
        <f t="shared" si="0"/>
        <v>-100</v>
      </c>
      <c r="I26" s="112"/>
      <c r="J26" s="112"/>
      <c r="K26" s="112">
        <f>Master20[[#This Row],[Initial Budget]]-Master20[[#This Row],[Previously Committed Funds]]</f>
        <v>0</v>
      </c>
      <c r="L26" s="112"/>
      <c r="M26" s="112"/>
      <c r="N26" s="116">
        <f>Master20[[#This Row],[Design $ (Add/Deduct)]]+Master20[[#This Row],[Construction $ (Add/Ded)]]</f>
        <v>0</v>
      </c>
      <c r="O26" s="115">
        <v>30000</v>
      </c>
      <c r="P26" s="114">
        <v>2018</v>
      </c>
      <c r="Q26" s="111" t="s">
        <v>686</v>
      </c>
      <c r="R26" s="114">
        <f t="shared" si="6"/>
        <v>60</v>
      </c>
      <c r="S26" s="114">
        <v>1</v>
      </c>
      <c r="T26" s="114">
        <f t="shared" si="1"/>
        <v>3</v>
      </c>
      <c r="U26" s="114" t="s">
        <v>41</v>
      </c>
      <c r="V26" s="114">
        <f t="shared" si="5"/>
        <v>4</v>
      </c>
      <c r="W26" s="114" t="s">
        <v>30</v>
      </c>
      <c r="X26" s="8">
        <v>0</v>
      </c>
      <c r="Y26" s="8">
        <v>0</v>
      </c>
      <c r="Z26" s="8">
        <v>0</v>
      </c>
      <c r="AA26" s="8">
        <v>0</v>
      </c>
      <c r="AB26" s="8">
        <v>0</v>
      </c>
      <c r="AC26" s="8">
        <v>0</v>
      </c>
      <c r="AD26" s="8">
        <v>0</v>
      </c>
      <c r="AF26" s="17" t="s">
        <v>29</v>
      </c>
      <c r="AG26" s="8">
        <f>VLOOKUP(Master20[[#This Row],[Elevated Priority]],Epriority,2,)</f>
        <v>0</v>
      </c>
      <c r="AH26" s="152">
        <f>IF(Master20[[#This Row],[Status]]="Active",Master20[[#This Row],[Status_Score]],IF(D26="","",R26+H26+T26+V26+AG26+AE26+Master20[[#This Row],[Risk Mitigation]]+Master20[[#This Row],[Master Plan]]+Master20[[#This Row],[Community Request]]+Master20[[#This Row],[Community need]]+Master20[[#This Row],[Offset Aging Inf.]]+Master20[[#This Row],[Energy Savings]]+Master20[[#This Row],[Gen Revenue]]-5))</f>
        <v>-100</v>
      </c>
      <c r="AI26" s="8"/>
      <c r="AJ26" s="114"/>
      <c r="AK26" s="114"/>
      <c r="AL26" s="114">
        <v>2022</v>
      </c>
      <c r="AM26" s="114">
        <v>2022</v>
      </c>
      <c r="AN26" s="111" t="s">
        <v>1179</v>
      </c>
    </row>
    <row r="27" spans="1:1402" s="99" customFormat="1" ht="45" hidden="1" x14ac:dyDescent="0.25">
      <c r="A27" s="103">
        <f t="shared" si="3"/>
        <v>26</v>
      </c>
      <c r="B27" s="114" t="s">
        <v>94</v>
      </c>
      <c r="C27" s="111" t="s">
        <v>1045</v>
      </c>
      <c r="D27" s="111" t="s">
        <v>726</v>
      </c>
      <c r="E27" s="111" t="s">
        <v>727</v>
      </c>
      <c r="F27" s="111" t="s">
        <v>728</v>
      </c>
      <c r="G27" s="111" t="s">
        <v>598</v>
      </c>
      <c r="H27" s="111">
        <f t="shared" si="0"/>
        <v>-100</v>
      </c>
      <c r="I27" s="112">
        <v>1353185</v>
      </c>
      <c r="J27" s="112"/>
      <c r="K27" s="112">
        <f>Master20[[#This Row],[Initial Budget]]-Master20[[#This Row],[Previously Committed Funds]]</f>
        <v>1353185</v>
      </c>
      <c r="L27" s="112"/>
      <c r="M27" s="112"/>
      <c r="N27" s="116">
        <f>Master20[[#This Row],[Design $ (Add/Deduct)]]+Master20[[#This Row],[Construction $ (Add/Ded)]]</f>
        <v>0</v>
      </c>
      <c r="O27" s="112">
        <f>Master20[[#This Row],[Total Add]]+Master20[[#This Row],[Current Available Balance]]+Master20[[#This Row],[Previously Committed Funds]]</f>
        <v>1353185</v>
      </c>
      <c r="P27" s="114">
        <v>2018</v>
      </c>
      <c r="Q27" s="111" t="s">
        <v>46</v>
      </c>
      <c r="R27" s="114"/>
      <c r="S27" s="114">
        <v>1</v>
      </c>
      <c r="T27" s="114"/>
      <c r="U27" s="114" t="s">
        <v>41</v>
      </c>
      <c r="V27" s="114"/>
      <c r="W27" s="114" t="s">
        <v>34</v>
      </c>
      <c r="X27" s="114">
        <v>0</v>
      </c>
      <c r="Y27" s="8">
        <v>0</v>
      </c>
      <c r="Z27" s="114">
        <v>0</v>
      </c>
      <c r="AA27" s="114">
        <v>0</v>
      </c>
      <c r="AB27" s="8">
        <v>0</v>
      </c>
      <c r="AC27" s="8">
        <v>0</v>
      </c>
      <c r="AD27" s="8">
        <v>0</v>
      </c>
      <c r="AE27" s="8"/>
      <c r="AF27" s="113" t="s">
        <v>29</v>
      </c>
      <c r="AG27" s="114">
        <f>VLOOKUP(Master20[[#This Row],[Elevated Priority]],Epriority,2,)</f>
        <v>0</v>
      </c>
      <c r="AH27" s="152">
        <f>IF(Master20[[#This Row],[Status]]="Active",Master20[[#This Row],[Status_Score]],IF(D27="","",R27+H27+T27+V27+AG27+AE27+Master20[[#This Row],[Risk Mitigation]]+Master20[[#This Row],[Master Plan]]+Master20[[#This Row],[Community Request]]+Master20[[#This Row],[Community need]]+Master20[[#This Row],[Offset Aging Inf.]]+Master20[[#This Row],[Energy Savings]]+Master20[[#This Row],[Gen Revenue]]-5))</f>
        <v>-100</v>
      </c>
      <c r="AI27" s="114" t="s">
        <v>717</v>
      </c>
      <c r="AJ27" s="114">
        <v>2020</v>
      </c>
      <c r="AK27" s="114">
        <v>2022</v>
      </c>
      <c r="AL27" s="114">
        <v>2020</v>
      </c>
      <c r="AM27" s="114">
        <v>2023</v>
      </c>
      <c r="AN27" s="111" t="s">
        <v>729</v>
      </c>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row>
    <row r="28" spans="1:1402" ht="45" hidden="1" x14ac:dyDescent="0.25">
      <c r="A28" s="103">
        <f t="shared" si="3"/>
        <v>27</v>
      </c>
      <c r="B28" s="114" t="s">
        <v>1207</v>
      </c>
      <c r="C28" s="111" t="s">
        <v>1196</v>
      </c>
      <c r="D28" s="187" t="s">
        <v>1086</v>
      </c>
      <c r="E28" s="111" t="s">
        <v>1108</v>
      </c>
      <c r="F28" s="111" t="s">
        <v>1109</v>
      </c>
      <c r="G28" s="111" t="s">
        <v>598</v>
      </c>
      <c r="H28" s="111">
        <f t="shared" si="0"/>
        <v>-100</v>
      </c>
      <c r="I28" s="112"/>
      <c r="J28" s="112"/>
      <c r="K28" s="112">
        <f>Master20[[#This Row],[Initial Budget]]-Master20[[#This Row],[Previously Committed Funds]]</f>
        <v>0</v>
      </c>
      <c r="L28" s="112">
        <v>175000</v>
      </c>
      <c r="M28" s="112">
        <v>750000</v>
      </c>
      <c r="N28" s="116">
        <v>0</v>
      </c>
      <c r="O28" s="115">
        <v>925000</v>
      </c>
      <c r="P28" s="114">
        <v>2022</v>
      </c>
      <c r="Q28" s="111" t="s">
        <v>46</v>
      </c>
      <c r="R28" s="114">
        <f t="shared" ref="R28:R43" si="7">VLOOKUP(Q28,Importance,2,FALSE)</f>
        <v>50</v>
      </c>
      <c r="S28" s="114">
        <v>2</v>
      </c>
      <c r="T28" s="114">
        <f t="shared" ref="T28:T59" si="8">VLOOKUP(S28,Department,2,FALSE)</f>
        <v>6</v>
      </c>
      <c r="U28" s="114" t="s">
        <v>41</v>
      </c>
      <c r="V28" s="114">
        <f t="shared" ref="V28:V59" si="9">VLOOKUP(U28,Urgency,2,FALSE)</f>
        <v>4</v>
      </c>
      <c r="W28" s="114" t="s">
        <v>34</v>
      </c>
      <c r="X28" s="114">
        <v>-3</v>
      </c>
      <c r="Y28" s="114">
        <v>0</v>
      </c>
      <c r="Z28" s="114">
        <v>0</v>
      </c>
      <c r="AA28" s="114">
        <v>-3</v>
      </c>
      <c r="AB28" s="114">
        <v>-2</v>
      </c>
      <c r="AC28" s="114">
        <v>-7</v>
      </c>
      <c r="AD28" s="114">
        <v>0</v>
      </c>
      <c r="AE28" s="114"/>
      <c r="AF28" s="113" t="s">
        <v>35</v>
      </c>
      <c r="AG28" s="114">
        <f>VLOOKUP(Master20[[#This Row],[Elevated Priority]],Epriority,2,)</f>
        <v>-50</v>
      </c>
      <c r="AH28" s="152">
        <f>IF(Master20[[#This Row],[Status]]="Active",Master20[[#This Row],[Status_Score]],IF(D28="","",R28+H28+T28+V28+AG28+AE28+Master20[[#This Row],[Risk Mitigation]]+Master20[[#This Row],[Master Plan]]+Master20[[#This Row],[Community Request]]+Master20[[#This Row],[Community need]]+Master20[[#This Row],[Offset Aging Inf.]]+Master20[[#This Row],[Energy Savings]]+Master20[[#This Row],[Gen Revenue]]-5))</f>
        <v>-100</v>
      </c>
      <c r="AI28" s="114"/>
      <c r="AJ28" s="114"/>
      <c r="AK28" s="114"/>
      <c r="AL28" s="114">
        <v>2022</v>
      </c>
      <c r="AM28" s="114">
        <v>2023</v>
      </c>
      <c r="AN28" s="111" t="s">
        <v>1181</v>
      </c>
    </row>
    <row r="29" spans="1:1402" s="99" customFormat="1" ht="45" hidden="1" x14ac:dyDescent="0.25">
      <c r="A29" s="103">
        <f t="shared" si="3"/>
        <v>28</v>
      </c>
      <c r="B29" s="114" t="s">
        <v>94</v>
      </c>
      <c r="C29" s="111" t="s">
        <v>1045</v>
      </c>
      <c r="D29" s="111" t="s">
        <v>1014</v>
      </c>
      <c r="E29" s="111" t="s">
        <v>1015</v>
      </c>
      <c r="F29" s="112" t="s">
        <v>1016</v>
      </c>
      <c r="G29" s="111" t="s">
        <v>598</v>
      </c>
      <c r="H29" s="111">
        <f t="shared" si="0"/>
        <v>-100</v>
      </c>
      <c r="I29" s="112"/>
      <c r="J29" s="112"/>
      <c r="K29" s="112">
        <f>Master20[[#This Row],[Initial Budget]]-Master20[[#This Row],[Previously Committed Funds]]</f>
        <v>0</v>
      </c>
      <c r="L29" s="112"/>
      <c r="M29" s="112"/>
      <c r="N29" s="116">
        <f>Master20[[#This Row],[Design $ (Add/Deduct)]]+Master20[[#This Row],[Construction $ (Add/Ded)]]</f>
        <v>0</v>
      </c>
      <c r="O29" s="115">
        <v>12500000</v>
      </c>
      <c r="P29" s="114">
        <v>2019</v>
      </c>
      <c r="Q29" s="111" t="s">
        <v>36</v>
      </c>
      <c r="R29" s="114">
        <f t="shared" si="7"/>
        <v>10</v>
      </c>
      <c r="S29" s="113">
        <v>2</v>
      </c>
      <c r="T29" s="114">
        <f t="shared" si="8"/>
        <v>6</v>
      </c>
      <c r="U29" s="113" t="s">
        <v>41</v>
      </c>
      <c r="V29" s="114">
        <f t="shared" si="9"/>
        <v>4</v>
      </c>
      <c r="W29" s="114" t="s">
        <v>30</v>
      </c>
      <c r="X29" s="114">
        <v>0</v>
      </c>
      <c r="Y29" s="114">
        <v>-1</v>
      </c>
      <c r="Z29" s="114">
        <v>-3</v>
      </c>
      <c r="AA29" s="114">
        <v>0</v>
      </c>
      <c r="AB29" s="114">
        <v>-2</v>
      </c>
      <c r="AC29" s="114">
        <v>-5</v>
      </c>
      <c r="AD29" s="114">
        <v>-1</v>
      </c>
      <c r="AE29" s="114"/>
      <c r="AF29" s="113" t="s">
        <v>29</v>
      </c>
      <c r="AG29" s="114">
        <f>VLOOKUP(Master20[[#This Row],[Elevated Priority]],Epriority,2,)</f>
        <v>0</v>
      </c>
      <c r="AH29" s="152">
        <f>IF(Master20[[#This Row],[Status]]="Active",Master20[[#This Row],[Status_Score]],IF(D29="","",R29+H29+T29+V29+AG29+AE29+Master20[[#This Row],[Risk Mitigation]]+Master20[[#This Row],[Master Plan]]+Master20[[#This Row],[Community Request]]+Master20[[#This Row],[Community need]]+Master20[[#This Row],[Offset Aging Inf.]]+Master20[[#This Row],[Energy Savings]]+Master20[[#This Row],[Gen Revenue]]-5))</f>
        <v>-100</v>
      </c>
      <c r="AI29" s="114" t="s">
        <v>716</v>
      </c>
      <c r="AJ29" s="114">
        <v>2021</v>
      </c>
      <c r="AK29" s="114">
        <v>2023</v>
      </c>
      <c r="AL29" s="114">
        <v>2021</v>
      </c>
      <c r="AM29" s="114">
        <v>2024</v>
      </c>
      <c r="AN29" s="111" t="s">
        <v>1182</v>
      </c>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row>
    <row r="30" spans="1:1402" ht="30" hidden="1" x14ac:dyDescent="0.25">
      <c r="A30" s="103">
        <f t="shared" si="3"/>
        <v>29</v>
      </c>
      <c r="B30" s="123" t="s">
        <v>1111</v>
      </c>
      <c r="C30" s="10" t="s">
        <v>1368</v>
      </c>
      <c r="D30" s="10" t="s">
        <v>1364</v>
      </c>
      <c r="E30" s="10" t="s">
        <v>1365</v>
      </c>
      <c r="F30" s="10" t="s">
        <v>1379</v>
      </c>
      <c r="G30" s="10" t="s">
        <v>29</v>
      </c>
      <c r="H30" s="10">
        <f t="shared" si="0"/>
        <v>0</v>
      </c>
      <c r="I30" s="49"/>
      <c r="J30" s="49"/>
      <c r="K30" s="49">
        <f>Master20[[#This Row],[Initial Budget]]-Master20[[#This Row],[Previously Committed Funds]]</f>
        <v>0</v>
      </c>
      <c r="L30" s="49"/>
      <c r="M30" s="49"/>
      <c r="N30" s="97">
        <f>Master20[[#This Row],[Design $ (Add/Deduct)]]+Master20[[#This Row],[Construction $ (Add/Ded)]]</f>
        <v>0</v>
      </c>
      <c r="O30" s="32">
        <v>3000000</v>
      </c>
      <c r="P30" s="8">
        <v>2023</v>
      </c>
      <c r="Q30" s="10" t="s">
        <v>46</v>
      </c>
      <c r="R30" s="8">
        <f t="shared" si="7"/>
        <v>50</v>
      </c>
      <c r="S30" s="8" t="s">
        <v>29</v>
      </c>
      <c r="T30" s="8">
        <f t="shared" si="8"/>
        <v>0</v>
      </c>
      <c r="U30" s="8" t="s">
        <v>33</v>
      </c>
      <c r="V30" s="8">
        <f t="shared" si="9"/>
        <v>1</v>
      </c>
      <c r="W30" s="8" t="s">
        <v>29</v>
      </c>
      <c r="X30" s="8">
        <v>-9</v>
      </c>
      <c r="Y30" s="8">
        <v>0</v>
      </c>
      <c r="Z30" s="8">
        <v>0</v>
      </c>
      <c r="AA30" s="8">
        <v>-3</v>
      </c>
      <c r="AB30" s="8">
        <v>-2</v>
      </c>
      <c r="AC30" s="8">
        <v>-9</v>
      </c>
      <c r="AD30" s="8">
        <v>-2</v>
      </c>
      <c r="AF30" s="17" t="s">
        <v>35</v>
      </c>
      <c r="AG30" s="8">
        <f>VLOOKUP(Master20[[#This Row],[Elevated Priority]],Epriority,2,)</f>
        <v>-50</v>
      </c>
      <c r="AH30" s="152">
        <f>IF(Master20[[#This Row],[Status]]="Active",Master20[[#This Row],[Status_Score]],IF(D30="","",R30+H30+T30+V30+AG30+AE30+Master20[[#This Row],[Risk Mitigation]]+Master20[[#This Row],[Master Plan]]+Master20[[#This Row],[Community Request]]+Master20[[#This Row],[Community need]]+Master20[[#This Row],[Offset Aging Inf.]]+Master20[[#This Row],[Energy Savings]]+Master20[[#This Row],[Gen Revenue]]-5))</f>
        <v>-29</v>
      </c>
      <c r="AI30" s="166"/>
      <c r="AJ30" s="166"/>
      <c r="AK30" s="166"/>
      <c r="AL30" s="166"/>
      <c r="AM30" s="166"/>
      <c r="AN30" s="165"/>
    </row>
    <row r="31" spans="1:1402" ht="60" hidden="1" x14ac:dyDescent="0.25">
      <c r="A31" s="103">
        <f t="shared" si="3"/>
        <v>30</v>
      </c>
      <c r="B31" s="10" t="s">
        <v>143</v>
      </c>
      <c r="C31" s="10" t="s">
        <v>70</v>
      </c>
      <c r="D31" s="10" t="s">
        <v>1291</v>
      </c>
      <c r="E31" s="10" t="s">
        <v>1292</v>
      </c>
      <c r="F31" s="10" t="s">
        <v>1293</v>
      </c>
      <c r="G31" s="10" t="s">
        <v>29</v>
      </c>
      <c r="H31" s="10">
        <f t="shared" si="0"/>
        <v>0</v>
      </c>
      <c r="I31" s="49"/>
      <c r="J31" s="49"/>
      <c r="K31" s="49">
        <f>Master20[[#This Row],[Initial Budget]]-Master20[[#This Row],[Previously Committed Funds]]</f>
        <v>0</v>
      </c>
      <c r="L31" s="49"/>
      <c r="M31" s="49"/>
      <c r="N31" s="97">
        <v>100000</v>
      </c>
      <c r="O31" s="32">
        <v>250000</v>
      </c>
      <c r="P31" s="8">
        <v>2023</v>
      </c>
      <c r="Q31" s="10" t="s">
        <v>32</v>
      </c>
      <c r="R31" s="8">
        <f t="shared" si="7"/>
        <v>1</v>
      </c>
      <c r="S31" s="8">
        <v>1</v>
      </c>
      <c r="T31" s="8">
        <f t="shared" si="8"/>
        <v>3</v>
      </c>
      <c r="U31" s="8" t="s">
        <v>41</v>
      </c>
      <c r="V31" s="8">
        <f t="shared" si="9"/>
        <v>4</v>
      </c>
      <c r="W31" s="8" t="s">
        <v>29</v>
      </c>
      <c r="Y31" s="8">
        <v>0</v>
      </c>
      <c r="Z31" s="8">
        <v>0</v>
      </c>
      <c r="AA31" s="8">
        <v>-3</v>
      </c>
      <c r="AB31" s="8">
        <v>-2</v>
      </c>
      <c r="AC31" s="8">
        <v>-5</v>
      </c>
      <c r="AD31" s="8">
        <v>-3</v>
      </c>
      <c r="AF31" s="17" t="s">
        <v>29</v>
      </c>
      <c r="AG31" s="8">
        <f>VLOOKUP(Master20[[#This Row],[Elevated Priority]],Epriority,2,)</f>
        <v>0</v>
      </c>
      <c r="AH31" s="152">
        <f>IF(Master20[[#This Row],[Status]]="Active",Master20[[#This Row],[Status_Score]],IF(D31="","",R31+H31+T31+V31+AG31+AE31+Master20[[#This Row],[Risk Mitigation]]+Master20[[#This Row],[Master Plan]]+Master20[[#This Row],[Community Request]]+Master20[[#This Row],[Community need]]+Master20[[#This Row],[Offset Aging Inf.]]+Master20[[#This Row],[Energy Savings]]+Master20[[#This Row],[Gen Revenue]]-5))</f>
        <v>-10</v>
      </c>
      <c r="AI31" s="166"/>
      <c r="AJ31" s="166"/>
      <c r="AK31" s="166"/>
      <c r="AL31" s="166"/>
      <c r="AM31" s="166"/>
      <c r="AN31" s="165" t="s">
        <v>1374</v>
      </c>
    </row>
    <row r="32" spans="1:1402" s="99" customFormat="1" ht="75" hidden="1" x14ac:dyDescent="0.25">
      <c r="A32" s="103">
        <f t="shared" si="3"/>
        <v>31</v>
      </c>
      <c r="B32" s="10" t="s">
        <v>143</v>
      </c>
      <c r="C32" s="10"/>
      <c r="D32" s="10" t="s">
        <v>1294</v>
      </c>
      <c r="E32" s="10" t="s">
        <v>1295</v>
      </c>
      <c r="F32" s="10" t="s">
        <v>1296</v>
      </c>
      <c r="G32" s="10" t="s">
        <v>29</v>
      </c>
      <c r="H32" s="10">
        <f t="shared" si="0"/>
        <v>0</v>
      </c>
      <c r="I32" s="49"/>
      <c r="J32" s="49"/>
      <c r="K32" s="49">
        <f>Master20[[#This Row],[Initial Budget]]-Master20[[#This Row],[Previously Committed Funds]]</f>
        <v>0</v>
      </c>
      <c r="L32" s="49"/>
      <c r="M32" s="49"/>
      <c r="N32" s="97">
        <v>1000000</v>
      </c>
      <c r="O32" s="32">
        <v>10000000</v>
      </c>
      <c r="P32" s="8">
        <v>2023</v>
      </c>
      <c r="Q32" s="10" t="s">
        <v>32</v>
      </c>
      <c r="R32" s="8">
        <f t="shared" si="7"/>
        <v>1</v>
      </c>
      <c r="S32" s="8">
        <v>1</v>
      </c>
      <c r="T32" s="8">
        <f t="shared" si="8"/>
        <v>3</v>
      </c>
      <c r="U32" s="8" t="s">
        <v>41</v>
      </c>
      <c r="V32" s="8">
        <f t="shared" si="9"/>
        <v>4</v>
      </c>
      <c r="W32" s="8" t="s">
        <v>29</v>
      </c>
      <c r="X32" s="8"/>
      <c r="Y32" s="8">
        <v>0</v>
      </c>
      <c r="Z32" s="8">
        <v>0</v>
      </c>
      <c r="AA32" s="8">
        <v>0</v>
      </c>
      <c r="AB32" s="8">
        <v>-2</v>
      </c>
      <c r="AC32" s="8">
        <v>-7</v>
      </c>
      <c r="AD32" s="8">
        <v>-2</v>
      </c>
      <c r="AE32" s="8"/>
      <c r="AF32" s="17" t="s">
        <v>29</v>
      </c>
      <c r="AG32" s="8">
        <f>VLOOKUP(Master20[[#This Row],[Elevated Priority]],Epriority,2,)</f>
        <v>0</v>
      </c>
      <c r="AH32" s="152">
        <f>IF(Master20[[#This Row],[Status]]="Active",Master20[[#This Row],[Status_Score]],IF(D32="","",R32+H32+T32+V32+AG32+AE32+Master20[[#This Row],[Risk Mitigation]]+Master20[[#This Row],[Master Plan]]+Master20[[#This Row],[Community Request]]+Master20[[#This Row],[Community need]]+Master20[[#This Row],[Offset Aging Inf.]]+Master20[[#This Row],[Energy Savings]]+Master20[[#This Row],[Gen Revenue]]-5))</f>
        <v>-8</v>
      </c>
      <c r="AI32" s="166"/>
      <c r="AJ32" s="166"/>
      <c r="AK32" s="166"/>
      <c r="AL32" s="166"/>
      <c r="AM32" s="166"/>
      <c r="AN32" s="165" t="s">
        <v>1374</v>
      </c>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row>
    <row r="33" spans="1:1402" s="99" customFormat="1" ht="75" hidden="1" x14ac:dyDescent="0.25">
      <c r="A33" s="103">
        <f t="shared" si="3"/>
        <v>32</v>
      </c>
      <c r="B33" s="10" t="s">
        <v>220</v>
      </c>
      <c r="C33" s="10" t="s">
        <v>143</v>
      </c>
      <c r="D33" s="10" t="s">
        <v>1370</v>
      </c>
      <c r="E33" s="10" t="s">
        <v>1371</v>
      </c>
      <c r="F33" s="10" t="s">
        <v>1372</v>
      </c>
      <c r="G33" s="10" t="s">
        <v>29</v>
      </c>
      <c r="H33" s="10">
        <f t="shared" si="0"/>
        <v>0</v>
      </c>
      <c r="I33" s="49"/>
      <c r="J33" s="49"/>
      <c r="K33" s="49">
        <f>Master20[[#This Row],[Initial Budget]]-Master20[[#This Row],[Previously Committed Funds]]</f>
        <v>0</v>
      </c>
      <c r="L33" s="49"/>
      <c r="M33" s="49"/>
      <c r="N33" s="97">
        <v>75000</v>
      </c>
      <c r="O33" s="32">
        <v>500000</v>
      </c>
      <c r="P33" s="8">
        <v>2023</v>
      </c>
      <c r="Q33" s="10" t="s">
        <v>29</v>
      </c>
      <c r="R33" s="8">
        <f t="shared" si="7"/>
        <v>0</v>
      </c>
      <c r="S33" s="8" t="s">
        <v>29</v>
      </c>
      <c r="T33" s="8">
        <f t="shared" si="8"/>
        <v>0</v>
      </c>
      <c r="U33" s="8" t="s">
        <v>29</v>
      </c>
      <c r="V33" s="8">
        <f t="shared" si="9"/>
        <v>0</v>
      </c>
      <c r="W33" s="8" t="s">
        <v>29</v>
      </c>
      <c r="X33" s="8"/>
      <c r="Y33" s="8">
        <v>0</v>
      </c>
      <c r="Z33" s="8">
        <v>0</v>
      </c>
      <c r="AA33" s="8">
        <v>0</v>
      </c>
      <c r="AB33" s="8">
        <v>0</v>
      </c>
      <c r="AC33" s="8">
        <v>0</v>
      </c>
      <c r="AD33" s="8">
        <v>0</v>
      </c>
      <c r="AE33" s="8"/>
      <c r="AF33" s="17" t="s">
        <v>29</v>
      </c>
      <c r="AG33" s="8">
        <f>VLOOKUP(Master20[[#This Row],[Elevated Priority]],Epriority,2,)</f>
        <v>0</v>
      </c>
      <c r="AH33" s="152">
        <f>IF(Master20[[#This Row],[Status]]="Active",Master20[[#This Row],[Status_Score]],IF(D33="","",R33+H33+T33+V33+AG33+AE33+Master20[[#This Row],[Risk Mitigation]]+Master20[[#This Row],[Master Plan]]+Master20[[#This Row],[Community Request]]+Master20[[#This Row],[Community need]]+Master20[[#This Row],[Offset Aging Inf.]]+Master20[[#This Row],[Energy Savings]]+Master20[[#This Row],[Gen Revenue]]-5))</f>
        <v>-5</v>
      </c>
      <c r="AI33" s="166"/>
      <c r="AJ33" s="166"/>
      <c r="AK33" s="166"/>
      <c r="AL33" s="166"/>
      <c r="AM33" s="166"/>
      <c r="AN33" s="165"/>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row>
    <row r="34" spans="1:1402" s="99" customFormat="1" ht="45" hidden="1" x14ac:dyDescent="0.25">
      <c r="A34" s="103">
        <f t="shared" si="3"/>
        <v>33</v>
      </c>
      <c r="B34" s="10" t="s">
        <v>72</v>
      </c>
      <c r="C34" s="10" t="s">
        <v>1045</v>
      </c>
      <c r="D34" s="10" t="s">
        <v>1369</v>
      </c>
      <c r="E34" s="10" t="s">
        <v>1327</v>
      </c>
      <c r="F34" s="10" t="s">
        <v>1328</v>
      </c>
      <c r="G34" s="10" t="s">
        <v>29</v>
      </c>
      <c r="H34" s="10">
        <f t="shared" si="0"/>
        <v>0</v>
      </c>
      <c r="I34" s="49"/>
      <c r="J34" s="49"/>
      <c r="K34" s="49">
        <f>Master20[[#This Row],[Initial Budget]]-Master20[[#This Row],[Previously Committed Funds]]</f>
        <v>0</v>
      </c>
      <c r="L34" s="49"/>
      <c r="M34" s="49"/>
      <c r="N34" s="97">
        <v>0</v>
      </c>
      <c r="O34" s="32">
        <v>12000</v>
      </c>
      <c r="P34" s="8">
        <v>2023</v>
      </c>
      <c r="Q34" s="10" t="s">
        <v>32</v>
      </c>
      <c r="R34" s="8">
        <f t="shared" si="7"/>
        <v>1</v>
      </c>
      <c r="S34" s="8">
        <v>1</v>
      </c>
      <c r="T34" s="8">
        <f t="shared" si="8"/>
        <v>3</v>
      </c>
      <c r="U34" s="8" t="s">
        <v>37</v>
      </c>
      <c r="V34" s="8">
        <f t="shared" si="9"/>
        <v>3</v>
      </c>
      <c r="W34" s="8" t="s">
        <v>29</v>
      </c>
      <c r="X34" s="8"/>
      <c r="Y34" s="8">
        <v>0</v>
      </c>
      <c r="Z34" s="8">
        <v>0</v>
      </c>
      <c r="AA34" s="8">
        <v>0</v>
      </c>
      <c r="AB34" s="8">
        <v>0</v>
      </c>
      <c r="AC34" s="8">
        <v>0</v>
      </c>
      <c r="AD34" s="8">
        <v>-3</v>
      </c>
      <c r="AE34" s="8"/>
      <c r="AF34" s="17" t="s">
        <v>29</v>
      </c>
      <c r="AG34" s="8">
        <f>VLOOKUP(Master20[[#This Row],[Elevated Priority]],Epriority,2,)</f>
        <v>0</v>
      </c>
      <c r="AH34" s="152">
        <f>IF(Master20[[#This Row],[Status]]="Active",Master20[[#This Row],[Status_Score]],IF(D34="","",R34+H34+T34+V34+AG34+AE34+Master20[[#This Row],[Risk Mitigation]]+Master20[[#This Row],[Master Plan]]+Master20[[#This Row],[Community Request]]+Master20[[#This Row],[Community need]]+Master20[[#This Row],[Offset Aging Inf.]]+Master20[[#This Row],[Energy Savings]]+Master20[[#This Row],[Gen Revenue]]-5))</f>
        <v>-1</v>
      </c>
      <c r="AI34" s="166"/>
      <c r="AJ34" s="166"/>
      <c r="AK34" s="166"/>
      <c r="AL34" s="166"/>
      <c r="AM34" s="166"/>
      <c r="AN34" s="165"/>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row>
    <row r="35" spans="1:1402" s="99" customFormat="1" ht="45" hidden="1" x14ac:dyDescent="0.25">
      <c r="A35" s="103">
        <f t="shared" si="3"/>
        <v>34</v>
      </c>
      <c r="B35" s="10" t="s">
        <v>646</v>
      </c>
      <c r="C35" s="10" t="s">
        <v>70</v>
      </c>
      <c r="D35" s="10" t="s">
        <v>1375</v>
      </c>
      <c r="E35" s="10" t="s">
        <v>1376</v>
      </c>
      <c r="F35" s="10" t="s">
        <v>1377</v>
      </c>
      <c r="G35" s="10" t="s">
        <v>29</v>
      </c>
      <c r="H35" s="10">
        <f t="shared" si="0"/>
        <v>0</v>
      </c>
      <c r="I35" s="49"/>
      <c r="J35" s="49"/>
      <c r="K35" s="49">
        <f>Master20[[#This Row],[Initial Budget]]-Master20[[#This Row],[Previously Committed Funds]]</f>
        <v>0</v>
      </c>
      <c r="L35" s="49"/>
      <c r="M35" s="49"/>
      <c r="N35" s="97">
        <f>Master20[[#This Row],[Design $ (Add/Deduct)]]+Master20[[#This Row],[Construction $ (Add/Ded)]]</f>
        <v>0</v>
      </c>
      <c r="O35" s="32">
        <v>6000000</v>
      </c>
      <c r="P35" s="8">
        <v>2023</v>
      </c>
      <c r="Q35" s="10" t="s">
        <v>36</v>
      </c>
      <c r="R35" s="8">
        <f t="shared" si="7"/>
        <v>10</v>
      </c>
      <c r="S35" s="8">
        <v>1</v>
      </c>
      <c r="T35" s="8">
        <f t="shared" si="8"/>
        <v>3</v>
      </c>
      <c r="U35" s="8" t="s">
        <v>33</v>
      </c>
      <c r="V35" s="8">
        <f t="shared" si="9"/>
        <v>1</v>
      </c>
      <c r="W35" s="8" t="s">
        <v>29</v>
      </c>
      <c r="X35" s="8"/>
      <c r="Y35" s="8">
        <v>0</v>
      </c>
      <c r="Z35" s="8">
        <v>-3</v>
      </c>
      <c r="AA35" s="8">
        <v>-3</v>
      </c>
      <c r="AB35" s="8">
        <v>-2</v>
      </c>
      <c r="AC35" s="8">
        <v>0</v>
      </c>
      <c r="AD35" s="8">
        <v>-1</v>
      </c>
      <c r="AE35" s="8"/>
      <c r="AF35" s="17" t="s">
        <v>29</v>
      </c>
      <c r="AG35" s="8">
        <f>VLOOKUP(Master20[[#This Row],[Elevated Priority]],Epriority,2,)</f>
        <v>0</v>
      </c>
      <c r="AH35" s="152">
        <f>IF(Master20[[#This Row],[Status]]="Active",Master20[[#This Row],[Status_Score]],IF(D35="","",R35+H35+T35+V35+AG35+AE35+Master20[[#This Row],[Risk Mitigation]]+Master20[[#This Row],[Master Plan]]+Master20[[#This Row],[Community Request]]+Master20[[#This Row],[Community need]]+Master20[[#This Row],[Offset Aging Inf.]]+Master20[[#This Row],[Energy Savings]]+Master20[[#This Row],[Gen Revenue]]-5))</f>
        <v>0</v>
      </c>
      <c r="AI35" s="166"/>
      <c r="AJ35" s="166"/>
      <c r="AK35" s="166"/>
      <c r="AL35" s="166"/>
      <c r="AM35" s="166"/>
      <c r="AN35" s="16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row>
    <row r="36" spans="1:1402" s="99" customFormat="1" ht="45" hidden="1" x14ac:dyDescent="0.25">
      <c r="A36" s="103">
        <f t="shared" si="3"/>
        <v>35</v>
      </c>
      <c r="B36" s="10" t="s">
        <v>646</v>
      </c>
      <c r="C36" s="10" t="s">
        <v>70</v>
      </c>
      <c r="D36" s="10" t="s">
        <v>1378</v>
      </c>
      <c r="E36" s="10" t="s">
        <v>1376</v>
      </c>
      <c r="F36" s="10" t="s">
        <v>1377</v>
      </c>
      <c r="G36" s="10" t="s">
        <v>29</v>
      </c>
      <c r="H36" s="10">
        <f t="shared" si="0"/>
        <v>0</v>
      </c>
      <c r="I36" s="49"/>
      <c r="J36" s="49"/>
      <c r="K36" s="49">
        <f>Master20[[#This Row],[Initial Budget]]-Master20[[#This Row],[Previously Committed Funds]]</f>
        <v>0</v>
      </c>
      <c r="L36" s="49"/>
      <c r="M36" s="49"/>
      <c r="N36" s="97">
        <f>Master20[[#This Row],[Design $ (Add/Deduct)]]+Master20[[#This Row],[Construction $ (Add/Ded)]]</f>
        <v>0</v>
      </c>
      <c r="O36" s="32">
        <v>5000000</v>
      </c>
      <c r="P36" s="8">
        <v>2023</v>
      </c>
      <c r="Q36" s="10" t="s">
        <v>36</v>
      </c>
      <c r="R36" s="8">
        <f t="shared" si="7"/>
        <v>10</v>
      </c>
      <c r="S36" s="8">
        <v>1</v>
      </c>
      <c r="T36" s="8">
        <f t="shared" si="8"/>
        <v>3</v>
      </c>
      <c r="U36" s="8" t="s">
        <v>33</v>
      </c>
      <c r="V36" s="8">
        <f t="shared" si="9"/>
        <v>1</v>
      </c>
      <c r="W36" s="8" t="s">
        <v>29</v>
      </c>
      <c r="X36" s="8"/>
      <c r="Y36" s="8">
        <v>0</v>
      </c>
      <c r="Z36" s="8">
        <v>-3</v>
      </c>
      <c r="AA36" s="8">
        <v>-3</v>
      </c>
      <c r="AB36" s="8">
        <v>-2</v>
      </c>
      <c r="AC36" s="8">
        <v>0</v>
      </c>
      <c r="AD36" s="8">
        <v>-1</v>
      </c>
      <c r="AE36" s="8"/>
      <c r="AF36" s="17" t="s">
        <v>29</v>
      </c>
      <c r="AG36" s="8">
        <f>VLOOKUP(Master20[[#This Row],[Elevated Priority]],Epriority,2,)</f>
        <v>0</v>
      </c>
      <c r="AH36" s="152">
        <f>IF(Master20[[#This Row],[Status]]="Active",Master20[[#This Row],[Status_Score]],IF(D36="","",R36+H36+T36+V36+AG36+AE36+Master20[[#This Row],[Risk Mitigation]]+Master20[[#This Row],[Master Plan]]+Master20[[#This Row],[Community Request]]+Master20[[#This Row],[Community need]]+Master20[[#This Row],[Offset Aging Inf.]]+Master20[[#This Row],[Energy Savings]]+Master20[[#This Row],[Gen Revenue]]-5))</f>
        <v>0</v>
      </c>
      <c r="AI36" s="166"/>
      <c r="AJ36" s="166"/>
      <c r="AK36" s="166"/>
      <c r="AL36" s="166"/>
      <c r="AM36" s="166"/>
      <c r="AN36" s="165"/>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row>
    <row r="37" spans="1:1402" s="99" customFormat="1" ht="60" hidden="1" x14ac:dyDescent="0.25">
      <c r="A37" s="103">
        <f t="shared" si="3"/>
        <v>36</v>
      </c>
      <c r="B37" s="10" t="s">
        <v>1271</v>
      </c>
      <c r="C37" s="10" t="s">
        <v>72</v>
      </c>
      <c r="D37" s="10" t="s">
        <v>1056</v>
      </c>
      <c r="E37" s="10" t="s">
        <v>1057</v>
      </c>
      <c r="F37" s="10" t="s">
        <v>771</v>
      </c>
      <c r="G37" s="10" t="s">
        <v>29</v>
      </c>
      <c r="H37" s="10">
        <f t="shared" si="0"/>
        <v>0</v>
      </c>
      <c r="I37" s="49"/>
      <c r="J37" s="49"/>
      <c r="K37" s="49">
        <f>Master20[[#This Row],[Initial Budget]]-Master20[[#This Row],[Previously Committed Funds]]</f>
        <v>0</v>
      </c>
      <c r="L37" s="49"/>
      <c r="M37" s="49"/>
      <c r="N37" s="97">
        <f>Master20[[#This Row],[Design $ (Add/Deduct)]]+Master20[[#This Row],[Construction $ (Add/Ded)]]</f>
        <v>0</v>
      </c>
      <c r="O37" s="32">
        <v>800000</v>
      </c>
      <c r="P37" s="8">
        <v>2018</v>
      </c>
      <c r="Q37" s="10" t="s">
        <v>1128</v>
      </c>
      <c r="R37" s="8">
        <f t="shared" si="7"/>
        <v>5</v>
      </c>
      <c r="S37" s="8">
        <v>2</v>
      </c>
      <c r="T37" s="8">
        <f t="shared" si="8"/>
        <v>6</v>
      </c>
      <c r="U37" s="8" t="s">
        <v>41</v>
      </c>
      <c r="V37" s="8">
        <f t="shared" si="9"/>
        <v>4</v>
      </c>
      <c r="W37" s="8" t="s">
        <v>34</v>
      </c>
      <c r="X37" s="8">
        <v>0</v>
      </c>
      <c r="Y37" s="8">
        <v>0</v>
      </c>
      <c r="Z37" s="8">
        <v>0</v>
      </c>
      <c r="AA37" s="8">
        <v>-3</v>
      </c>
      <c r="AB37" s="8">
        <v>0</v>
      </c>
      <c r="AC37" s="8">
        <v>0</v>
      </c>
      <c r="AD37" s="8">
        <v>-3</v>
      </c>
      <c r="AE37" s="8"/>
      <c r="AF37" s="17" t="s">
        <v>29</v>
      </c>
      <c r="AG37" s="8">
        <f>VLOOKUP(Master20[[#This Row],[Elevated Priority]],Epriority,2,)</f>
        <v>0</v>
      </c>
      <c r="AH37" s="152">
        <f>IF(Master20[[#This Row],[Status]]="Active",Master20[[#This Row],[Status_Score]],IF(D37="","",R37+H37+T37+V37+AG37+AE37+Master20[[#This Row],[Risk Mitigation]]+Master20[[#This Row],[Master Plan]]+Master20[[#This Row],[Community Request]]+Master20[[#This Row],[Community need]]+Master20[[#This Row],[Offset Aging Inf.]]+Master20[[#This Row],[Energy Savings]]+Master20[[#This Row],[Gen Revenue]]-5))</f>
        <v>4</v>
      </c>
      <c r="AI37" s="8" t="s">
        <v>1038</v>
      </c>
      <c r="AJ37" s="8">
        <v>2020</v>
      </c>
      <c r="AK37" s="8">
        <v>2022</v>
      </c>
      <c r="AL37" s="8">
        <v>2022</v>
      </c>
      <c r="AM37" s="8">
        <v>2024</v>
      </c>
      <c r="AN37" s="10"/>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row>
    <row r="38" spans="1:1402" ht="30" hidden="1" x14ac:dyDescent="0.25">
      <c r="A38" s="103">
        <f t="shared" si="3"/>
        <v>37</v>
      </c>
      <c r="B38" s="10" t="s">
        <v>1207</v>
      </c>
      <c r="C38" s="10" t="s">
        <v>1196</v>
      </c>
      <c r="D38" s="10" t="s">
        <v>1373</v>
      </c>
      <c r="E38" s="10" t="s">
        <v>1115</v>
      </c>
      <c r="F38" s="10"/>
      <c r="G38" s="10" t="s">
        <v>29</v>
      </c>
      <c r="H38" s="10">
        <f t="shared" si="0"/>
        <v>0</v>
      </c>
      <c r="I38" s="49"/>
      <c r="J38" s="49"/>
      <c r="K38" s="49">
        <f>Master20[[#This Row],[Initial Budget]]-Master20[[#This Row],[Previously Committed Funds]]</f>
        <v>0</v>
      </c>
      <c r="L38" s="49"/>
      <c r="M38" s="49"/>
      <c r="N38" s="97">
        <f>Master20[[#This Row],[Design $ (Add/Deduct)]]+Master20[[#This Row],[Construction $ (Add/Ded)]]</f>
        <v>0</v>
      </c>
      <c r="O38" s="32">
        <v>350000</v>
      </c>
      <c r="P38" s="8">
        <v>2022</v>
      </c>
      <c r="Q38" s="10" t="s">
        <v>830</v>
      </c>
      <c r="R38" s="8">
        <f t="shared" si="7"/>
        <v>10</v>
      </c>
      <c r="S38" s="8">
        <v>5</v>
      </c>
      <c r="T38" s="8">
        <f t="shared" si="8"/>
        <v>15</v>
      </c>
      <c r="U38" s="8" t="s">
        <v>43</v>
      </c>
      <c r="V38" s="8">
        <f t="shared" si="9"/>
        <v>16</v>
      </c>
      <c r="W38" s="8" t="s">
        <v>1112</v>
      </c>
      <c r="X38" s="8">
        <v>0</v>
      </c>
      <c r="Y38" s="8">
        <v>0</v>
      </c>
      <c r="Z38" s="8">
        <v>0</v>
      </c>
      <c r="AA38" s="8">
        <v>0</v>
      </c>
      <c r="AB38" s="8">
        <v>-2</v>
      </c>
      <c r="AC38" s="8">
        <v>-3</v>
      </c>
      <c r="AD38" s="8">
        <v>-2</v>
      </c>
      <c r="AF38" s="17" t="s">
        <v>31</v>
      </c>
      <c r="AG38" s="8">
        <f>VLOOKUP(Master20[[#This Row],[Elevated Priority]],Epriority,2,)</f>
        <v>-25</v>
      </c>
      <c r="AH38" s="152">
        <f>IF(Master20[[#This Row],[Status]]="Active",Master20[[#This Row],[Status_Score]],IF(D38="","",R38+H38+T38+V38+AG38+AE38+Master20[[#This Row],[Risk Mitigation]]+Master20[[#This Row],[Master Plan]]+Master20[[#This Row],[Community Request]]+Master20[[#This Row],[Community need]]+Master20[[#This Row],[Offset Aging Inf.]]+Master20[[#This Row],[Energy Savings]]+Master20[[#This Row],[Gen Revenue]]-5))</f>
        <v>4</v>
      </c>
      <c r="AI38" s="8"/>
      <c r="AJ38" s="8"/>
      <c r="AK38" s="8"/>
      <c r="AL38" s="8">
        <v>2023</v>
      </c>
      <c r="AM38" s="8">
        <v>2024</v>
      </c>
      <c r="AN38" s="10"/>
    </row>
    <row r="39" spans="1:1402" ht="45" hidden="1" x14ac:dyDescent="0.25">
      <c r="A39" s="103">
        <f t="shared" si="3"/>
        <v>38</v>
      </c>
      <c r="B39" s="10" t="s">
        <v>646</v>
      </c>
      <c r="C39" s="10" t="s">
        <v>70</v>
      </c>
      <c r="D39" s="10" t="s">
        <v>1361</v>
      </c>
      <c r="E39" s="10" t="s">
        <v>1362</v>
      </c>
      <c r="F39" s="10" t="s">
        <v>1363</v>
      </c>
      <c r="G39" s="10" t="s">
        <v>29</v>
      </c>
      <c r="H39" s="10">
        <f t="shared" si="0"/>
        <v>0</v>
      </c>
      <c r="I39" s="49"/>
      <c r="J39" s="49"/>
      <c r="K39" s="49">
        <f>Master20[[#This Row],[Initial Budget]]-Master20[[#This Row],[Previously Committed Funds]]</f>
        <v>0</v>
      </c>
      <c r="L39" s="49"/>
      <c r="M39" s="49"/>
      <c r="N39" s="97">
        <v>75000</v>
      </c>
      <c r="O39" s="32">
        <v>75000</v>
      </c>
      <c r="P39" s="8">
        <v>2023</v>
      </c>
      <c r="Q39" s="10" t="s">
        <v>36</v>
      </c>
      <c r="R39" s="8">
        <f t="shared" si="7"/>
        <v>10</v>
      </c>
      <c r="S39" s="8">
        <v>1</v>
      </c>
      <c r="T39" s="8">
        <f t="shared" si="8"/>
        <v>3</v>
      </c>
      <c r="U39" s="8" t="s">
        <v>33</v>
      </c>
      <c r="V39" s="8">
        <f t="shared" si="9"/>
        <v>1</v>
      </c>
      <c r="W39" s="8" t="s">
        <v>29</v>
      </c>
      <c r="Y39" s="8">
        <v>0</v>
      </c>
      <c r="Z39" s="8">
        <v>0</v>
      </c>
      <c r="AA39" s="8">
        <v>0</v>
      </c>
      <c r="AB39" s="8">
        <v>-2</v>
      </c>
      <c r="AC39" s="8">
        <v>0</v>
      </c>
      <c r="AD39" s="8">
        <v>-2</v>
      </c>
      <c r="AF39" s="17" t="s">
        <v>29</v>
      </c>
      <c r="AG39" s="8">
        <f>VLOOKUP(Master20[[#This Row],[Elevated Priority]],Epriority,2,)</f>
        <v>0</v>
      </c>
      <c r="AH39" s="152">
        <f>IF(Master20[[#This Row],[Status]]="Active",Master20[[#This Row],[Status_Score]],IF(D39="","",R39+H39+T39+V39+AG39+AE39+Master20[[#This Row],[Risk Mitigation]]+Master20[[#This Row],[Master Plan]]+Master20[[#This Row],[Community Request]]+Master20[[#This Row],[Community need]]+Master20[[#This Row],[Offset Aging Inf.]]+Master20[[#This Row],[Energy Savings]]+Master20[[#This Row],[Gen Revenue]]-5))</f>
        <v>5</v>
      </c>
      <c r="AI39" s="166"/>
      <c r="AJ39" s="166"/>
      <c r="AK39" s="166"/>
      <c r="AL39" s="166"/>
      <c r="AM39" s="166"/>
      <c r="AN39" s="165"/>
    </row>
    <row r="40" spans="1:1402" ht="30" hidden="1" x14ac:dyDescent="0.25">
      <c r="A40" s="103">
        <f t="shared" si="3"/>
        <v>39</v>
      </c>
      <c r="B40" s="10" t="s">
        <v>1242</v>
      </c>
      <c r="C40" s="10" t="s">
        <v>1045</v>
      </c>
      <c r="D40" s="10" t="s">
        <v>1303</v>
      </c>
      <c r="E40" s="10" t="s">
        <v>1251</v>
      </c>
      <c r="F40" s="10" t="s">
        <v>1252</v>
      </c>
      <c r="G40" s="10" t="s">
        <v>29</v>
      </c>
      <c r="H40" s="10">
        <f t="shared" si="0"/>
        <v>0</v>
      </c>
      <c r="I40" s="49"/>
      <c r="J40" s="49"/>
      <c r="K40" s="49">
        <f>Master20[[#This Row],[Initial Budget]]-Master20[[#This Row],[Previously Committed Funds]]</f>
        <v>0</v>
      </c>
      <c r="L40" s="49"/>
      <c r="M40" s="49"/>
      <c r="N40" s="97">
        <v>50000</v>
      </c>
      <c r="O40" s="32">
        <v>500000</v>
      </c>
      <c r="P40" s="8">
        <v>2023</v>
      </c>
      <c r="Q40" s="10" t="s">
        <v>1128</v>
      </c>
      <c r="R40" s="8">
        <f t="shared" si="7"/>
        <v>5</v>
      </c>
      <c r="S40" s="8">
        <v>1</v>
      </c>
      <c r="T40" s="8">
        <f t="shared" si="8"/>
        <v>3</v>
      </c>
      <c r="U40" s="8" t="s">
        <v>41</v>
      </c>
      <c r="V40" s="8">
        <f t="shared" si="9"/>
        <v>4</v>
      </c>
      <c r="W40" s="8" t="s">
        <v>29</v>
      </c>
      <c r="Y40" s="8">
        <v>0</v>
      </c>
      <c r="Z40" s="8">
        <v>0</v>
      </c>
      <c r="AA40" s="8">
        <v>0</v>
      </c>
      <c r="AB40" s="8">
        <v>0</v>
      </c>
      <c r="AC40" s="8">
        <v>0</v>
      </c>
      <c r="AD40" s="8">
        <v>0</v>
      </c>
      <c r="AF40" s="17" t="s">
        <v>29</v>
      </c>
      <c r="AG40" s="8">
        <f>VLOOKUP(Master20[[#This Row],[Elevated Priority]],Epriority,2,)</f>
        <v>0</v>
      </c>
      <c r="AH40" s="152">
        <f>IF(Master20[[#This Row],[Status]]="Active",Master20[[#This Row],[Status_Score]],IF(D40="","",R40+H40+T40+V40+AG40+AE40+Master20[[#This Row],[Risk Mitigation]]+Master20[[#This Row],[Master Plan]]+Master20[[#This Row],[Community Request]]+Master20[[#This Row],[Community need]]+Master20[[#This Row],[Offset Aging Inf.]]+Master20[[#This Row],[Energy Savings]]+Master20[[#This Row],[Gen Revenue]]-5))</f>
        <v>7</v>
      </c>
      <c r="AI40" s="166"/>
      <c r="AJ40" s="166"/>
      <c r="AK40" s="166"/>
      <c r="AL40" s="166"/>
      <c r="AM40" s="166"/>
      <c r="AN40" s="165"/>
    </row>
    <row r="41" spans="1:1402" ht="45" hidden="1" x14ac:dyDescent="0.25">
      <c r="A41" s="103">
        <f t="shared" si="3"/>
        <v>40</v>
      </c>
      <c r="B41" s="10" t="s">
        <v>70</v>
      </c>
      <c r="C41" s="10" t="s">
        <v>79</v>
      </c>
      <c r="D41" s="10" t="s">
        <v>780</v>
      </c>
      <c r="E41" s="10" t="s">
        <v>311</v>
      </c>
      <c r="F41" s="10" t="s">
        <v>312</v>
      </c>
      <c r="G41" s="10" t="s">
        <v>29</v>
      </c>
      <c r="H41" s="10">
        <f t="shared" si="0"/>
        <v>0</v>
      </c>
      <c r="I41" s="49"/>
      <c r="J41" s="49"/>
      <c r="K41" s="49">
        <f>Master20[[#This Row],[Initial Budget]]-Master20[[#This Row],[Previously Committed Funds]]</f>
        <v>0</v>
      </c>
      <c r="L41" s="49"/>
      <c r="M41" s="49"/>
      <c r="N41" s="97">
        <v>40000</v>
      </c>
      <c r="O41" s="32">
        <v>250000</v>
      </c>
      <c r="P41" s="8">
        <v>2018</v>
      </c>
      <c r="Q41" s="10" t="s">
        <v>36</v>
      </c>
      <c r="R41" s="8">
        <f t="shared" si="7"/>
        <v>10</v>
      </c>
      <c r="S41" s="8">
        <v>3</v>
      </c>
      <c r="T41" s="8">
        <f t="shared" si="8"/>
        <v>9</v>
      </c>
      <c r="U41" s="8" t="s">
        <v>37</v>
      </c>
      <c r="V41" s="8">
        <f t="shared" si="9"/>
        <v>3</v>
      </c>
      <c r="W41" s="8" t="s">
        <v>34</v>
      </c>
      <c r="X41" s="8">
        <v>0</v>
      </c>
      <c r="Y41" s="8">
        <v>0</v>
      </c>
      <c r="Z41" s="8">
        <v>-3</v>
      </c>
      <c r="AA41" s="8">
        <v>0</v>
      </c>
      <c r="AB41" s="8">
        <v>0</v>
      </c>
      <c r="AC41" s="8">
        <v>0</v>
      </c>
      <c r="AD41" s="8">
        <v>-3</v>
      </c>
      <c r="AF41" s="17" t="s">
        <v>29</v>
      </c>
      <c r="AG41" s="8">
        <f>VLOOKUP(Master20[[#This Row],[Elevated Priority]],Epriority,2,)</f>
        <v>0</v>
      </c>
      <c r="AH41" s="152">
        <f>IF(Master20[[#This Row],[Status]]="Active",Master20[[#This Row],[Status_Score]],IF(D41="","",R41+H41+T41+V41+AG41+AE41+Master20[[#This Row],[Risk Mitigation]]+Master20[[#This Row],[Master Plan]]+Master20[[#This Row],[Community Request]]+Master20[[#This Row],[Community need]]+Master20[[#This Row],[Offset Aging Inf.]]+Master20[[#This Row],[Energy Savings]]+Master20[[#This Row],[Gen Revenue]]-5))</f>
        <v>11</v>
      </c>
      <c r="AI41" s="8"/>
      <c r="AJ41" s="8">
        <v>2022</v>
      </c>
      <c r="AK41" s="8">
        <v>2023</v>
      </c>
      <c r="AL41" s="8">
        <v>2022</v>
      </c>
      <c r="AM41" s="8">
        <v>2023</v>
      </c>
      <c r="AN41" s="10"/>
    </row>
    <row r="42" spans="1:1402" ht="30" hidden="1" x14ac:dyDescent="0.25">
      <c r="A42" s="103">
        <f t="shared" si="3"/>
        <v>41</v>
      </c>
      <c r="B42" s="10" t="s">
        <v>1195</v>
      </c>
      <c r="C42" s="10" t="s">
        <v>1197</v>
      </c>
      <c r="D42" s="10" t="s">
        <v>1124</v>
      </c>
      <c r="E42" s="10" t="s">
        <v>1125</v>
      </c>
      <c r="F42" s="10" t="s">
        <v>1126</v>
      </c>
      <c r="G42" s="10" t="s">
        <v>29</v>
      </c>
      <c r="H42" s="10">
        <f t="shared" si="0"/>
        <v>0</v>
      </c>
      <c r="I42" s="49"/>
      <c r="J42" s="49"/>
      <c r="K42" s="49">
        <f>Master20[[#This Row],[Initial Budget]]-Master20[[#This Row],[Previously Committed Funds]]</f>
        <v>0</v>
      </c>
      <c r="L42" s="49"/>
      <c r="M42" s="49"/>
      <c r="N42" s="97">
        <v>150000</v>
      </c>
      <c r="O42" s="32">
        <v>150000</v>
      </c>
      <c r="P42" s="8">
        <v>2022</v>
      </c>
      <c r="Q42" s="10" t="s">
        <v>36</v>
      </c>
      <c r="R42" s="8">
        <f t="shared" si="7"/>
        <v>10</v>
      </c>
      <c r="S42" s="8">
        <v>2</v>
      </c>
      <c r="T42" s="8">
        <f t="shared" si="8"/>
        <v>6</v>
      </c>
      <c r="U42" s="8" t="s">
        <v>33</v>
      </c>
      <c r="V42" s="8">
        <f t="shared" si="9"/>
        <v>1</v>
      </c>
      <c r="X42" s="8">
        <v>0</v>
      </c>
      <c r="Y42" s="8">
        <v>0</v>
      </c>
      <c r="Z42" s="8">
        <v>0</v>
      </c>
      <c r="AA42" s="8">
        <v>0</v>
      </c>
      <c r="AB42" s="8">
        <v>0</v>
      </c>
      <c r="AC42" s="8">
        <v>0</v>
      </c>
      <c r="AD42" s="8">
        <v>-1</v>
      </c>
      <c r="AF42" s="17" t="s">
        <v>29</v>
      </c>
      <c r="AG42" s="8">
        <f>VLOOKUP(Master20[[#This Row],[Elevated Priority]],Epriority,2,)</f>
        <v>0</v>
      </c>
      <c r="AH42" s="152">
        <f>IF(Master20[[#This Row],[Status]]="Active",Master20[[#This Row],[Status_Score]],IF(D42="","",R42+H42+T42+V42+AG42+AE42+Master20[[#This Row],[Risk Mitigation]]+Master20[[#This Row],[Master Plan]]+Master20[[#This Row],[Community Request]]+Master20[[#This Row],[Community need]]+Master20[[#This Row],[Offset Aging Inf.]]+Master20[[#This Row],[Energy Savings]]+Master20[[#This Row],[Gen Revenue]]-5))</f>
        <v>11</v>
      </c>
      <c r="AI42" s="8"/>
      <c r="AJ42" s="8"/>
      <c r="AK42" s="8"/>
      <c r="AL42" s="8">
        <v>2023</v>
      </c>
      <c r="AM42" s="8">
        <v>2024</v>
      </c>
      <c r="AN42" s="10"/>
    </row>
    <row r="43" spans="1:1402" ht="75" hidden="1" x14ac:dyDescent="0.25">
      <c r="A43" s="103">
        <f t="shared" si="3"/>
        <v>42</v>
      </c>
      <c r="B43" s="10" t="s">
        <v>1191</v>
      </c>
      <c r="C43" s="10"/>
      <c r="D43" s="10" t="s">
        <v>1267</v>
      </c>
      <c r="E43" s="10" t="s">
        <v>1268</v>
      </c>
      <c r="F43" s="10" t="s">
        <v>1269</v>
      </c>
      <c r="G43" s="10" t="s">
        <v>29</v>
      </c>
      <c r="H43" s="10">
        <f t="shared" si="0"/>
        <v>0</v>
      </c>
      <c r="I43" s="49"/>
      <c r="J43" s="49"/>
      <c r="K43" s="49">
        <f>Master20[[#This Row],[Initial Budget]]-Master20[[#This Row],[Previously Committed Funds]]</f>
        <v>0</v>
      </c>
      <c r="L43" s="49"/>
      <c r="M43" s="49"/>
      <c r="N43" s="97">
        <f>Master20[[#This Row],[Design $ (Add/Deduct)]]+Master20[[#This Row],[Construction $ (Add/Ded)]]</f>
        <v>0</v>
      </c>
      <c r="O43" s="32">
        <v>50000</v>
      </c>
      <c r="P43" s="8">
        <v>2023</v>
      </c>
      <c r="Q43" s="10" t="s">
        <v>36</v>
      </c>
      <c r="R43" s="8">
        <f t="shared" si="7"/>
        <v>10</v>
      </c>
      <c r="S43" s="8">
        <v>1</v>
      </c>
      <c r="T43" s="8">
        <f t="shared" si="8"/>
        <v>3</v>
      </c>
      <c r="U43" s="8" t="s">
        <v>37</v>
      </c>
      <c r="V43" s="8">
        <f t="shared" si="9"/>
        <v>3</v>
      </c>
      <c r="W43" s="8" t="s">
        <v>29</v>
      </c>
      <c r="Y43" s="8">
        <v>0</v>
      </c>
      <c r="Z43" s="8">
        <v>0</v>
      </c>
      <c r="AA43" s="8">
        <v>0</v>
      </c>
      <c r="AB43" s="8">
        <v>0</v>
      </c>
      <c r="AC43" s="8">
        <v>0</v>
      </c>
      <c r="AD43" s="8">
        <v>0</v>
      </c>
      <c r="AF43" s="17" t="s">
        <v>29</v>
      </c>
      <c r="AG43" s="8">
        <f>VLOOKUP(Master20[[#This Row],[Elevated Priority]],Epriority,2,)</f>
        <v>0</v>
      </c>
      <c r="AH43" s="152">
        <f>IF(Master20[[#This Row],[Status]]="Active",Master20[[#This Row],[Status_Score]],IF(D43="","",R43+H43+T43+V43+AG43+AE43+Master20[[#This Row],[Risk Mitigation]]+Master20[[#This Row],[Master Plan]]+Master20[[#This Row],[Community Request]]+Master20[[#This Row],[Community need]]+Master20[[#This Row],[Offset Aging Inf.]]+Master20[[#This Row],[Energy Savings]]+Master20[[#This Row],[Gen Revenue]]-5))</f>
        <v>11</v>
      </c>
      <c r="AI43" s="166"/>
      <c r="AJ43" s="166"/>
      <c r="AK43" s="166"/>
      <c r="AL43" s="166"/>
      <c r="AM43" s="166"/>
      <c r="AN43" s="165"/>
    </row>
    <row r="44" spans="1:1402" ht="30" hidden="1" x14ac:dyDescent="0.25">
      <c r="A44" s="103">
        <f t="shared" si="3"/>
        <v>43</v>
      </c>
      <c r="B44" s="123" t="s">
        <v>65</v>
      </c>
      <c r="C44" s="10" t="s">
        <v>1045</v>
      </c>
      <c r="D44" s="10" t="s">
        <v>1344</v>
      </c>
      <c r="E44" s="10" t="s">
        <v>1345</v>
      </c>
      <c r="F44" s="10" t="s">
        <v>1346</v>
      </c>
      <c r="G44" s="10" t="s">
        <v>29</v>
      </c>
      <c r="H44" s="10">
        <v>0</v>
      </c>
      <c r="I44" s="49"/>
      <c r="J44" s="49"/>
      <c r="K44" s="49">
        <v>0</v>
      </c>
      <c r="L44" s="49"/>
      <c r="M44" s="49"/>
      <c r="N44" s="97">
        <v>0</v>
      </c>
      <c r="O44" s="32">
        <v>75000</v>
      </c>
      <c r="P44" s="8">
        <v>2023</v>
      </c>
      <c r="Q44" s="10" t="s">
        <v>36</v>
      </c>
      <c r="R44" s="8">
        <v>10</v>
      </c>
      <c r="S44" s="8">
        <v>2</v>
      </c>
      <c r="T44" s="8">
        <f t="shared" si="8"/>
        <v>6</v>
      </c>
      <c r="U44" s="8" t="s">
        <v>33</v>
      </c>
      <c r="V44" s="8">
        <f t="shared" si="9"/>
        <v>1</v>
      </c>
      <c r="W44" s="8" t="s">
        <v>29</v>
      </c>
      <c r="Y44" s="8">
        <v>0</v>
      </c>
      <c r="Z44" s="8">
        <v>0</v>
      </c>
      <c r="AA44" s="8">
        <v>0</v>
      </c>
      <c r="AB44" s="8">
        <v>0</v>
      </c>
      <c r="AC44" s="8">
        <v>0</v>
      </c>
      <c r="AD44" s="8">
        <v>0</v>
      </c>
      <c r="AF44" s="17" t="s">
        <v>29</v>
      </c>
      <c r="AG44" s="8">
        <f>VLOOKUP(Master20[[#This Row],[Elevated Priority]],Epriority,2,)</f>
        <v>0</v>
      </c>
      <c r="AH44" s="152">
        <f>IF(Master20[[#This Row],[Status]]="Active",Master20[[#This Row],[Status_Score]],IF(D44="","",R44+H44+T44+V44+AG44+AE44+Master20[[#This Row],[Risk Mitigation]]+Master20[[#This Row],[Master Plan]]+Master20[[#This Row],[Community Request]]+Master20[[#This Row],[Community need]]+Master20[[#This Row],[Offset Aging Inf.]]+Master20[[#This Row],[Energy Savings]]+Master20[[#This Row],[Gen Revenue]]-5))</f>
        <v>12</v>
      </c>
      <c r="AI44" s="166"/>
      <c r="AJ44" s="166"/>
      <c r="AK44" s="166"/>
      <c r="AL44" s="166"/>
      <c r="AM44" s="166"/>
      <c r="AN44" s="165"/>
    </row>
    <row r="45" spans="1:1402" ht="60" hidden="1" x14ac:dyDescent="0.25">
      <c r="A45" s="103">
        <f t="shared" si="3"/>
        <v>44</v>
      </c>
      <c r="B45" s="10" t="s">
        <v>1205</v>
      </c>
      <c r="C45" s="10" t="s">
        <v>70</v>
      </c>
      <c r="D45" s="10" t="s">
        <v>1000</v>
      </c>
      <c r="E45" s="10" t="s">
        <v>228</v>
      </c>
      <c r="F45" s="10" t="s">
        <v>229</v>
      </c>
      <c r="G45" s="10" t="s">
        <v>29</v>
      </c>
      <c r="H45" s="10">
        <f t="shared" ref="H45:H50" si="10">VLOOKUP(G45,Status_Score,2,FALSE)</f>
        <v>0</v>
      </c>
      <c r="I45" s="49"/>
      <c r="J45" s="49"/>
      <c r="K45" s="49">
        <f>Master20[[#This Row],[Initial Budget]]-Master20[[#This Row],[Previously Committed Funds]]</f>
        <v>0</v>
      </c>
      <c r="L45" s="49"/>
      <c r="M45" s="49"/>
      <c r="N45" s="97">
        <f>Master20[[#This Row],[Design $ (Add/Deduct)]]+Master20[[#This Row],[Construction $ (Add/Ded)]]</f>
        <v>0</v>
      </c>
      <c r="O45" s="32">
        <v>100000</v>
      </c>
      <c r="P45" s="8">
        <v>2018</v>
      </c>
      <c r="Q45" s="10" t="s">
        <v>36</v>
      </c>
      <c r="R45" s="8">
        <f t="shared" ref="R45:R50" si="11">VLOOKUP(Q45,Importance,2,FALSE)</f>
        <v>10</v>
      </c>
      <c r="S45" s="8">
        <v>2</v>
      </c>
      <c r="T45" s="8">
        <f t="shared" si="8"/>
        <v>6</v>
      </c>
      <c r="U45" s="8" t="s">
        <v>37</v>
      </c>
      <c r="V45" s="8">
        <f t="shared" si="9"/>
        <v>3</v>
      </c>
      <c r="W45" s="8" t="s">
        <v>30</v>
      </c>
      <c r="X45" s="8">
        <v>0</v>
      </c>
      <c r="Y45" s="8">
        <v>0</v>
      </c>
      <c r="Z45" s="8">
        <v>0</v>
      </c>
      <c r="AA45" s="8">
        <v>0</v>
      </c>
      <c r="AB45" s="8">
        <v>0</v>
      </c>
      <c r="AC45" s="8">
        <v>0</v>
      </c>
      <c r="AD45" s="8">
        <v>0</v>
      </c>
      <c r="AF45" s="17" t="s">
        <v>29</v>
      </c>
      <c r="AG45" s="8">
        <f>VLOOKUP(Master20[[#This Row],[Elevated Priority]],Epriority,2,)</f>
        <v>0</v>
      </c>
      <c r="AH45" s="152">
        <f>IF(Master20[[#This Row],[Status]]="Active",Master20[[#This Row],[Status_Score]],IF(D45="","",R45+H45+T45+V45+AG45+AE45+Master20[[#This Row],[Risk Mitigation]]+Master20[[#This Row],[Master Plan]]+Master20[[#This Row],[Community Request]]+Master20[[#This Row],[Community need]]+Master20[[#This Row],[Offset Aging Inf.]]+Master20[[#This Row],[Energy Savings]]+Master20[[#This Row],[Gen Revenue]]-5))</f>
        <v>14</v>
      </c>
      <c r="AI45" s="8"/>
      <c r="AJ45" s="8">
        <v>2020</v>
      </c>
      <c r="AK45" s="8">
        <v>2021</v>
      </c>
      <c r="AL45" s="8">
        <v>2022</v>
      </c>
      <c r="AM45" s="8">
        <v>2023</v>
      </c>
      <c r="AN45" s="10" t="s">
        <v>974</v>
      </c>
    </row>
    <row r="46" spans="1:1402" ht="30" hidden="1" x14ac:dyDescent="0.25">
      <c r="A46" s="103">
        <f t="shared" si="3"/>
        <v>45</v>
      </c>
      <c r="B46" s="10" t="s">
        <v>1195</v>
      </c>
      <c r="C46" s="10" t="s">
        <v>1197</v>
      </c>
      <c r="D46" s="10" t="s">
        <v>1024</v>
      </c>
      <c r="E46" s="10" t="s">
        <v>1025</v>
      </c>
      <c r="F46" s="10" t="s">
        <v>1026</v>
      </c>
      <c r="G46" s="10" t="s">
        <v>29</v>
      </c>
      <c r="H46" s="10">
        <f t="shared" si="10"/>
        <v>0</v>
      </c>
      <c r="I46" s="49"/>
      <c r="J46" s="49"/>
      <c r="K46" s="49">
        <f>Master20[[#This Row],[Initial Budget]]-Master20[[#This Row],[Previously Committed Funds]]</f>
        <v>0</v>
      </c>
      <c r="L46" s="49"/>
      <c r="M46" s="49"/>
      <c r="N46" s="97">
        <v>100000</v>
      </c>
      <c r="O46" s="32">
        <v>650000</v>
      </c>
      <c r="P46" s="8">
        <v>2020</v>
      </c>
      <c r="Q46" s="10" t="s">
        <v>688</v>
      </c>
      <c r="R46" s="8">
        <f t="shared" si="11"/>
        <v>20</v>
      </c>
      <c r="S46" s="8">
        <v>2</v>
      </c>
      <c r="T46" s="8">
        <f t="shared" si="8"/>
        <v>6</v>
      </c>
      <c r="U46" s="8" t="s">
        <v>33</v>
      </c>
      <c r="V46" s="8">
        <f t="shared" si="9"/>
        <v>1</v>
      </c>
      <c r="W46" s="8" t="s">
        <v>30</v>
      </c>
      <c r="X46" s="8">
        <v>0</v>
      </c>
      <c r="Y46" s="8">
        <v>-5</v>
      </c>
      <c r="Z46" s="8">
        <v>-1</v>
      </c>
      <c r="AA46" s="8">
        <v>0</v>
      </c>
      <c r="AB46" s="8">
        <v>0</v>
      </c>
      <c r="AC46" s="8">
        <v>0</v>
      </c>
      <c r="AD46" s="8">
        <v>-2</v>
      </c>
      <c r="AF46" s="17" t="s">
        <v>29</v>
      </c>
      <c r="AG46" s="8">
        <f>VLOOKUP(Master20[[#This Row],[Elevated Priority]],Epriority,2,)</f>
        <v>0</v>
      </c>
      <c r="AH46" s="152">
        <f>IF(Master20[[#This Row],[Status]]="Active",Master20[[#This Row],[Status_Score]],IF(D46="","",R46+H46+T46+V46+AG46+AE46+Master20[[#This Row],[Risk Mitigation]]+Master20[[#This Row],[Master Plan]]+Master20[[#This Row],[Community Request]]+Master20[[#This Row],[Community need]]+Master20[[#This Row],[Offset Aging Inf.]]+Master20[[#This Row],[Energy Savings]]+Master20[[#This Row],[Gen Revenue]]-5))</f>
        <v>14</v>
      </c>
      <c r="AI46" s="8"/>
      <c r="AJ46" s="8">
        <v>2023</v>
      </c>
      <c r="AK46" s="8">
        <v>2024</v>
      </c>
      <c r="AL46" s="8">
        <v>2023</v>
      </c>
      <c r="AM46" s="8">
        <v>2024</v>
      </c>
      <c r="AN46" s="10"/>
    </row>
    <row r="47" spans="1:1402" ht="75" hidden="1" x14ac:dyDescent="0.25">
      <c r="A47" s="103">
        <f t="shared" si="3"/>
        <v>46</v>
      </c>
      <c r="B47" s="10" t="s">
        <v>1242</v>
      </c>
      <c r="C47" s="10" t="s">
        <v>1045</v>
      </c>
      <c r="D47" s="10" t="s">
        <v>1300</v>
      </c>
      <c r="E47" s="10" t="s">
        <v>1243</v>
      </c>
      <c r="F47" s="10" t="s">
        <v>1244</v>
      </c>
      <c r="G47" s="10" t="s">
        <v>29</v>
      </c>
      <c r="H47" s="10">
        <f t="shared" si="10"/>
        <v>0</v>
      </c>
      <c r="I47" s="49"/>
      <c r="J47" s="49"/>
      <c r="K47" s="49">
        <f>Master20[[#This Row],[Initial Budget]]-Master20[[#This Row],[Previously Committed Funds]]</f>
        <v>0</v>
      </c>
      <c r="L47" s="49"/>
      <c r="M47" s="49"/>
      <c r="N47" s="97">
        <v>40000</v>
      </c>
      <c r="O47" s="32">
        <v>250000</v>
      </c>
      <c r="P47" s="8">
        <v>2023</v>
      </c>
      <c r="Q47" s="10" t="s">
        <v>36</v>
      </c>
      <c r="R47" s="8">
        <f t="shared" si="11"/>
        <v>10</v>
      </c>
      <c r="S47" s="8">
        <v>2</v>
      </c>
      <c r="T47" s="8">
        <f t="shared" si="8"/>
        <v>6</v>
      </c>
      <c r="U47" s="8" t="s">
        <v>41</v>
      </c>
      <c r="V47" s="8">
        <f t="shared" si="9"/>
        <v>4</v>
      </c>
      <c r="W47" s="8" t="s">
        <v>29</v>
      </c>
      <c r="Y47" s="8">
        <v>0</v>
      </c>
      <c r="Z47" s="8">
        <v>0</v>
      </c>
      <c r="AA47" s="8">
        <v>0</v>
      </c>
      <c r="AB47" s="8">
        <v>0</v>
      </c>
      <c r="AC47" s="8">
        <v>0</v>
      </c>
      <c r="AD47" s="8">
        <v>0</v>
      </c>
      <c r="AF47" s="17" t="s">
        <v>29</v>
      </c>
      <c r="AG47" s="8">
        <f>VLOOKUP(Master20[[#This Row],[Elevated Priority]],Epriority,2,)</f>
        <v>0</v>
      </c>
      <c r="AH47" s="152">
        <f>IF(Master20[[#This Row],[Status]]="Active",Master20[[#This Row],[Status_Score]],IF(D47="","",R47+H47+T47+V47+AG47+AE47+Master20[[#This Row],[Risk Mitigation]]+Master20[[#This Row],[Master Plan]]+Master20[[#This Row],[Community Request]]+Master20[[#This Row],[Community need]]+Master20[[#This Row],[Offset Aging Inf.]]+Master20[[#This Row],[Energy Savings]]+Master20[[#This Row],[Gen Revenue]]-5))</f>
        <v>15</v>
      </c>
      <c r="AI47" s="166"/>
      <c r="AJ47" s="166"/>
      <c r="AK47" s="166"/>
      <c r="AL47" s="166"/>
      <c r="AM47" s="166"/>
      <c r="AN47" s="165"/>
    </row>
    <row r="48" spans="1:1402" ht="60" hidden="1" x14ac:dyDescent="0.25">
      <c r="A48" s="103">
        <f t="shared" si="3"/>
        <v>47</v>
      </c>
      <c r="B48" s="10" t="s">
        <v>1242</v>
      </c>
      <c r="C48" s="10" t="s">
        <v>1045</v>
      </c>
      <c r="D48" s="10" t="s">
        <v>1308</v>
      </c>
      <c r="E48" s="10" t="s">
        <v>1261</v>
      </c>
      <c r="F48" s="10" t="s">
        <v>1262</v>
      </c>
      <c r="G48" s="10" t="s">
        <v>29</v>
      </c>
      <c r="H48" s="10">
        <f t="shared" si="10"/>
        <v>0</v>
      </c>
      <c r="I48" s="49"/>
      <c r="J48" s="49"/>
      <c r="K48" s="49">
        <f>Master20[[#This Row],[Initial Budget]]-Master20[[#This Row],[Previously Committed Funds]]</f>
        <v>0</v>
      </c>
      <c r="L48" s="49"/>
      <c r="M48" s="49"/>
      <c r="N48" s="97">
        <f>Master20[[#This Row],[Design $ (Add/Deduct)]]+Master20[[#This Row],[Construction $ (Add/Ded)]]</f>
        <v>0</v>
      </c>
      <c r="P48" s="8">
        <v>2023</v>
      </c>
      <c r="Q48" s="10" t="s">
        <v>36</v>
      </c>
      <c r="R48" s="8">
        <f t="shared" si="11"/>
        <v>10</v>
      </c>
      <c r="S48" s="8">
        <v>2</v>
      </c>
      <c r="T48" s="8">
        <f t="shared" si="8"/>
        <v>6</v>
      </c>
      <c r="U48" s="8" t="s">
        <v>41</v>
      </c>
      <c r="V48" s="8">
        <f t="shared" si="9"/>
        <v>4</v>
      </c>
      <c r="W48" s="8" t="s">
        <v>29</v>
      </c>
      <c r="Y48" s="8">
        <v>0</v>
      </c>
      <c r="Z48" s="8">
        <v>0</v>
      </c>
      <c r="AA48" s="8">
        <v>0</v>
      </c>
      <c r="AB48" s="8">
        <v>0</v>
      </c>
      <c r="AC48" s="8">
        <v>0</v>
      </c>
      <c r="AD48" s="8">
        <v>0</v>
      </c>
      <c r="AF48" s="17" t="s">
        <v>29</v>
      </c>
      <c r="AG48" s="8">
        <f>VLOOKUP(Master20[[#This Row],[Elevated Priority]],Epriority,2,)</f>
        <v>0</v>
      </c>
      <c r="AH48" s="152">
        <f>IF(Master20[[#This Row],[Status]]="Active",Master20[[#This Row],[Status_Score]],IF(D48="","",R48+H48+T48+V48+AG48+AE48+Master20[[#This Row],[Risk Mitigation]]+Master20[[#This Row],[Master Plan]]+Master20[[#This Row],[Community Request]]+Master20[[#This Row],[Community need]]+Master20[[#This Row],[Offset Aging Inf.]]+Master20[[#This Row],[Energy Savings]]+Master20[[#This Row],[Gen Revenue]]-5))</f>
        <v>15</v>
      </c>
      <c r="AI48" s="166"/>
      <c r="AJ48" s="166"/>
      <c r="AK48" s="166"/>
      <c r="AL48" s="166"/>
      <c r="AM48" s="166"/>
      <c r="AN48" s="165"/>
    </row>
    <row r="49" spans="1:40" ht="30" hidden="1" x14ac:dyDescent="0.25">
      <c r="A49" s="103">
        <f t="shared" si="3"/>
        <v>48</v>
      </c>
      <c r="B49" s="10" t="s">
        <v>1242</v>
      </c>
      <c r="C49" s="10" t="s">
        <v>1045</v>
      </c>
      <c r="D49" s="10" t="s">
        <v>1307</v>
      </c>
      <c r="E49" s="10" t="s">
        <v>1259</v>
      </c>
      <c r="F49" s="10" t="s">
        <v>1260</v>
      </c>
      <c r="G49" s="10" t="s">
        <v>29</v>
      </c>
      <c r="H49" s="10">
        <f t="shared" si="10"/>
        <v>0</v>
      </c>
      <c r="I49" s="49"/>
      <c r="J49" s="49"/>
      <c r="K49" s="49">
        <f>Master20[[#This Row],[Initial Budget]]-Master20[[#This Row],[Previously Committed Funds]]</f>
        <v>0</v>
      </c>
      <c r="L49" s="49"/>
      <c r="M49" s="49"/>
      <c r="N49" s="97">
        <f>Master20[[#This Row],[Design $ (Add/Deduct)]]+Master20[[#This Row],[Construction $ (Add/Ded)]]</f>
        <v>0</v>
      </c>
      <c r="O49" s="32">
        <v>10000</v>
      </c>
      <c r="P49" s="8">
        <v>2023</v>
      </c>
      <c r="Q49" s="10" t="s">
        <v>688</v>
      </c>
      <c r="R49" s="8">
        <f t="shared" si="11"/>
        <v>20</v>
      </c>
      <c r="S49" s="8">
        <v>1</v>
      </c>
      <c r="T49" s="8">
        <f t="shared" si="8"/>
        <v>3</v>
      </c>
      <c r="U49" s="8" t="s">
        <v>37</v>
      </c>
      <c r="V49" s="8">
        <f t="shared" si="9"/>
        <v>3</v>
      </c>
      <c r="W49" s="8" t="s">
        <v>29</v>
      </c>
      <c r="Y49" s="8">
        <v>0</v>
      </c>
      <c r="Z49" s="8">
        <v>0</v>
      </c>
      <c r="AA49" s="8">
        <v>0</v>
      </c>
      <c r="AB49" s="8">
        <v>0</v>
      </c>
      <c r="AC49" s="8">
        <v>0</v>
      </c>
      <c r="AD49" s="8">
        <v>0</v>
      </c>
      <c r="AF49" s="17" t="s">
        <v>29</v>
      </c>
      <c r="AG49" s="8">
        <f>VLOOKUP(Master20[[#This Row],[Elevated Priority]],Epriority,2,)</f>
        <v>0</v>
      </c>
      <c r="AH49" s="152">
        <f>IF(Master20[[#This Row],[Status]]="Active",Master20[[#This Row],[Status_Score]],IF(D49="","",R49+H49+T49+V49+AG49+AE49+Master20[[#This Row],[Risk Mitigation]]+Master20[[#This Row],[Master Plan]]+Master20[[#This Row],[Community Request]]+Master20[[#This Row],[Community need]]+Master20[[#This Row],[Offset Aging Inf.]]+Master20[[#This Row],[Energy Savings]]+Master20[[#This Row],[Gen Revenue]]-5))</f>
        <v>21</v>
      </c>
      <c r="AI49" s="166"/>
      <c r="AJ49" s="166"/>
      <c r="AK49" s="166"/>
      <c r="AL49" s="166"/>
      <c r="AM49" s="166"/>
      <c r="AN49" s="165"/>
    </row>
    <row r="50" spans="1:40" ht="30" x14ac:dyDescent="0.25">
      <c r="A50" s="103">
        <f t="shared" si="3"/>
        <v>49</v>
      </c>
      <c r="B50" s="10" t="s">
        <v>214</v>
      </c>
      <c r="C50" s="10" t="s">
        <v>1045</v>
      </c>
      <c r="D50" s="10" t="s">
        <v>1227</v>
      </c>
      <c r="E50" s="10" t="s">
        <v>1228</v>
      </c>
      <c r="F50" s="10" t="s">
        <v>1229</v>
      </c>
      <c r="G50" s="10" t="s">
        <v>29</v>
      </c>
      <c r="H50" s="10">
        <f t="shared" si="10"/>
        <v>0</v>
      </c>
      <c r="I50" s="49"/>
      <c r="J50" s="49"/>
      <c r="K50" s="49">
        <f>Master20[[#This Row],[Initial Budget]]-Master20[[#This Row],[Previously Committed Funds]]</f>
        <v>0</v>
      </c>
      <c r="L50" s="49"/>
      <c r="M50" s="49"/>
      <c r="N50" s="97">
        <f>Master20[[#This Row],[Design $ (Add/Deduct)]]+Master20[[#This Row],[Construction $ (Add/Ded)]]</f>
        <v>0</v>
      </c>
      <c r="O50" s="32">
        <v>300000</v>
      </c>
      <c r="P50" s="8">
        <v>2023</v>
      </c>
      <c r="Q50" s="10" t="s">
        <v>688</v>
      </c>
      <c r="R50" s="8">
        <f t="shared" si="11"/>
        <v>20</v>
      </c>
      <c r="S50" s="8">
        <v>1</v>
      </c>
      <c r="T50" s="8">
        <f t="shared" si="8"/>
        <v>3</v>
      </c>
      <c r="U50" s="8" t="s">
        <v>41</v>
      </c>
      <c r="V50" s="8">
        <f t="shared" si="9"/>
        <v>4</v>
      </c>
      <c r="W50" s="8" t="s">
        <v>29</v>
      </c>
      <c r="Y50" s="8">
        <v>0</v>
      </c>
      <c r="Z50" s="8">
        <v>0</v>
      </c>
      <c r="AA50" s="8">
        <v>0</v>
      </c>
      <c r="AB50" s="8">
        <v>0</v>
      </c>
      <c r="AC50" s="8">
        <v>0</v>
      </c>
      <c r="AD50" s="8">
        <v>0</v>
      </c>
      <c r="AF50" s="17" t="s">
        <v>29</v>
      </c>
      <c r="AG50" s="8">
        <f>VLOOKUP(Master20[[#This Row],[Elevated Priority]],Epriority,2,)</f>
        <v>0</v>
      </c>
      <c r="AH50" s="152">
        <f>IF(Master20[[#This Row],[Status]]="Active",Master20[[#This Row],[Status_Score]],IF(D50="","",R50+H50+T50+V50+AG50+AE50+Master20[[#This Row],[Risk Mitigation]]+Master20[[#This Row],[Master Plan]]+Master20[[#This Row],[Community Request]]+Master20[[#This Row],[Community need]]+Master20[[#This Row],[Offset Aging Inf.]]+Master20[[#This Row],[Energy Savings]]+Master20[[#This Row],[Gen Revenue]]-5))</f>
        <v>22</v>
      </c>
      <c r="AI50" s="166"/>
      <c r="AJ50" s="166"/>
      <c r="AK50" s="166"/>
      <c r="AL50" s="166"/>
      <c r="AM50" s="166"/>
      <c r="AN50" s="165"/>
    </row>
    <row r="51" spans="1:40" hidden="1" x14ac:dyDescent="0.25">
      <c r="A51" s="103">
        <f t="shared" si="3"/>
        <v>50</v>
      </c>
      <c r="B51" s="10" t="s">
        <v>65</v>
      </c>
      <c r="C51" s="10" t="s">
        <v>1045</v>
      </c>
      <c r="D51" s="10" t="s">
        <v>1341</v>
      </c>
      <c r="E51" s="10" t="s">
        <v>1342</v>
      </c>
      <c r="F51" s="10" t="s">
        <v>1343</v>
      </c>
      <c r="G51" s="10" t="s">
        <v>29</v>
      </c>
      <c r="H51" s="10">
        <v>0</v>
      </c>
      <c r="I51" s="49"/>
      <c r="J51" s="49"/>
      <c r="K51" s="49">
        <v>0</v>
      </c>
      <c r="L51" s="49"/>
      <c r="M51" s="49"/>
      <c r="N51" s="97">
        <v>0</v>
      </c>
      <c r="O51" s="32">
        <v>350000</v>
      </c>
      <c r="P51" s="8">
        <v>2023</v>
      </c>
      <c r="Q51" s="10" t="s">
        <v>688</v>
      </c>
      <c r="R51" s="8">
        <v>20</v>
      </c>
      <c r="S51" s="8">
        <v>2</v>
      </c>
      <c r="T51" s="8">
        <f t="shared" si="8"/>
        <v>6</v>
      </c>
      <c r="U51" s="8" t="s">
        <v>33</v>
      </c>
      <c r="V51" s="8">
        <f t="shared" si="9"/>
        <v>1</v>
      </c>
      <c r="W51" s="8" t="s">
        <v>29</v>
      </c>
      <c r="Y51" s="8">
        <v>0</v>
      </c>
      <c r="Z51" s="8">
        <v>0</v>
      </c>
      <c r="AA51" s="8">
        <v>0</v>
      </c>
      <c r="AB51" s="8">
        <v>0</v>
      </c>
      <c r="AC51" s="8">
        <v>0</v>
      </c>
      <c r="AD51" s="8">
        <v>0</v>
      </c>
      <c r="AF51" s="17" t="s">
        <v>29</v>
      </c>
      <c r="AG51" s="8">
        <f>VLOOKUP(Master20[[#This Row],[Elevated Priority]],Epriority,2,)</f>
        <v>0</v>
      </c>
      <c r="AH51" s="152">
        <f>IF(Master20[[#This Row],[Status]]="Active",Master20[[#This Row],[Status_Score]],IF(D51="","",R51+H51+T51+V51+AG51+AE51+Master20[[#This Row],[Risk Mitigation]]+Master20[[#This Row],[Master Plan]]+Master20[[#This Row],[Community Request]]+Master20[[#This Row],[Community need]]+Master20[[#This Row],[Offset Aging Inf.]]+Master20[[#This Row],[Energy Savings]]+Master20[[#This Row],[Gen Revenue]]-5))</f>
        <v>22</v>
      </c>
      <c r="AI51" s="166"/>
      <c r="AJ51" s="166"/>
      <c r="AK51" s="166"/>
      <c r="AL51" s="166"/>
      <c r="AM51" s="166"/>
      <c r="AN51" s="165"/>
    </row>
    <row r="52" spans="1:40" ht="30" x14ac:dyDescent="0.25">
      <c r="A52" s="103">
        <f t="shared" si="3"/>
        <v>51</v>
      </c>
      <c r="B52" s="10" t="s">
        <v>214</v>
      </c>
      <c r="C52" s="10" t="s">
        <v>1045</v>
      </c>
      <c r="D52" s="10" t="s">
        <v>1349</v>
      </c>
      <c r="E52" s="10" t="s">
        <v>1219</v>
      </c>
      <c r="F52" s="10" t="s">
        <v>461</v>
      </c>
      <c r="G52" s="10" t="s">
        <v>29</v>
      </c>
      <c r="H52" s="10">
        <f t="shared" ref="H52:H61" si="12">VLOOKUP(G52,Status_Score,2,FALSE)</f>
        <v>0</v>
      </c>
      <c r="I52" s="49"/>
      <c r="J52" s="49"/>
      <c r="K52" s="49">
        <f>Master20[[#This Row],[Initial Budget]]-Master20[[#This Row],[Previously Committed Funds]]</f>
        <v>0</v>
      </c>
      <c r="L52" s="49"/>
      <c r="M52" s="49"/>
      <c r="N52" s="97">
        <f>Master20[[#This Row],[Design $ (Add/Deduct)]]+Master20[[#This Row],[Construction $ (Add/Ded)]]</f>
        <v>0</v>
      </c>
      <c r="O52" s="32">
        <v>150000</v>
      </c>
      <c r="P52" s="8">
        <v>2023</v>
      </c>
      <c r="Q52" s="10" t="s">
        <v>688</v>
      </c>
      <c r="R52" s="8">
        <f t="shared" ref="R52:R61" si="13">VLOOKUP(Q52,Importance,2,FALSE)</f>
        <v>20</v>
      </c>
      <c r="S52" s="8">
        <v>2</v>
      </c>
      <c r="T52" s="8">
        <f t="shared" si="8"/>
        <v>6</v>
      </c>
      <c r="U52" s="8" t="s">
        <v>41</v>
      </c>
      <c r="V52" s="8">
        <f t="shared" si="9"/>
        <v>4</v>
      </c>
      <c r="W52" s="8" t="s">
        <v>29</v>
      </c>
      <c r="Y52" s="8">
        <v>0</v>
      </c>
      <c r="Z52" s="8">
        <v>0</v>
      </c>
      <c r="AA52" s="8">
        <v>0</v>
      </c>
      <c r="AB52" s="8">
        <v>0</v>
      </c>
      <c r="AC52" s="8">
        <v>0</v>
      </c>
      <c r="AD52" s="8">
        <v>0</v>
      </c>
      <c r="AF52" s="17" t="s">
        <v>29</v>
      </c>
      <c r="AG52" s="8">
        <f>VLOOKUP(Master20[[#This Row],[Elevated Priority]],Epriority,2,)</f>
        <v>0</v>
      </c>
      <c r="AH52" s="152">
        <f>IF(Master20[[#This Row],[Status]]="Active",Master20[[#This Row],[Status_Score]],IF(D52="","",R52+H52+T52+V52+AG52+AE52+Master20[[#This Row],[Risk Mitigation]]+Master20[[#This Row],[Master Plan]]+Master20[[#This Row],[Community Request]]+Master20[[#This Row],[Community need]]+Master20[[#This Row],[Offset Aging Inf.]]+Master20[[#This Row],[Energy Savings]]+Master20[[#This Row],[Gen Revenue]]-5))</f>
        <v>25</v>
      </c>
      <c r="AI52" s="166"/>
      <c r="AJ52" s="166"/>
      <c r="AK52" s="166"/>
      <c r="AL52" s="166"/>
      <c r="AM52" s="166"/>
      <c r="AN52" s="165"/>
    </row>
    <row r="53" spans="1:40" ht="45" x14ac:dyDescent="0.25">
      <c r="A53" s="103">
        <f t="shared" si="3"/>
        <v>52</v>
      </c>
      <c r="B53" s="10" t="s">
        <v>214</v>
      </c>
      <c r="C53" s="10" t="s">
        <v>1045</v>
      </c>
      <c r="D53" s="10" t="s">
        <v>1350</v>
      </c>
      <c r="E53" s="10" t="s">
        <v>1351</v>
      </c>
      <c r="F53" s="10" t="s">
        <v>1220</v>
      </c>
      <c r="G53" s="10" t="s">
        <v>29</v>
      </c>
      <c r="H53" s="10">
        <f t="shared" si="12"/>
        <v>0</v>
      </c>
      <c r="I53" s="49"/>
      <c r="J53" s="49"/>
      <c r="K53" s="49">
        <f>Master20[[#This Row],[Initial Budget]]-Master20[[#This Row],[Previously Committed Funds]]</f>
        <v>0</v>
      </c>
      <c r="L53" s="49"/>
      <c r="M53" s="49"/>
      <c r="N53" s="97">
        <f>Master20[[#This Row],[Design $ (Add/Deduct)]]+Master20[[#This Row],[Construction $ (Add/Ded)]]</f>
        <v>0</v>
      </c>
      <c r="O53" s="32">
        <v>75000</v>
      </c>
      <c r="P53" s="8">
        <v>2023</v>
      </c>
      <c r="Q53" s="10" t="s">
        <v>688</v>
      </c>
      <c r="R53" s="8">
        <f t="shared" si="13"/>
        <v>20</v>
      </c>
      <c r="S53" s="8">
        <v>2</v>
      </c>
      <c r="T53" s="8">
        <f t="shared" si="8"/>
        <v>6</v>
      </c>
      <c r="U53" s="8" t="s">
        <v>41</v>
      </c>
      <c r="V53" s="8">
        <f t="shared" si="9"/>
        <v>4</v>
      </c>
      <c r="W53" s="8" t="s">
        <v>29</v>
      </c>
      <c r="Y53" s="8">
        <v>0</v>
      </c>
      <c r="Z53" s="8">
        <v>0</v>
      </c>
      <c r="AA53" s="8">
        <v>0</v>
      </c>
      <c r="AB53" s="8">
        <v>0</v>
      </c>
      <c r="AC53" s="8">
        <v>0</v>
      </c>
      <c r="AD53" s="8">
        <v>0</v>
      </c>
      <c r="AF53" s="17" t="s">
        <v>29</v>
      </c>
      <c r="AG53" s="8">
        <f>VLOOKUP(Master20[[#This Row],[Elevated Priority]],Epriority,2,)</f>
        <v>0</v>
      </c>
      <c r="AH53" s="152">
        <f>IF(Master20[[#This Row],[Status]]="Active",Master20[[#This Row],[Status_Score]],IF(D53="","",R53+H53+T53+V53+AG53+AE53+Master20[[#This Row],[Risk Mitigation]]+Master20[[#This Row],[Master Plan]]+Master20[[#This Row],[Community Request]]+Master20[[#This Row],[Community need]]+Master20[[#This Row],[Offset Aging Inf.]]+Master20[[#This Row],[Energy Savings]]+Master20[[#This Row],[Gen Revenue]]-5))</f>
        <v>25</v>
      </c>
      <c r="AI53" s="166"/>
      <c r="AJ53" s="166"/>
      <c r="AK53" s="166"/>
      <c r="AL53" s="166"/>
      <c r="AM53" s="166"/>
      <c r="AN53" s="165"/>
    </row>
    <row r="54" spans="1:40" ht="105" x14ac:dyDescent="0.25">
      <c r="A54" s="103">
        <f t="shared" si="3"/>
        <v>53</v>
      </c>
      <c r="B54" s="10" t="s">
        <v>214</v>
      </c>
      <c r="C54" s="10" t="s">
        <v>1045</v>
      </c>
      <c r="D54" s="10" t="s">
        <v>1221</v>
      </c>
      <c r="E54" s="10" t="s">
        <v>1222</v>
      </c>
      <c r="F54" s="10" t="s">
        <v>1223</v>
      </c>
      <c r="G54" s="10" t="s">
        <v>29</v>
      </c>
      <c r="H54" s="10">
        <f t="shared" si="12"/>
        <v>0</v>
      </c>
      <c r="I54" s="49"/>
      <c r="J54" s="49"/>
      <c r="K54" s="49">
        <f>Master20[[#This Row],[Initial Budget]]-Master20[[#This Row],[Previously Committed Funds]]</f>
        <v>0</v>
      </c>
      <c r="L54" s="49"/>
      <c r="M54" s="49"/>
      <c r="N54" s="97">
        <f>Master20[[#This Row],[Design $ (Add/Deduct)]]+Master20[[#This Row],[Construction $ (Add/Ded)]]</f>
        <v>0</v>
      </c>
      <c r="O54" s="32">
        <v>850000</v>
      </c>
      <c r="P54" s="8">
        <v>2023</v>
      </c>
      <c r="Q54" s="10" t="s">
        <v>688</v>
      </c>
      <c r="R54" s="8">
        <f t="shared" si="13"/>
        <v>20</v>
      </c>
      <c r="S54" s="8">
        <v>2</v>
      </c>
      <c r="T54" s="8">
        <f t="shared" si="8"/>
        <v>6</v>
      </c>
      <c r="U54" s="8" t="s">
        <v>41</v>
      </c>
      <c r="V54" s="8">
        <f t="shared" si="9"/>
        <v>4</v>
      </c>
      <c r="W54" s="8" t="s">
        <v>29</v>
      </c>
      <c r="Y54" s="8">
        <v>0</v>
      </c>
      <c r="Z54" s="8">
        <v>0</v>
      </c>
      <c r="AA54" s="8">
        <v>0</v>
      </c>
      <c r="AB54" s="8">
        <v>0</v>
      </c>
      <c r="AC54" s="8">
        <v>0</v>
      </c>
      <c r="AD54" s="8">
        <v>0</v>
      </c>
      <c r="AF54" s="17" t="s">
        <v>29</v>
      </c>
      <c r="AG54" s="8">
        <f>VLOOKUP(Master20[[#This Row],[Elevated Priority]],Epriority,2,)</f>
        <v>0</v>
      </c>
      <c r="AH54" s="152">
        <f>IF(Master20[[#This Row],[Status]]="Active",Master20[[#This Row],[Status_Score]],IF(D54="","",R54+H54+T54+V54+AG54+AE54+Master20[[#This Row],[Risk Mitigation]]+Master20[[#This Row],[Master Plan]]+Master20[[#This Row],[Community Request]]+Master20[[#This Row],[Community need]]+Master20[[#This Row],[Offset Aging Inf.]]+Master20[[#This Row],[Energy Savings]]+Master20[[#This Row],[Gen Revenue]]-5))</f>
        <v>25</v>
      </c>
      <c r="AI54" s="166"/>
      <c r="AJ54" s="166"/>
      <c r="AK54" s="166"/>
      <c r="AL54" s="166"/>
      <c r="AM54" s="166"/>
      <c r="AN54" s="165"/>
    </row>
    <row r="55" spans="1:40" ht="45" x14ac:dyDescent="0.25">
      <c r="A55" s="103">
        <f t="shared" si="3"/>
        <v>54</v>
      </c>
      <c r="B55" s="10" t="s">
        <v>214</v>
      </c>
      <c r="C55" s="10" t="s">
        <v>1045</v>
      </c>
      <c r="D55" s="10" t="s">
        <v>1224</v>
      </c>
      <c r="E55" s="10" t="s">
        <v>1225</v>
      </c>
      <c r="F55" s="10" t="s">
        <v>1226</v>
      </c>
      <c r="G55" s="10" t="s">
        <v>29</v>
      </c>
      <c r="H55" s="10">
        <f t="shared" si="12"/>
        <v>0</v>
      </c>
      <c r="I55" s="49"/>
      <c r="J55" s="49"/>
      <c r="K55" s="49">
        <f>Master20[[#This Row],[Initial Budget]]-Master20[[#This Row],[Previously Committed Funds]]</f>
        <v>0</v>
      </c>
      <c r="L55" s="49"/>
      <c r="M55" s="49"/>
      <c r="N55" s="97">
        <f>Master20[[#This Row],[Design $ (Add/Deduct)]]+Master20[[#This Row],[Construction $ (Add/Ded)]]</f>
        <v>0</v>
      </c>
      <c r="O55" s="32">
        <v>50000</v>
      </c>
      <c r="P55" s="8">
        <v>2023</v>
      </c>
      <c r="Q55" s="10" t="s">
        <v>688</v>
      </c>
      <c r="R55" s="8">
        <f t="shared" si="13"/>
        <v>20</v>
      </c>
      <c r="S55" s="8">
        <v>2</v>
      </c>
      <c r="T55" s="8">
        <f t="shared" si="8"/>
        <v>6</v>
      </c>
      <c r="U55" s="8" t="s">
        <v>41</v>
      </c>
      <c r="V55" s="8">
        <f t="shared" si="9"/>
        <v>4</v>
      </c>
      <c r="W55" s="8" t="s">
        <v>29</v>
      </c>
      <c r="Y55" s="8">
        <v>0</v>
      </c>
      <c r="Z55" s="8">
        <v>0</v>
      </c>
      <c r="AA55" s="8">
        <v>0</v>
      </c>
      <c r="AB55" s="8">
        <v>0</v>
      </c>
      <c r="AC55" s="8">
        <v>0</v>
      </c>
      <c r="AD55" s="8">
        <v>0</v>
      </c>
      <c r="AF55" s="17" t="s">
        <v>29</v>
      </c>
      <c r="AG55" s="8">
        <f>VLOOKUP(Master20[[#This Row],[Elevated Priority]],Epriority,2,)</f>
        <v>0</v>
      </c>
      <c r="AH55" s="152">
        <f>IF(Master20[[#This Row],[Status]]="Active",Master20[[#This Row],[Status_Score]],IF(D55="","",R55+H55+T55+V55+AG55+AE55+Master20[[#This Row],[Risk Mitigation]]+Master20[[#This Row],[Master Plan]]+Master20[[#This Row],[Community Request]]+Master20[[#This Row],[Community need]]+Master20[[#This Row],[Offset Aging Inf.]]+Master20[[#This Row],[Energy Savings]]+Master20[[#This Row],[Gen Revenue]]-5))</f>
        <v>25</v>
      </c>
      <c r="AI55" s="166"/>
      <c r="AJ55" s="166"/>
      <c r="AK55" s="166"/>
      <c r="AL55" s="166"/>
      <c r="AM55" s="166"/>
      <c r="AN55" s="165"/>
    </row>
    <row r="56" spans="1:40" ht="45" x14ac:dyDescent="0.25">
      <c r="A56" s="103">
        <f t="shared" si="3"/>
        <v>55</v>
      </c>
      <c r="B56" s="10" t="s">
        <v>214</v>
      </c>
      <c r="C56" s="10" t="s">
        <v>1232</v>
      </c>
      <c r="D56" s="10" t="s">
        <v>1233</v>
      </c>
      <c r="E56" s="10" t="s">
        <v>1234</v>
      </c>
      <c r="F56" s="10" t="s">
        <v>1235</v>
      </c>
      <c r="G56" s="10" t="s">
        <v>29</v>
      </c>
      <c r="H56" s="10">
        <f t="shared" si="12"/>
        <v>0</v>
      </c>
      <c r="I56" s="49"/>
      <c r="J56" s="49"/>
      <c r="K56" s="49">
        <f>Master20[[#This Row],[Initial Budget]]-Master20[[#This Row],[Previously Committed Funds]]</f>
        <v>0</v>
      </c>
      <c r="L56" s="49"/>
      <c r="M56" s="49"/>
      <c r="N56" s="97">
        <f>Master20[[#This Row],[Design $ (Add/Deduct)]]+Master20[[#This Row],[Construction $ (Add/Ded)]]</f>
        <v>0</v>
      </c>
      <c r="O56" s="32">
        <v>50000</v>
      </c>
      <c r="P56" s="8">
        <v>2023</v>
      </c>
      <c r="Q56" s="10" t="s">
        <v>688</v>
      </c>
      <c r="R56" s="8">
        <f t="shared" si="13"/>
        <v>20</v>
      </c>
      <c r="S56" s="8">
        <v>2</v>
      </c>
      <c r="T56" s="8">
        <f t="shared" si="8"/>
        <v>6</v>
      </c>
      <c r="U56" s="8" t="s">
        <v>41</v>
      </c>
      <c r="V56" s="8">
        <f t="shared" si="9"/>
        <v>4</v>
      </c>
      <c r="W56" s="8" t="s">
        <v>29</v>
      </c>
      <c r="Y56" s="8">
        <v>0</v>
      </c>
      <c r="Z56" s="8">
        <v>0</v>
      </c>
      <c r="AA56" s="8">
        <v>0</v>
      </c>
      <c r="AB56" s="8">
        <v>0</v>
      </c>
      <c r="AC56" s="8">
        <v>0</v>
      </c>
      <c r="AD56" s="8">
        <v>0</v>
      </c>
      <c r="AF56" s="17" t="s">
        <v>29</v>
      </c>
      <c r="AG56" s="8">
        <f>VLOOKUP(Master20[[#This Row],[Elevated Priority]],Epriority,2,)</f>
        <v>0</v>
      </c>
      <c r="AH56" s="152">
        <f>IF(Master20[[#This Row],[Status]]="Active",Master20[[#This Row],[Status_Score]],IF(D56="","",R56+H56+T56+V56+AG56+AE56+Master20[[#This Row],[Risk Mitigation]]+Master20[[#This Row],[Master Plan]]+Master20[[#This Row],[Community Request]]+Master20[[#This Row],[Community need]]+Master20[[#This Row],[Offset Aging Inf.]]+Master20[[#This Row],[Energy Savings]]+Master20[[#This Row],[Gen Revenue]]-5))</f>
        <v>25</v>
      </c>
      <c r="AI56" s="166"/>
      <c r="AJ56" s="166"/>
      <c r="AK56" s="166"/>
      <c r="AL56" s="166"/>
      <c r="AM56" s="166"/>
      <c r="AN56" s="165"/>
    </row>
    <row r="57" spans="1:40" hidden="1" x14ac:dyDescent="0.25">
      <c r="A57" s="103">
        <f t="shared" si="3"/>
        <v>56</v>
      </c>
      <c r="B57" s="10" t="s">
        <v>65</v>
      </c>
      <c r="C57" s="10" t="s">
        <v>1045</v>
      </c>
      <c r="D57" s="10" t="s">
        <v>1078</v>
      </c>
      <c r="E57" s="10" t="s">
        <v>1081</v>
      </c>
      <c r="F57" s="10"/>
      <c r="G57" s="10" t="s">
        <v>29</v>
      </c>
      <c r="H57" s="10">
        <f t="shared" si="12"/>
        <v>0</v>
      </c>
      <c r="I57" s="49"/>
      <c r="J57" s="49"/>
      <c r="K57" s="49">
        <f>Master20[[#This Row],[Initial Budget]]-Master20[[#This Row],[Previously Committed Funds]]</f>
        <v>0</v>
      </c>
      <c r="L57" s="49"/>
      <c r="M57" s="49"/>
      <c r="N57" s="97">
        <f>Master20[[#This Row],[Design $ (Add/Deduct)]]+Master20[[#This Row],[Construction $ (Add/Ded)]]</f>
        <v>0</v>
      </c>
      <c r="O57" s="32">
        <v>35000</v>
      </c>
      <c r="P57" s="8">
        <v>2022</v>
      </c>
      <c r="Q57" s="10" t="s">
        <v>688</v>
      </c>
      <c r="R57" s="8">
        <f t="shared" si="13"/>
        <v>20</v>
      </c>
      <c r="S57" s="8">
        <v>4</v>
      </c>
      <c r="T57" s="8">
        <f t="shared" si="8"/>
        <v>12</v>
      </c>
      <c r="U57" s="8" t="s">
        <v>41</v>
      </c>
      <c r="V57" s="8">
        <f t="shared" si="9"/>
        <v>4</v>
      </c>
      <c r="W57" s="8" t="s">
        <v>65</v>
      </c>
      <c r="X57" s="8">
        <v>0</v>
      </c>
      <c r="Y57" s="8">
        <v>-3</v>
      </c>
      <c r="Z57" s="8">
        <v>-1</v>
      </c>
      <c r="AA57" s="8">
        <v>0</v>
      </c>
      <c r="AB57" s="8">
        <v>0</v>
      </c>
      <c r="AC57" s="8">
        <v>0</v>
      </c>
      <c r="AD57" s="8">
        <v>-1</v>
      </c>
      <c r="AF57" s="17" t="s">
        <v>29</v>
      </c>
      <c r="AG57" s="8">
        <f>VLOOKUP(Master20[[#This Row],[Elevated Priority]],Epriority,2,)</f>
        <v>0</v>
      </c>
      <c r="AH57" s="152">
        <f>IF(Master20[[#This Row],[Status]]="Active",Master20[[#This Row],[Status_Score]],IF(D57="","",R57+H57+T57+V57+AG57+AE57+Master20[[#This Row],[Risk Mitigation]]+Master20[[#This Row],[Master Plan]]+Master20[[#This Row],[Community Request]]+Master20[[#This Row],[Community need]]+Master20[[#This Row],[Offset Aging Inf.]]+Master20[[#This Row],[Energy Savings]]+Master20[[#This Row],[Gen Revenue]]-5))</f>
        <v>26</v>
      </c>
      <c r="AI57" s="8"/>
      <c r="AJ57" s="8"/>
      <c r="AK57" s="8"/>
      <c r="AL57" s="8">
        <v>2023</v>
      </c>
      <c r="AM57" s="8">
        <v>2024</v>
      </c>
      <c r="AN57" s="10"/>
    </row>
    <row r="58" spans="1:40" ht="30" hidden="1" x14ac:dyDescent="0.25">
      <c r="A58" s="103">
        <f t="shared" si="3"/>
        <v>57</v>
      </c>
      <c r="B58" s="8" t="s">
        <v>1206</v>
      </c>
      <c r="C58" s="10" t="s">
        <v>1196</v>
      </c>
      <c r="D58" s="10" t="s">
        <v>1032</v>
      </c>
      <c r="E58" s="10" t="s">
        <v>815</v>
      </c>
      <c r="F58" s="10" t="s">
        <v>853</v>
      </c>
      <c r="G58" s="10" t="s">
        <v>29</v>
      </c>
      <c r="H58" s="10">
        <f t="shared" si="12"/>
        <v>0</v>
      </c>
      <c r="I58" s="49"/>
      <c r="J58" s="49"/>
      <c r="K58" s="49">
        <f>Master20[[#This Row],[Initial Budget]]-Master20[[#This Row],[Previously Committed Funds]]</f>
        <v>0</v>
      </c>
      <c r="L58" s="49"/>
      <c r="M58" s="49">
        <v>0</v>
      </c>
      <c r="N58" s="97">
        <f>Master20[[#This Row],[Design $ (Add/Deduct)]]+Master20[[#This Row],[Construction $ (Add/Ded)]]</f>
        <v>0</v>
      </c>
      <c r="O58" s="32">
        <v>12000000</v>
      </c>
      <c r="P58" s="8">
        <v>2020</v>
      </c>
      <c r="Q58" s="10" t="s">
        <v>830</v>
      </c>
      <c r="R58" s="8">
        <f t="shared" si="13"/>
        <v>10</v>
      </c>
      <c r="S58" s="8">
        <v>2</v>
      </c>
      <c r="T58" s="8">
        <f t="shared" si="8"/>
        <v>6</v>
      </c>
      <c r="U58" s="8" t="s">
        <v>43</v>
      </c>
      <c r="V58" s="8">
        <f t="shared" si="9"/>
        <v>16</v>
      </c>
      <c r="W58" s="8" t="s">
        <v>34</v>
      </c>
      <c r="X58" s="8">
        <v>0</v>
      </c>
      <c r="Y58" s="8">
        <v>0</v>
      </c>
      <c r="Z58" s="8">
        <v>0</v>
      </c>
      <c r="AA58" s="8">
        <v>0</v>
      </c>
      <c r="AB58" s="8">
        <v>0</v>
      </c>
      <c r="AC58" s="8">
        <v>0</v>
      </c>
      <c r="AD58" s="8">
        <v>0</v>
      </c>
      <c r="AF58" s="17" t="s">
        <v>29</v>
      </c>
      <c r="AG58" s="8">
        <f>VLOOKUP(Master20[[#This Row],[Elevated Priority]],Epriority,2,)</f>
        <v>0</v>
      </c>
      <c r="AH58" s="152">
        <f>IF(Master20[[#This Row],[Status]]="Active",Master20[[#This Row],[Status_Score]],IF(D58="","",R58+H58+T58+V58+AG58+AE58+Master20[[#This Row],[Risk Mitigation]]+Master20[[#This Row],[Master Plan]]+Master20[[#This Row],[Community Request]]+Master20[[#This Row],[Community need]]+Master20[[#This Row],[Offset Aging Inf.]]+Master20[[#This Row],[Energy Savings]]+Master20[[#This Row],[Gen Revenue]]-5))</f>
        <v>27</v>
      </c>
      <c r="AI58" s="8" t="s">
        <v>716</v>
      </c>
      <c r="AJ58" s="8">
        <v>2020</v>
      </c>
      <c r="AK58" s="8">
        <v>2024</v>
      </c>
      <c r="AL58" s="8">
        <v>2020</v>
      </c>
      <c r="AM58" s="8">
        <v>2024</v>
      </c>
      <c r="AN58" s="10"/>
    </row>
    <row r="59" spans="1:40" ht="45" hidden="1" x14ac:dyDescent="0.25">
      <c r="A59" s="103">
        <f t="shared" si="3"/>
        <v>58</v>
      </c>
      <c r="B59" s="8" t="s">
        <v>94</v>
      </c>
      <c r="C59" s="10" t="s">
        <v>1045</v>
      </c>
      <c r="D59" s="10" t="s">
        <v>1154</v>
      </c>
      <c r="E59" s="10" t="s">
        <v>1155</v>
      </c>
      <c r="F59" s="10" t="s">
        <v>1156</v>
      </c>
      <c r="G59" s="10" t="s">
        <v>29</v>
      </c>
      <c r="H59" s="10">
        <f t="shared" si="12"/>
        <v>0</v>
      </c>
      <c r="I59" s="49"/>
      <c r="J59" s="49"/>
      <c r="K59" s="49">
        <f>Master20[[#This Row],[Initial Budget]]-Master20[[#This Row],[Previously Committed Funds]]</f>
        <v>0</v>
      </c>
      <c r="L59" s="49"/>
      <c r="M59" s="49"/>
      <c r="N59" s="97">
        <f>Master20[[#This Row],[Design $ (Add/Deduct)]]+Master20[[#This Row],[Construction $ (Add/Ded)]]</f>
        <v>0</v>
      </c>
      <c r="O59" s="32">
        <v>250000</v>
      </c>
      <c r="P59" s="8">
        <v>2022</v>
      </c>
      <c r="Q59" s="10" t="s">
        <v>32</v>
      </c>
      <c r="R59" s="8">
        <f t="shared" si="13"/>
        <v>1</v>
      </c>
      <c r="S59" s="8">
        <v>22</v>
      </c>
      <c r="T59" s="8">
        <f t="shared" si="8"/>
        <v>27</v>
      </c>
      <c r="U59" s="8" t="s">
        <v>41</v>
      </c>
      <c r="V59" s="8">
        <f t="shared" si="9"/>
        <v>4</v>
      </c>
      <c r="W59" s="8" t="s">
        <v>30</v>
      </c>
      <c r="X59" s="8">
        <v>0</v>
      </c>
      <c r="Y59" s="8">
        <v>0</v>
      </c>
      <c r="Z59" s="8">
        <v>0</v>
      </c>
      <c r="AA59" s="8">
        <v>0</v>
      </c>
      <c r="AB59" s="8">
        <v>0</v>
      </c>
      <c r="AC59" s="8">
        <v>0</v>
      </c>
      <c r="AD59" s="8">
        <v>0</v>
      </c>
      <c r="AF59" s="17" t="s">
        <v>29</v>
      </c>
      <c r="AG59" s="8">
        <f>VLOOKUP(Master20[[#This Row],[Elevated Priority]],Epriority,2,)</f>
        <v>0</v>
      </c>
      <c r="AH59" s="152">
        <f>IF(Master20[[#This Row],[Status]]="Active",Master20[[#This Row],[Status_Score]],IF(D59="","",R59+H59+T59+V59+AG59+AE59+Master20[[#This Row],[Risk Mitigation]]+Master20[[#This Row],[Master Plan]]+Master20[[#This Row],[Community Request]]+Master20[[#This Row],[Community need]]+Master20[[#This Row],[Offset Aging Inf.]]+Master20[[#This Row],[Energy Savings]]+Master20[[#This Row],[Gen Revenue]]-5))</f>
        <v>27</v>
      </c>
      <c r="AI59" s="8"/>
      <c r="AJ59" s="8" t="s">
        <v>1045</v>
      </c>
      <c r="AK59" s="8" t="s">
        <v>1045</v>
      </c>
      <c r="AL59" s="8" t="s">
        <v>1045</v>
      </c>
      <c r="AM59" s="8" t="s">
        <v>1045</v>
      </c>
      <c r="AN59" s="10"/>
    </row>
    <row r="60" spans="1:40" ht="30" hidden="1" x14ac:dyDescent="0.25">
      <c r="A60" s="103">
        <f t="shared" si="3"/>
        <v>59</v>
      </c>
      <c r="B60" s="8" t="s">
        <v>1195</v>
      </c>
      <c r="C60" s="10" t="s">
        <v>1045</v>
      </c>
      <c r="D60" s="10" t="s">
        <v>935</v>
      </c>
      <c r="E60" s="10" t="s">
        <v>662</v>
      </c>
      <c r="F60" s="10" t="s">
        <v>266</v>
      </c>
      <c r="G60" s="10" t="s">
        <v>29</v>
      </c>
      <c r="H60" s="10">
        <f t="shared" si="12"/>
        <v>0</v>
      </c>
      <c r="I60" s="49"/>
      <c r="J60" s="49"/>
      <c r="K60" s="49">
        <f>Master20[[#This Row],[Initial Budget]]-Master20[[#This Row],[Previously Committed Funds]]</f>
        <v>0</v>
      </c>
      <c r="L60" s="49"/>
      <c r="M60" s="49"/>
      <c r="N60" s="97">
        <f>Master20[[#This Row],[Design $ (Add/Deduct)]]+Master20[[#This Row],[Construction $ (Add/Ded)]]</f>
        <v>0</v>
      </c>
      <c r="O60" s="32">
        <v>50000</v>
      </c>
      <c r="P60" s="8">
        <v>2018</v>
      </c>
      <c r="Q60" s="10" t="s">
        <v>688</v>
      </c>
      <c r="R60" s="8">
        <f t="shared" si="13"/>
        <v>20</v>
      </c>
      <c r="S60" s="8">
        <v>3</v>
      </c>
      <c r="T60" s="8">
        <f t="shared" ref="T60:T91" si="14">VLOOKUP(S60,Department,2,FALSE)</f>
        <v>9</v>
      </c>
      <c r="U60" s="8" t="s">
        <v>41</v>
      </c>
      <c r="V60" s="8">
        <f t="shared" ref="V60:V85" si="15">VLOOKUP(U60,Urgency,2,FALSE)</f>
        <v>4</v>
      </c>
      <c r="W60" s="8" t="s">
        <v>30</v>
      </c>
      <c r="X60" s="8">
        <v>0</v>
      </c>
      <c r="Y60" s="8">
        <v>0</v>
      </c>
      <c r="Z60" s="8">
        <v>0</v>
      </c>
      <c r="AA60" s="8">
        <v>0</v>
      </c>
      <c r="AB60" s="8">
        <v>0</v>
      </c>
      <c r="AC60" s="8">
        <v>0</v>
      </c>
      <c r="AD60" s="8">
        <v>0</v>
      </c>
      <c r="AF60" s="17" t="s">
        <v>29</v>
      </c>
      <c r="AG60" s="8">
        <f>VLOOKUP(Master20[[#This Row],[Elevated Priority]],Epriority,2,)</f>
        <v>0</v>
      </c>
      <c r="AH60" s="152">
        <f>IF(Master20[[#This Row],[Status]]="Active",Master20[[#This Row],[Status_Score]],IF(D60="","",R60+H60+T60+V60+AG60+AE60+Master20[[#This Row],[Risk Mitigation]]+Master20[[#This Row],[Master Plan]]+Master20[[#This Row],[Community Request]]+Master20[[#This Row],[Community need]]+Master20[[#This Row],[Offset Aging Inf.]]+Master20[[#This Row],[Energy Savings]]+Master20[[#This Row],[Gen Revenue]]-5))</f>
        <v>28</v>
      </c>
      <c r="AI60" s="8"/>
      <c r="AJ60" s="8">
        <v>2023</v>
      </c>
      <c r="AK60" s="8">
        <v>2024</v>
      </c>
      <c r="AL60" s="8">
        <v>2023</v>
      </c>
      <c r="AM60" s="8">
        <v>2024</v>
      </c>
      <c r="AN60" s="10"/>
    </row>
    <row r="61" spans="1:40" ht="30" hidden="1" x14ac:dyDescent="0.25">
      <c r="A61" s="103">
        <f t="shared" si="3"/>
        <v>60</v>
      </c>
      <c r="B61" s="8" t="s">
        <v>1195</v>
      </c>
      <c r="C61" s="10" t="s">
        <v>1045</v>
      </c>
      <c r="D61" s="10" t="s">
        <v>1151</v>
      </c>
      <c r="E61" s="10" t="s">
        <v>1152</v>
      </c>
      <c r="F61" s="10" t="s">
        <v>1153</v>
      </c>
      <c r="G61" s="10" t="s">
        <v>29</v>
      </c>
      <c r="H61" s="10">
        <f t="shared" si="12"/>
        <v>0</v>
      </c>
      <c r="I61" s="49"/>
      <c r="J61" s="49"/>
      <c r="K61" s="49">
        <f>Master20[[#This Row],[Initial Budget]]-Master20[[#This Row],[Previously Committed Funds]]</f>
        <v>0</v>
      </c>
      <c r="L61" s="49"/>
      <c r="M61" s="49"/>
      <c r="N61" s="97">
        <f>Master20[[#This Row],[Design $ (Add/Deduct)]]+Master20[[#This Row],[Construction $ (Add/Ded)]]</f>
        <v>0</v>
      </c>
      <c r="O61" s="32">
        <v>100000</v>
      </c>
      <c r="P61" s="8">
        <v>2022</v>
      </c>
      <c r="Q61" s="10" t="s">
        <v>32</v>
      </c>
      <c r="R61" s="8">
        <f t="shared" si="13"/>
        <v>1</v>
      </c>
      <c r="S61" s="8">
        <v>23</v>
      </c>
      <c r="T61" s="8">
        <f t="shared" si="14"/>
        <v>28</v>
      </c>
      <c r="U61" s="8" t="s">
        <v>41</v>
      </c>
      <c r="V61" s="8">
        <f t="shared" si="15"/>
        <v>4</v>
      </c>
      <c r="W61" s="8" t="s">
        <v>30</v>
      </c>
      <c r="X61" s="8">
        <v>0</v>
      </c>
      <c r="Y61" s="8">
        <v>0</v>
      </c>
      <c r="Z61" s="8">
        <v>0</v>
      </c>
      <c r="AA61" s="8">
        <v>0</v>
      </c>
      <c r="AB61" s="8">
        <v>0</v>
      </c>
      <c r="AC61" s="8">
        <v>0</v>
      </c>
      <c r="AD61" s="8">
        <v>0</v>
      </c>
      <c r="AF61" s="17" t="s">
        <v>29</v>
      </c>
      <c r="AG61" s="8">
        <f>VLOOKUP(Master20[[#This Row],[Elevated Priority]],Epriority,2,)</f>
        <v>0</v>
      </c>
      <c r="AH61" s="152">
        <f>IF(Master20[[#This Row],[Status]]="Active",Master20[[#This Row],[Status_Score]],IF(D61="","",R61+H61+T61+V61+AG61+AE61+Master20[[#This Row],[Risk Mitigation]]+Master20[[#This Row],[Master Plan]]+Master20[[#This Row],[Community Request]]+Master20[[#This Row],[Community need]]+Master20[[#This Row],[Offset Aging Inf.]]+Master20[[#This Row],[Energy Savings]]+Master20[[#This Row],[Gen Revenue]]-5))</f>
        <v>28</v>
      </c>
      <c r="AI61" s="8"/>
      <c r="AJ61" s="8" t="s">
        <v>1045</v>
      </c>
      <c r="AK61" s="8" t="s">
        <v>1045</v>
      </c>
      <c r="AL61" s="8" t="s">
        <v>1045</v>
      </c>
      <c r="AM61" s="8" t="s">
        <v>1045</v>
      </c>
      <c r="AN61" s="10"/>
    </row>
    <row r="62" spans="1:40" ht="30" hidden="1" x14ac:dyDescent="0.25">
      <c r="A62" s="103">
        <f t="shared" si="3"/>
        <v>61</v>
      </c>
      <c r="B62" s="8" t="s">
        <v>65</v>
      </c>
      <c r="C62" s="10" t="s">
        <v>1045</v>
      </c>
      <c r="D62" s="10" t="s">
        <v>1338</v>
      </c>
      <c r="E62" s="10" t="s">
        <v>1339</v>
      </c>
      <c r="F62" s="10" t="s">
        <v>1340</v>
      </c>
      <c r="G62" s="10" t="s">
        <v>29</v>
      </c>
      <c r="H62" s="10">
        <v>0</v>
      </c>
      <c r="I62" s="49"/>
      <c r="J62" s="49"/>
      <c r="K62" s="49">
        <v>0</v>
      </c>
      <c r="L62" s="49"/>
      <c r="M62" s="49"/>
      <c r="N62" s="97">
        <v>0</v>
      </c>
      <c r="O62" s="32">
        <v>400000</v>
      </c>
      <c r="P62" s="8">
        <v>2023</v>
      </c>
      <c r="Q62" s="10" t="s">
        <v>688</v>
      </c>
      <c r="R62" s="10">
        <v>20</v>
      </c>
      <c r="S62" s="10">
        <v>3</v>
      </c>
      <c r="T62" s="10">
        <f t="shared" si="14"/>
        <v>9</v>
      </c>
      <c r="U62" s="10" t="s">
        <v>41</v>
      </c>
      <c r="V62" s="10">
        <f t="shared" si="15"/>
        <v>4</v>
      </c>
      <c r="W62" s="10" t="s">
        <v>29</v>
      </c>
      <c r="X62" s="10"/>
      <c r="Y62" s="10">
        <v>0</v>
      </c>
      <c r="Z62" s="10">
        <v>0</v>
      </c>
      <c r="AA62" s="10">
        <v>0</v>
      </c>
      <c r="AB62" s="10">
        <v>0</v>
      </c>
      <c r="AC62" s="10">
        <v>0</v>
      </c>
      <c r="AD62" s="10">
        <v>0</v>
      </c>
      <c r="AE62" s="10"/>
      <c r="AF62" s="10" t="s">
        <v>29</v>
      </c>
      <c r="AG62" s="10">
        <f>VLOOKUP(Master20[[#This Row],[Elevated Priority]],Epriority,2,)</f>
        <v>0</v>
      </c>
      <c r="AH62" s="10">
        <f>IF(Master20[[#This Row],[Status]]="Active",Master20[[#This Row],[Status_Score]],IF(D62="","",R62+H62+T62+V62+AG62+AE62+Master20[[#This Row],[Risk Mitigation]]+Master20[[#This Row],[Master Plan]]+Master20[[#This Row],[Community Request]]+Master20[[#This Row],[Community need]]+Master20[[#This Row],[Offset Aging Inf.]]+Master20[[#This Row],[Energy Savings]]+Master20[[#This Row],[Gen Revenue]]-5))</f>
        <v>28</v>
      </c>
      <c r="AI62" s="166"/>
      <c r="AJ62" s="166"/>
      <c r="AK62" s="166"/>
      <c r="AL62" s="166"/>
      <c r="AM62" s="166"/>
      <c r="AN62" s="165"/>
    </row>
    <row r="63" spans="1:40" ht="105" hidden="1" x14ac:dyDescent="0.25">
      <c r="A63" s="103">
        <f t="shared" si="3"/>
        <v>62</v>
      </c>
      <c r="B63" s="8" t="s">
        <v>70</v>
      </c>
      <c r="C63" s="10" t="s">
        <v>79</v>
      </c>
      <c r="D63" s="10" t="s">
        <v>325</v>
      </c>
      <c r="E63" s="10" t="s">
        <v>326</v>
      </c>
      <c r="F63" s="10" t="s">
        <v>1314</v>
      </c>
      <c r="G63" s="10" t="s">
        <v>29</v>
      </c>
      <c r="H63" s="10">
        <f t="shared" ref="H63:H73" si="16">VLOOKUP(G63,Status_Score,2,FALSE)</f>
        <v>0</v>
      </c>
      <c r="I63" s="49"/>
      <c r="J63" s="49"/>
      <c r="K63" s="49">
        <f>Master20[[#This Row],[Initial Budget]]-Master20[[#This Row],[Previously Committed Funds]]</f>
        <v>0</v>
      </c>
      <c r="L63" s="49"/>
      <c r="M63" s="49"/>
      <c r="N63" s="97">
        <f>Master20[[#This Row],[Design $ (Add/Deduct)]]+Master20[[#This Row],[Construction $ (Add/Ded)]]</f>
        <v>0</v>
      </c>
      <c r="O63" s="32">
        <v>500000</v>
      </c>
      <c r="P63" s="8">
        <v>2018</v>
      </c>
      <c r="Q63" s="10" t="s">
        <v>36</v>
      </c>
      <c r="R63" s="8">
        <f t="shared" ref="R63:R73" si="17">VLOOKUP(Q63,Importance,2,FALSE)</f>
        <v>10</v>
      </c>
      <c r="S63" s="8">
        <v>8</v>
      </c>
      <c r="T63" s="8">
        <f t="shared" si="14"/>
        <v>20</v>
      </c>
      <c r="U63" s="8" t="s">
        <v>41</v>
      </c>
      <c r="V63" s="8">
        <f t="shared" si="15"/>
        <v>4</v>
      </c>
      <c r="W63" s="8" t="s">
        <v>30</v>
      </c>
      <c r="X63" s="8">
        <v>0</v>
      </c>
      <c r="Y63" s="8">
        <v>0</v>
      </c>
      <c r="Z63" s="8">
        <v>0</v>
      </c>
      <c r="AA63" s="8">
        <v>0</v>
      </c>
      <c r="AB63" s="8">
        <v>0</v>
      </c>
      <c r="AC63" s="8">
        <v>0</v>
      </c>
      <c r="AD63" s="8">
        <v>0</v>
      </c>
      <c r="AF63" s="17" t="s">
        <v>29</v>
      </c>
      <c r="AG63" s="8">
        <f>VLOOKUP(Master20[[#This Row],[Elevated Priority]],Epriority,2,)</f>
        <v>0</v>
      </c>
      <c r="AH63" s="152">
        <f>IF(Master20[[#This Row],[Status]]="Active",Master20[[#This Row],[Status_Score]],IF(D63="","",R63+H63+T63+V63+AG63+AE63+Master20[[#This Row],[Risk Mitigation]]+Master20[[#This Row],[Master Plan]]+Master20[[#This Row],[Community Request]]+Master20[[#This Row],[Community need]]+Master20[[#This Row],[Offset Aging Inf.]]+Master20[[#This Row],[Energy Savings]]+Master20[[#This Row],[Gen Revenue]]-5))</f>
        <v>29</v>
      </c>
      <c r="AI63" s="8"/>
      <c r="AJ63" s="8">
        <v>2022</v>
      </c>
      <c r="AK63" s="8">
        <v>2023</v>
      </c>
      <c r="AL63" s="8">
        <v>2023</v>
      </c>
      <c r="AM63" s="8">
        <v>2024</v>
      </c>
      <c r="AN63" s="10"/>
    </row>
    <row r="64" spans="1:40" ht="30" hidden="1" x14ac:dyDescent="0.25">
      <c r="A64" s="103">
        <f t="shared" si="3"/>
        <v>63</v>
      </c>
      <c r="B64" s="8" t="s">
        <v>65</v>
      </c>
      <c r="C64" s="10" t="s">
        <v>1045</v>
      </c>
      <c r="D64" s="10" t="s">
        <v>1077</v>
      </c>
      <c r="E64" s="10" t="s">
        <v>1080</v>
      </c>
      <c r="F64" s="10" t="s">
        <v>1083</v>
      </c>
      <c r="G64" s="10" t="s">
        <v>29</v>
      </c>
      <c r="H64" s="10">
        <f t="shared" si="16"/>
        <v>0</v>
      </c>
      <c r="I64" s="49"/>
      <c r="J64" s="49"/>
      <c r="K64" s="49">
        <f>Master20[[#This Row],[Initial Budget]]-Master20[[#This Row],[Previously Committed Funds]]</f>
        <v>0</v>
      </c>
      <c r="L64" s="49"/>
      <c r="M64" s="49"/>
      <c r="N64" s="97">
        <f>Master20[[#This Row],[Design $ (Add/Deduct)]]+Master20[[#This Row],[Construction $ (Add/Ded)]]</f>
        <v>0</v>
      </c>
      <c r="O64" s="32">
        <v>20000</v>
      </c>
      <c r="P64" s="8">
        <v>2022</v>
      </c>
      <c r="Q64" s="10" t="s">
        <v>688</v>
      </c>
      <c r="R64" s="8">
        <f t="shared" si="17"/>
        <v>20</v>
      </c>
      <c r="S64" s="8">
        <v>4</v>
      </c>
      <c r="T64" s="8">
        <f t="shared" si="14"/>
        <v>12</v>
      </c>
      <c r="U64" s="8" t="s">
        <v>41</v>
      </c>
      <c r="V64" s="8">
        <f t="shared" si="15"/>
        <v>4</v>
      </c>
      <c r="W64" s="8" t="s">
        <v>65</v>
      </c>
      <c r="X64" s="8">
        <v>0</v>
      </c>
      <c r="Y64" s="8">
        <v>0</v>
      </c>
      <c r="Z64" s="8">
        <v>0</v>
      </c>
      <c r="AA64" s="8">
        <v>0</v>
      </c>
      <c r="AB64" s="8">
        <v>0</v>
      </c>
      <c r="AC64" s="8">
        <v>0</v>
      </c>
      <c r="AD64" s="8">
        <v>-1</v>
      </c>
      <c r="AF64" s="17" t="s">
        <v>29</v>
      </c>
      <c r="AG64" s="8">
        <f>VLOOKUP(Master20[[#This Row],[Elevated Priority]],Epriority,2,)</f>
        <v>0</v>
      </c>
      <c r="AH64" s="152">
        <f>IF(Master20[[#This Row],[Status]]="Active",Master20[[#This Row],[Status_Score]],IF(D64="","",R64+H64+T64+V64+AG64+AE64+Master20[[#This Row],[Risk Mitigation]]+Master20[[#This Row],[Master Plan]]+Master20[[#This Row],[Community Request]]+Master20[[#This Row],[Community need]]+Master20[[#This Row],[Offset Aging Inf.]]+Master20[[#This Row],[Energy Savings]]+Master20[[#This Row],[Gen Revenue]]-5))</f>
        <v>30</v>
      </c>
      <c r="AI64" s="8"/>
      <c r="AJ64" s="8"/>
      <c r="AK64" s="8"/>
      <c r="AL64" s="8">
        <v>2023</v>
      </c>
      <c r="AM64" s="8">
        <v>2024</v>
      </c>
      <c r="AN64" s="10"/>
    </row>
    <row r="65" spans="1:48" hidden="1" x14ac:dyDescent="0.25">
      <c r="A65" s="103">
        <f t="shared" si="3"/>
        <v>64</v>
      </c>
      <c r="B65" s="8" t="s">
        <v>70</v>
      </c>
      <c r="C65" s="10" t="s">
        <v>1045</v>
      </c>
      <c r="D65" s="10" t="s">
        <v>291</v>
      </c>
      <c r="E65" s="10" t="s">
        <v>893</v>
      </c>
      <c r="F65" s="10" t="s">
        <v>293</v>
      </c>
      <c r="G65" s="10" t="s">
        <v>29</v>
      </c>
      <c r="H65" s="10">
        <f t="shared" si="16"/>
        <v>0</v>
      </c>
      <c r="I65" s="49"/>
      <c r="J65" s="49"/>
      <c r="K65" s="49">
        <f>Master20[[#This Row],[Initial Budget]]-Master20[[#This Row],[Previously Committed Funds]]</f>
        <v>0</v>
      </c>
      <c r="L65" s="49"/>
      <c r="M65" s="49"/>
      <c r="N65" s="97">
        <f>Master20[[#This Row],[Design $ (Add/Deduct)]]+Master20[[#This Row],[Construction $ (Add/Ded)]]</f>
        <v>0</v>
      </c>
      <c r="O65" s="32">
        <v>15000</v>
      </c>
      <c r="P65" s="8">
        <v>2018</v>
      </c>
      <c r="Q65" s="10" t="s">
        <v>688</v>
      </c>
      <c r="R65" s="8">
        <f t="shared" si="17"/>
        <v>20</v>
      </c>
      <c r="S65" s="8">
        <v>4</v>
      </c>
      <c r="T65" s="8">
        <f t="shared" si="14"/>
        <v>12</v>
      </c>
      <c r="U65" s="8" t="s">
        <v>41</v>
      </c>
      <c r="V65" s="8">
        <f t="shared" si="15"/>
        <v>4</v>
      </c>
      <c r="W65" s="8" t="s">
        <v>30</v>
      </c>
      <c r="X65" s="8">
        <v>0</v>
      </c>
      <c r="Y65" s="8">
        <v>0</v>
      </c>
      <c r="Z65" s="8">
        <v>0</v>
      </c>
      <c r="AA65" s="8">
        <v>0</v>
      </c>
      <c r="AB65" s="8">
        <v>0</v>
      </c>
      <c r="AC65" s="8">
        <v>0</v>
      </c>
      <c r="AD65" s="8">
        <v>0</v>
      </c>
      <c r="AF65" s="17" t="s">
        <v>29</v>
      </c>
      <c r="AG65" s="8">
        <f>VLOOKUP(Master20[[#This Row],[Elevated Priority]],Epriority,2,)</f>
        <v>0</v>
      </c>
      <c r="AH65" s="152">
        <f>IF(Master20[[#This Row],[Status]]="Active",Master20[[#This Row],[Status_Score]],IF(D65="","",R65+H65+T65+V65+AG65+AE65+Master20[[#This Row],[Risk Mitigation]]+Master20[[#This Row],[Master Plan]]+Master20[[#This Row],[Community Request]]+Master20[[#This Row],[Community need]]+Master20[[#This Row],[Offset Aging Inf.]]+Master20[[#This Row],[Energy Savings]]+Master20[[#This Row],[Gen Revenue]]-5))</f>
        <v>31</v>
      </c>
      <c r="AI65" s="8"/>
      <c r="AJ65" s="8">
        <v>2022</v>
      </c>
      <c r="AK65" s="8">
        <v>2023</v>
      </c>
      <c r="AL65" s="8">
        <v>2022</v>
      </c>
      <c r="AM65" s="8">
        <v>2023</v>
      </c>
      <c r="AN65" s="10"/>
    </row>
    <row r="66" spans="1:48" hidden="1" x14ac:dyDescent="0.25">
      <c r="A66" s="103">
        <f t="shared" si="3"/>
        <v>65</v>
      </c>
      <c r="B66" s="8" t="s">
        <v>94</v>
      </c>
      <c r="C66" s="10" t="s">
        <v>1045</v>
      </c>
      <c r="D66" s="10" t="s">
        <v>319</v>
      </c>
      <c r="E66" s="10" t="s">
        <v>320</v>
      </c>
      <c r="F66" s="10" t="s">
        <v>321</v>
      </c>
      <c r="G66" s="10" t="s">
        <v>29</v>
      </c>
      <c r="H66" s="10">
        <f t="shared" si="16"/>
        <v>0</v>
      </c>
      <c r="I66" s="49"/>
      <c r="J66" s="49"/>
      <c r="K66" s="49">
        <f>Master20[[#This Row],[Initial Budget]]-Master20[[#This Row],[Previously Committed Funds]]</f>
        <v>0</v>
      </c>
      <c r="L66" s="49"/>
      <c r="M66" s="49"/>
      <c r="N66" s="97">
        <f>Master20[[#This Row],[Design $ (Add/Deduct)]]+Master20[[#This Row],[Construction $ (Add/Ded)]]</f>
        <v>0</v>
      </c>
      <c r="O66" s="32">
        <v>50000</v>
      </c>
      <c r="P66" s="8">
        <v>2018</v>
      </c>
      <c r="Q66" s="10" t="s">
        <v>36</v>
      </c>
      <c r="R66" s="8">
        <f t="shared" si="17"/>
        <v>10</v>
      </c>
      <c r="S66" s="8">
        <v>20</v>
      </c>
      <c r="T66" s="8">
        <f t="shared" si="14"/>
        <v>26</v>
      </c>
      <c r="U66" s="8" t="s">
        <v>33</v>
      </c>
      <c r="V66" s="8">
        <f t="shared" si="15"/>
        <v>1</v>
      </c>
      <c r="W66" s="8" t="s">
        <v>30</v>
      </c>
      <c r="X66" s="8">
        <v>0</v>
      </c>
      <c r="Y66" s="8">
        <v>0</v>
      </c>
      <c r="Z66" s="8">
        <v>0</v>
      </c>
      <c r="AA66" s="8">
        <v>0</v>
      </c>
      <c r="AB66" s="8">
        <v>0</v>
      </c>
      <c r="AC66" s="8">
        <v>0</v>
      </c>
      <c r="AD66" s="8">
        <v>0</v>
      </c>
      <c r="AF66" s="17" t="s">
        <v>29</v>
      </c>
      <c r="AG66" s="8">
        <f>VLOOKUP(Master20[[#This Row],[Elevated Priority]],Epriority,2,)</f>
        <v>0</v>
      </c>
      <c r="AH66" s="152">
        <f>IF(Master20[[#This Row],[Status]]="Active",Master20[[#This Row],[Status_Score]],IF(D66="","",R66+H66+T66+V66+AG66+AE66+Master20[[#This Row],[Risk Mitigation]]+Master20[[#This Row],[Master Plan]]+Master20[[#This Row],[Community Request]]+Master20[[#This Row],[Community need]]+Master20[[#This Row],[Offset Aging Inf.]]+Master20[[#This Row],[Energy Savings]]+Master20[[#This Row],[Gen Revenue]]-5))</f>
        <v>32</v>
      </c>
      <c r="AI66" s="8"/>
      <c r="AJ66" s="8">
        <v>2023</v>
      </c>
      <c r="AK66" s="8">
        <v>2024</v>
      </c>
      <c r="AL66" s="8">
        <v>2023</v>
      </c>
      <c r="AM66" s="8">
        <v>2024</v>
      </c>
      <c r="AN66" s="10"/>
    </row>
    <row r="67" spans="1:48" ht="60" hidden="1" x14ac:dyDescent="0.25">
      <c r="A67" s="103">
        <f t="shared" ref="A67:A130" si="18">A66+1</f>
        <v>66</v>
      </c>
      <c r="B67" s="10" t="s">
        <v>67</v>
      </c>
      <c r="C67" s="10" t="s">
        <v>995</v>
      </c>
      <c r="D67" s="10" t="s">
        <v>242</v>
      </c>
      <c r="E67" s="10" t="s">
        <v>243</v>
      </c>
      <c r="F67" s="10" t="s">
        <v>999</v>
      </c>
      <c r="G67" s="10" t="s">
        <v>29</v>
      </c>
      <c r="H67" s="10">
        <f t="shared" si="16"/>
        <v>0</v>
      </c>
      <c r="I67" s="49"/>
      <c r="J67" s="49"/>
      <c r="K67" s="49">
        <f>Master20[[#This Row],[Initial Budget]]-Master20[[#This Row],[Previously Committed Funds]]</f>
        <v>0</v>
      </c>
      <c r="L67" s="49"/>
      <c r="M67" s="49"/>
      <c r="N67" s="97">
        <f>Master20[[#This Row],[Design $ (Add/Deduct)]]+Master20[[#This Row],[Construction $ (Add/Ded)]]</f>
        <v>0</v>
      </c>
      <c r="O67" s="32">
        <v>1600000</v>
      </c>
      <c r="P67" s="8">
        <v>2018</v>
      </c>
      <c r="Q67" s="10" t="s">
        <v>36</v>
      </c>
      <c r="R67" s="8">
        <f t="shared" si="17"/>
        <v>10</v>
      </c>
      <c r="S67" s="8">
        <v>4</v>
      </c>
      <c r="T67" s="8">
        <f t="shared" si="14"/>
        <v>12</v>
      </c>
      <c r="U67" s="8" t="s">
        <v>43</v>
      </c>
      <c r="V67" s="8">
        <f t="shared" si="15"/>
        <v>16</v>
      </c>
      <c r="W67" s="8" t="s">
        <v>30</v>
      </c>
      <c r="X67" s="8">
        <v>0</v>
      </c>
      <c r="Y67" s="8">
        <v>0</v>
      </c>
      <c r="Z67" s="8">
        <v>0</v>
      </c>
      <c r="AA67" s="8">
        <v>0</v>
      </c>
      <c r="AB67" s="8">
        <v>0</v>
      </c>
      <c r="AC67" s="8">
        <v>0</v>
      </c>
      <c r="AD67" s="8">
        <v>0</v>
      </c>
      <c r="AF67" s="17" t="s">
        <v>29</v>
      </c>
      <c r="AG67" s="8">
        <f>VLOOKUP(Master20[[#This Row],[Elevated Priority]],Epriority,2,)</f>
        <v>0</v>
      </c>
      <c r="AH67" s="152">
        <f>IF(Master20[[#This Row],[Status]]="Active",Master20[[#This Row],[Status_Score]],IF(D67="","",R67+H67+T67+V67+AG67+AE67+Master20[[#This Row],[Risk Mitigation]]+Master20[[#This Row],[Master Plan]]+Master20[[#This Row],[Community Request]]+Master20[[#This Row],[Community need]]+Master20[[#This Row],[Offset Aging Inf.]]+Master20[[#This Row],[Energy Savings]]+Master20[[#This Row],[Gen Revenue]]-5))</f>
        <v>33</v>
      </c>
      <c r="AI67" s="8"/>
      <c r="AJ67" s="8">
        <v>2022</v>
      </c>
      <c r="AK67" s="8">
        <v>2023</v>
      </c>
      <c r="AL67" s="8">
        <v>2023</v>
      </c>
      <c r="AM67" s="8">
        <v>2024</v>
      </c>
      <c r="AN67" s="10"/>
    </row>
    <row r="68" spans="1:48" ht="210" hidden="1" x14ac:dyDescent="0.25">
      <c r="A68" s="103">
        <f t="shared" si="18"/>
        <v>67</v>
      </c>
      <c r="B68" s="8" t="s">
        <v>67</v>
      </c>
      <c r="C68" s="10" t="s">
        <v>73</v>
      </c>
      <c r="D68" s="10" t="s">
        <v>354</v>
      </c>
      <c r="E68" s="10" t="s">
        <v>819</v>
      </c>
      <c r="F68" s="10" t="s">
        <v>818</v>
      </c>
      <c r="G68" s="10" t="s">
        <v>29</v>
      </c>
      <c r="H68" s="10">
        <f t="shared" si="16"/>
        <v>0</v>
      </c>
      <c r="I68" s="49"/>
      <c r="J68" s="49"/>
      <c r="K68" s="49">
        <f>Master20[[#This Row],[Initial Budget]]-Master20[[#This Row],[Previously Committed Funds]]</f>
        <v>0</v>
      </c>
      <c r="L68" s="49"/>
      <c r="M68" s="49"/>
      <c r="N68" s="97">
        <f>Master20[[#This Row],[Design $ (Add/Deduct)]]+Master20[[#This Row],[Construction $ (Add/Ded)]]</f>
        <v>0</v>
      </c>
      <c r="O68" s="32">
        <v>300000</v>
      </c>
      <c r="P68" s="8">
        <v>2018</v>
      </c>
      <c r="Q68" s="10" t="s">
        <v>688</v>
      </c>
      <c r="R68" s="8">
        <f t="shared" si="17"/>
        <v>20</v>
      </c>
      <c r="S68" s="8">
        <v>1</v>
      </c>
      <c r="T68" s="8">
        <f t="shared" si="14"/>
        <v>3</v>
      </c>
      <c r="U68" s="8" t="s">
        <v>43</v>
      </c>
      <c r="V68" s="8">
        <f t="shared" si="15"/>
        <v>16</v>
      </c>
      <c r="W68" s="8" t="s">
        <v>30</v>
      </c>
      <c r="X68" s="8">
        <v>0</v>
      </c>
      <c r="Y68" s="8">
        <v>0</v>
      </c>
      <c r="Z68" s="8">
        <v>0</v>
      </c>
      <c r="AA68" s="8">
        <v>0</v>
      </c>
      <c r="AB68" s="8">
        <v>0</v>
      </c>
      <c r="AC68" s="8">
        <v>0</v>
      </c>
      <c r="AD68" s="8">
        <v>0</v>
      </c>
      <c r="AF68" s="17" t="s">
        <v>29</v>
      </c>
      <c r="AG68" s="8">
        <f>VLOOKUP(Master20[[#This Row],[Elevated Priority]],Epriority,2,)</f>
        <v>0</v>
      </c>
      <c r="AH68" s="152">
        <f>IF(Master20[[#This Row],[Status]]="Active",Master20[[#This Row],[Status_Score]],IF(D68="","",R68+H68+T68+V68+AG68+AE68+Master20[[#This Row],[Risk Mitigation]]+Master20[[#This Row],[Master Plan]]+Master20[[#This Row],[Community Request]]+Master20[[#This Row],[Community need]]+Master20[[#This Row],[Offset Aging Inf.]]+Master20[[#This Row],[Energy Savings]]+Master20[[#This Row],[Gen Revenue]]-5))</f>
        <v>34</v>
      </c>
      <c r="AI68" s="8"/>
      <c r="AJ68" s="8">
        <v>2023</v>
      </c>
      <c r="AK68" s="8">
        <v>2024</v>
      </c>
      <c r="AL68" s="8">
        <v>2023</v>
      </c>
      <c r="AM68" s="8">
        <v>2024</v>
      </c>
      <c r="AN68" s="10"/>
    </row>
    <row r="69" spans="1:48" ht="195" hidden="1" x14ac:dyDescent="0.25">
      <c r="A69" s="103">
        <f t="shared" si="18"/>
        <v>68</v>
      </c>
      <c r="B69" s="8" t="s">
        <v>143</v>
      </c>
      <c r="C69" s="10" t="s">
        <v>1045</v>
      </c>
      <c r="D69" s="10" t="s">
        <v>163</v>
      </c>
      <c r="E69" s="10" t="s">
        <v>164</v>
      </c>
      <c r="F69" s="10" t="s">
        <v>1312</v>
      </c>
      <c r="G69" s="10" t="s">
        <v>29</v>
      </c>
      <c r="H69" s="10">
        <f t="shared" si="16"/>
        <v>0</v>
      </c>
      <c r="I69" s="49"/>
      <c r="J69" s="49"/>
      <c r="K69" s="49">
        <f>Master20[[#This Row],[Initial Budget]]-Master20[[#This Row],[Previously Committed Funds]]</f>
        <v>0</v>
      </c>
      <c r="L69" s="49"/>
      <c r="M69" s="49"/>
      <c r="N69" s="97">
        <f>Master20[[#This Row],[Design $ (Add/Deduct)]]+Master20[[#This Row],[Construction $ (Add/Ded)]]</f>
        <v>0</v>
      </c>
      <c r="O69" s="32">
        <v>40000</v>
      </c>
      <c r="P69" s="8">
        <v>2018</v>
      </c>
      <c r="Q69" s="8" t="s">
        <v>687</v>
      </c>
      <c r="R69" s="10">
        <f t="shared" si="17"/>
        <v>30</v>
      </c>
      <c r="S69" s="10">
        <v>2</v>
      </c>
      <c r="T69" s="10">
        <f t="shared" si="14"/>
        <v>6</v>
      </c>
      <c r="U69" s="10" t="s">
        <v>37</v>
      </c>
      <c r="V69" s="10">
        <f t="shared" si="15"/>
        <v>3</v>
      </c>
      <c r="W69" s="10" t="s">
        <v>30</v>
      </c>
      <c r="X69" s="49">
        <v>0</v>
      </c>
      <c r="Y69" s="49">
        <v>0</v>
      </c>
      <c r="Z69" s="49">
        <v>0</v>
      </c>
      <c r="AA69" s="49">
        <v>0</v>
      </c>
      <c r="AB69" s="49">
        <v>0</v>
      </c>
      <c r="AC69" s="97">
        <v>0</v>
      </c>
      <c r="AD69" s="32">
        <v>0</v>
      </c>
      <c r="AF69" s="8" t="s">
        <v>29</v>
      </c>
      <c r="AG69" s="10">
        <f>VLOOKUP(Master20[[#This Row],[Elevated Priority]],Epriority,2,)</f>
        <v>0</v>
      </c>
      <c r="AH69" s="10">
        <f>IF(Master20[[#This Row],[Status]]="Active",Master20[[#This Row],[Status_Score]],IF(D69="","",R69+H69+T69+V69+AG69+AE69+Master20[[#This Row],[Risk Mitigation]]+Master20[[#This Row],[Master Plan]]+Master20[[#This Row],[Community Request]]+Master20[[#This Row],[Community need]]+Master20[[#This Row],[Offset Aging Inf.]]+Master20[[#This Row],[Energy Savings]]+Master20[[#This Row],[Gen Revenue]]-5))</f>
        <v>34</v>
      </c>
      <c r="AI69" s="8"/>
      <c r="AJ69" s="8">
        <v>2022</v>
      </c>
      <c r="AK69" s="8">
        <v>2023</v>
      </c>
      <c r="AL69" s="8">
        <v>2023</v>
      </c>
      <c r="AM69" s="8">
        <v>2024</v>
      </c>
      <c r="AN69" s="10"/>
    </row>
    <row r="70" spans="1:48" ht="30" hidden="1" x14ac:dyDescent="0.25">
      <c r="A70" s="103">
        <f t="shared" si="18"/>
        <v>69</v>
      </c>
      <c r="B70" s="8" t="s">
        <v>65</v>
      </c>
      <c r="C70" s="10" t="s">
        <v>1045</v>
      </c>
      <c r="D70" s="10" t="s">
        <v>1079</v>
      </c>
      <c r="E70" s="10" t="s">
        <v>1082</v>
      </c>
      <c r="F70" s="10" t="s">
        <v>1084</v>
      </c>
      <c r="G70" s="10" t="s">
        <v>29</v>
      </c>
      <c r="H70" s="10">
        <f t="shared" si="16"/>
        <v>0</v>
      </c>
      <c r="I70" s="49"/>
      <c r="J70" s="49"/>
      <c r="K70" s="49">
        <f>Master20[[#This Row],[Initial Budget]]-Master20[[#This Row],[Previously Committed Funds]]</f>
        <v>0</v>
      </c>
      <c r="L70" s="49"/>
      <c r="M70" s="49"/>
      <c r="N70" s="97">
        <f>Master20[[#This Row],[Design $ (Add/Deduct)]]+Master20[[#This Row],[Construction $ (Add/Ded)]]</f>
        <v>0</v>
      </c>
      <c r="O70" s="32">
        <v>215000</v>
      </c>
      <c r="P70" s="8">
        <v>2022</v>
      </c>
      <c r="Q70" s="8" t="s">
        <v>688</v>
      </c>
      <c r="R70" s="10">
        <f t="shared" si="17"/>
        <v>20</v>
      </c>
      <c r="S70" s="10">
        <v>5</v>
      </c>
      <c r="T70" s="10">
        <f t="shared" si="14"/>
        <v>15</v>
      </c>
      <c r="U70" s="10" t="s">
        <v>43</v>
      </c>
      <c r="V70" s="10">
        <f t="shared" si="15"/>
        <v>16</v>
      </c>
      <c r="W70" s="10" t="s">
        <v>65</v>
      </c>
      <c r="X70" s="49">
        <v>0</v>
      </c>
      <c r="Y70" s="49">
        <v>-5</v>
      </c>
      <c r="Z70" s="49">
        <v>-3</v>
      </c>
      <c r="AA70" s="49">
        <v>0</v>
      </c>
      <c r="AB70" s="49">
        <v>0</v>
      </c>
      <c r="AC70" s="97">
        <v>0</v>
      </c>
      <c r="AD70" s="32">
        <v>-3</v>
      </c>
      <c r="AF70" s="8" t="s">
        <v>29</v>
      </c>
      <c r="AG70" s="10">
        <f>VLOOKUP(Master20[[#This Row],[Elevated Priority]],Epriority,2,)</f>
        <v>0</v>
      </c>
      <c r="AH70" s="10">
        <f>IF(Master20[[#This Row],[Status]]="Active",Master20[[#This Row],[Status_Score]],IF(D70="","",R70+H70+T70+V70+AG70+AE70+Master20[[#This Row],[Risk Mitigation]]+Master20[[#This Row],[Master Plan]]+Master20[[#This Row],[Community Request]]+Master20[[#This Row],[Community need]]+Master20[[#This Row],[Offset Aging Inf.]]+Master20[[#This Row],[Energy Savings]]+Master20[[#This Row],[Gen Revenue]]-5))</f>
        <v>35</v>
      </c>
      <c r="AI70" s="8"/>
      <c r="AJ70" s="8"/>
      <c r="AK70" s="8"/>
      <c r="AL70" s="8">
        <v>2023</v>
      </c>
      <c r="AM70" s="8">
        <v>2024</v>
      </c>
      <c r="AN70" s="10"/>
    </row>
    <row r="71" spans="1:48" ht="30" hidden="1" x14ac:dyDescent="0.25">
      <c r="A71" s="103">
        <f t="shared" si="18"/>
        <v>70</v>
      </c>
      <c r="B71" s="8" t="s">
        <v>94</v>
      </c>
      <c r="C71" s="10" t="s">
        <v>1045</v>
      </c>
      <c r="D71" s="10" t="s">
        <v>235</v>
      </c>
      <c r="E71" s="10" t="s">
        <v>236</v>
      </c>
      <c r="F71" s="10" t="s">
        <v>879</v>
      </c>
      <c r="G71" s="10" t="s">
        <v>29</v>
      </c>
      <c r="H71" s="10">
        <f t="shared" si="16"/>
        <v>0</v>
      </c>
      <c r="I71" s="49"/>
      <c r="J71" s="49"/>
      <c r="K71" s="49">
        <f>Master20[[#This Row],[Initial Budget]]-Master20[[#This Row],[Previously Committed Funds]]</f>
        <v>0</v>
      </c>
      <c r="L71" s="49"/>
      <c r="M71" s="49"/>
      <c r="N71" s="97">
        <f>Master20[[#This Row],[Design $ (Add/Deduct)]]+Master20[[#This Row],[Construction $ (Add/Ded)]]</f>
        <v>0</v>
      </c>
      <c r="O71" s="32">
        <v>150000</v>
      </c>
      <c r="P71" s="8">
        <v>2018</v>
      </c>
      <c r="Q71" s="8" t="s">
        <v>688</v>
      </c>
      <c r="R71" s="10">
        <f t="shared" si="17"/>
        <v>20</v>
      </c>
      <c r="S71" s="10">
        <v>25</v>
      </c>
      <c r="T71" s="10">
        <f t="shared" si="14"/>
        <v>29</v>
      </c>
      <c r="U71" s="10" t="s">
        <v>41</v>
      </c>
      <c r="V71" s="10">
        <f t="shared" si="15"/>
        <v>4</v>
      </c>
      <c r="W71" s="10" t="s">
        <v>30</v>
      </c>
      <c r="X71" s="49">
        <v>0</v>
      </c>
      <c r="Y71" s="49">
        <v>0</v>
      </c>
      <c r="Z71" s="49">
        <v>-1</v>
      </c>
      <c r="AA71" s="49">
        <v>0</v>
      </c>
      <c r="AB71" s="49">
        <v>0</v>
      </c>
      <c r="AC71" s="97">
        <v>-9</v>
      </c>
      <c r="AD71" s="32">
        <v>-3</v>
      </c>
      <c r="AF71" s="8" t="s">
        <v>29</v>
      </c>
      <c r="AG71" s="10">
        <f>VLOOKUP(Master20[[#This Row],[Elevated Priority]],Epriority,2,)</f>
        <v>0</v>
      </c>
      <c r="AH71" s="10">
        <f>IF(Master20[[#This Row],[Status]]="Active",Master20[[#This Row],[Status_Score]],IF(D71="","",R71+H71+T71+V71+AG71+AE71+Master20[[#This Row],[Risk Mitigation]]+Master20[[#This Row],[Master Plan]]+Master20[[#This Row],[Community Request]]+Master20[[#This Row],[Community need]]+Master20[[#This Row],[Offset Aging Inf.]]+Master20[[#This Row],[Energy Savings]]+Master20[[#This Row],[Gen Revenue]]-5))</f>
        <v>35</v>
      </c>
      <c r="AI71" s="8"/>
      <c r="AJ71" s="8">
        <v>2022</v>
      </c>
      <c r="AK71" s="8">
        <v>2023</v>
      </c>
      <c r="AL71" s="8">
        <v>2023</v>
      </c>
      <c r="AM71" s="8">
        <v>2024</v>
      </c>
      <c r="AN71" s="10"/>
    </row>
    <row r="72" spans="1:48" ht="75" hidden="1" x14ac:dyDescent="0.25">
      <c r="A72" s="103">
        <f t="shared" si="18"/>
        <v>71</v>
      </c>
      <c r="B72" s="8" t="s">
        <v>143</v>
      </c>
      <c r="C72" s="10" t="s">
        <v>1045</v>
      </c>
      <c r="D72" s="10" t="s">
        <v>459</v>
      </c>
      <c r="E72" s="10" t="s">
        <v>1277</v>
      </c>
      <c r="F72" s="10" t="s">
        <v>1278</v>
      </c>
      <c r="G72" s="10" t="s">
        <v>29</v>
      </c>
      <c r="H72" s="10">
        <f t="shared" si="16"/>
        <v>0</v>
      </c>
      <c r="I72" s="49"/>
      <c r="J72" s="49"/>
      <c r="K72" s="49">
        <f>Master20[[#This Row],[Initial Budget]]-Master20[[#This Row],[Previously Committed Funds]]</f>
        <v>0</v>
      </c>
      <c r="L72" s="49"/>
      <c r="M72" s="49"/>
      <c r="N72" s="97">
        <f>Master20[[#This Row],[Design $ (Add/Deduct)]]+Master20[[#This Row],[Construction $ (Add/Ded)]]</f>
        <v>0</v>
      </c>
      <c r="O72" s="32">
        <v>40000</v>
      </c>
      <c r="P72" s="8">
        <v>2023</v>
      </c>
      <c r="Q72" s="8" t="s">
        <v>687</v>
      </c>
      <c r="R72" s="10">
        <f t="shared" si="17"/>
        <v>30</v>
      </c>
      <c r="S72" s="10">
        <v>2</v>
      </c>
      <c r="T72" s="10">
        <f t="shared" si="14"/>
        <v>6</v>
      </c>
      <c r="U72" s="10" t="s">
        <v>41</v>
      </c>
      <c r="V72" s="10">
        <f t="shared" si="15"/>
        <v>4</v>
      </c>
      <c r="W72" s="10" t="s">
        <v>29</v>
      </c>
      <c r="X72" s="49"/>
      <c r="Y72" s="49">
        <v>0</v>
      </c>
      <c r="Z72" s="49">
        <v>0</v>
      </c>
      <c r="AA72" s="49">
        <v>0</v>
      </c>
      <c r="AB72" s="49">
        <v>0</v>
      </c>
      <c r="AC72" s="97">
        <v>0</v>
      </c>
      <c r="AD72" s="32">
        <v>0</v>
      </c>
      <c r="AF72" s="8" t="s">
        <v>29</v>
      </c>
      <c r="AG72" s="10">
        <f>VLOOKUP(Master20[[#This Row],[Elevated Priority]],Epriority,2,)</f>
        <v>0</v>
      </c>
      <c r="AH72" s="10">
        <f>IF(Master20[[#This Row],[Status]]="Active",Master20[[#This Row],[Status_Score]],IF(D72="","",R72+H72+T72+V72+AG72+AE72+Master20[[#This Row],[Risk Mitigation]]+Master20[[#This Row],[Master Plan]]+Master20[[#This Row],[Community Request]]+Master20[[#This Row],[Community need]]+Master20[[#This Row],[Offset Aging Inf.]]+Master20[[#This Row],[Energy Savings]]+Master20[[#This Row],[Gen Revenue]]-5))</f>
        <v>35</v>
      </c>
      <c r="AI72" s="166"/>
      <c r="AJ72" s="166"/>
      <c r="AK72" s="166"/>
      <c r="AL72" s="166"/>
      <c r="AM72" s="166"/>
      <c r="AN72" s="165"/>
    </row>
    <row r="73" spans="1:48" ht="60" hidden="1" x14ac:dyDescent="0.25">
      <c r="A73" s="103">
        <f t="shared" si="18"/>
        <v>72</v>
      </c>
      <c r="B73" s="8" t="s">
        <v>143</v>
      </c>
      <c r="C73" s="10" t="s">
        <v>299</v>
      </c>
      <c r="D73" s="10" t="s">
        <v>1279</v>
      </c>
      <c r="E73" s="10" t="s">
        <v>1280</v>
      </c>
      <c r="F73" s="10" t="s">
        <v>1281</v>
      </c>
      <c r="G73" s="10" t="s">
        <v>29</v>
      </c>
      <c r="H73" s="10">
        <f t="shared" si="16"/>
        <v>0</v>
      </c>
      <c r="I73" s="49"/>
      <c r="J73" s="49"/>
      <c r="K73" s="49">
        <f>Master20[[#This Row],[Initial Budget]]-Master20[[#This Row],[Previously Committed Funds]]</f>
        <v>0</v>
      </c>
      <c r="L73" s="49"/>
      <c r="M73" s="49"/>
      <c r="N73" s="97">
        <f>Master20[[#This Row],[Design $ (Add/Deduct)]]+Master20[[#This Row],[Construction $ (Add/Ded)]]</f>
        <v>0</v>
      </c>
      <c r="O73" s="32">
        <v>25000</v>
      </c>
      <c r="P73" s="8">
        <v>2023</v>
      </c>
      <c r="Q73" s="8" t="s">
        <v>687</v>
      </c>
      <c r="R73" s="10">
        <f t="shared" si="17"/>
        <v>30</v>
      </c>
      <c r="S73" s="10">
        <v>2</v>
      </c>
      <c r="T73" s="10">
        <f t="shared" si="14"/>
        <v>6</v>
      </c>
      <c r="U73" s="10" t="s">
        <v>41</v>
      </c>
      <c r="V73" s="10">
        <f t="shared" si="15"/>
        <v>4</v>
      </c>
      <c r="W73" s="10" t="s">
        <v>29</v>
      </c>
      <c r="X73" s="49"/>
      <c r="Y73" s="49">
        <v>0</v>
      </c>
      <c r="Z73" s="49">
        <v>0</v>
      </c>
      <c r="AA73" s="49">
        <v>0</v>
      </c>
      <c r="AB73" s="49">
        <v>0</v>
      </c>
      <c r="AC73" s="97">
        <v>0</v>
      </c>
      <c r="AD73" s="32">
        <v>0</v>
      </c>
      <c r="AF73" s="8" t="s">
        <v>29</v>
      </c>
      <c r="AG73" s="10">
        <f>VLOOKUP(Master20[[#This Row],[Elevated Priority]],Epriority,2,)</f>
        <v>0</v>
      </c>
      <c r="AH73" s="10">
        <f>IF(Master20[[#This Row],[Status]]="Active",Master20[[#This Row],[Status_Score]],IF(D73="","",R73+H73+T73+V73+AG73+AE73+Master20[[#This Row],[Risk Mitigation]]+Master20[[#This Row],[Master Plan]]+Master20[[#This Row],[Community Request]]+Master20[[#This Row],[Community need]]+Master20[[#This Row],[Offset Aging Inf.]]+Master20[[#This Row],[Energy Savings]]+Master20[[#This Row],[Gen Revenue]]-5))</f>
        <v>35</v>
      </c>
      <c r="AI73" s="166"/>
      <c r="AJ73" s="166"/>
      <c r="AK73" s="166"/>
      <c r="AL73" s="166"/>
      <c r="AM73" s="166"/>
      <c r="AN73" s="165"/>
    </row>
    <row r="74" spans="1:48" hidden="1" x14ac:dyDescent="0.25">
      <c r="A74" s="103">
        <f t="shared" si="18"/>
        <v>73</v>
      </c>
      <c r="B74" s="8" t="s">
        <v>65</v>
      </c>
      <c r="C74" s="10" t="s">
        <v>1045</v>
      </c>
      <c r="D74" s="10" t="s">
        <v>1335</v>
      </c>
      <c r="E74" s="10" t="s">
        <v>1336</v>
      </c>
      <c r="F74" s="10" t="s">
        <v>1337</v>
      </c>
      <c r="G74" s="10" t="s">
        <v>29</v>
      </c>
      <c r="H74" s="10">
        <v>0</v>
      </c>
      <c r="I74" s="49"/>
      <c r="J74" s="49"/>
      <c r="K74" s="49">
        <v>0</v>
      </c>
      <c r="L74" s="49"/>
      <c r="M74" s="49"/>
      <c r="N74" s="97">
        <v>0</v>
      </c>
      <c r="O74" s="32">
        <v>2000000</v>
      </c>
      <c r="P74" s="8">
        <v>2023</v>
      </c>
      <c r="Q74" s="8" t="s">
        <v>688</v>
      </c>
      <c r="R74" s="10">
        <v>20</v>
      </c>
      <c r="S74" s="10">
        <v>3</v>
      </c>
      <c r="T74" s="10">
        <f t="shared" si="14"/>
        <v>9</v>
      </c>
      <c r="U74" s="10" t="s">
        <v>43</v>
      </c>
      <c r="V74" s="10">
        <f t="shared" si="15"/>
        <v>16</v>
      </c>
      <c r="W74" s="10" t="s">
        <v>29</v>
      </c>
      <c r="X74" s="49"/>
      <c r="Y74" s="49">
        <v>-1</v>
      </c>
      <c r="Z74" s="49">
        <v>-1</v>
      </c>
      <c r="AA74" s="49">
        <v>-3</v>
      </c>
      <c r="AB74" s="49">
        <v>0</v>
      </c>
      <c r="AC74" s="97">
        <v>0</v>
      </c>
      <c r="AD74" s="32">
        <v>0</v>
      </c>
      <c r="AF74" s="8" t="s">
        <v>29</v>
      </c>
      <c r="AG74" s="10">
        <f>VLOOKUP(Master20[[#This Row],[Elevated Priority]],Epriority,2,)</f>
        <v>0</v>
      </c>
      <c r="AH74" s="10">
        <f>IF(Master20[[#This Row],[Status]]="Active",Master20[[#This Row],[Status_Score]],IF(D74="","",R74+H74+T74+V74+AG74+AE74+Master20[[#This Row],[Risk Mitigation]]+Master20[[#This Row],[Master Plan]]+Master20[[#This Row],[Community Request]]+Master20[[#This Row],[Community need]]+Master20[[#This Row],[Offset Aging Inf.]]+Master20[[#This Row],[Energy Savings]]+Master20[[#This Row],[Gen Revenue]]-5))</f>
        <v>35</v>
      </c>
      <c r="AI74" s="10"/>
      <c r="AJ74" s="10"/>
      <c r="AK74" s="10"/>
      <c r="AL74" s="10"/>
      <c r="AM74" s="10"/>
      <c r="AN74" s="10"/>
      <c r="AS74" s="59"/>
      <c r="AT74" s="202"/>
      <c r="AU74" s="203"/>
      <c r="AV74" s="36"/>
    </row>
    <row r="75" spans="1:48" ht="45" hidden="1" x14ac:dyDescent="0.25">
      <c r="A75" s="103">
        <f t="shared" si="18"/>
        <v>74</v>
      </c>
      <c r="B75" s="8" t="s">
        <v>1195</v>
      </c>
      <c r="C75" s="10" t="s">
        <v>1045</v>
      </c>
      <c r="D75" s="10" t="s">
        <v>528</v>
      </c>
      <c r="E75" s="10" t="s">
        <v>529</v>
      </c>
      <c r="F75" s="10" t="s">
        <v>908</v>
      </c>
      <c r="G75" s="10" t="s">
        <v>29</v>
      </c>
      <c r="H75" s="10">
        <f>VLOOKUP(G75,Status_Score,2,FALSE)</f>
        <v>0</v>
      </c>
      <c r="I75" s="49"/>
      <c r="J75" s="49"/>
      <c r="K75" s="49">
        <f>Master20[[#This Row],[Initial Budget]]-Master20[[#This Row],[Previously Committed Funds]]</f>
        <v>0</v>
      </c>
      <c r="L75" s="49"/>
      <c r="M75" s="49"/>
      <c r="N75" s="97">
        <f>Master20[[#This Row],[Design $ (Add/Deduct)]]+Master20[[#This Row],[Construction $ (Add/Ded)]]</f>
        <v>0</v>
      </c>
      <c r="O75" s="32">
        <v>4500000</v>
      </c>
      <c r="P75" s="8">
        <v>2018</v>
      </c>
      <c r="Q75" s="10" t="s">
        <v>46</v>
      </c>
      <c r="R75" s="8">
        <f>VLOOKUP(Q75,Importance,2,FALSE)</f>
        <v>50</v>
      </c>
      <c r="S75" s="8">
        <v>4</v>
      </c>
      <c r="T75" s="8">
        <f t="shared" si="14"/>
        <v>12</v>
      </c>
      <c r="U75" s="8" t="s">
        <v>41</v>
      </c>
      <c r="V75" s="8">
        <f t="shared" si="15"/>
        <v>4</v>
      </c>
      <c r="W75" s="8" t="s">
        <v>34</v>
      </c>
      <c r="X75" s="8">
        <v>-9</v>
      </c>
      <c r="Y75" s="8">
        <v>0</v>
      </c>
      <c r="Z75" s="8">
        <v>-1</v>
      </c>
      <c r="AA75" s="8">
        <v>-3</v>
      </c>
      <c r="AB75" s="8">
        <v>-2</v>
      </c>
      <c r="AC75" s="8">
        <v>-9</v>
      </c>
      <c r="AD75" s="8">
        <v>0</v>
      </c>
      <c r="AF75" s="17" t="s">
        <v>29</v>
      </c>
      <c r="AG75" s="8">
        <f>VLOOKUP(Master20[[#This Row],[Elevated Priority]],Epriority,2,)</f>
        <v>0</v>
      </c>
      <c r="AH75" s="152">
        <f>IF(Master20[[#This Row],[Status]]="Active",Master20[[#This Row],[Status_Score]],IF(D75="","",R75+H75+T75+V75+AG75+AE75+Master20[[#This Row],[Risk Mitigation]]+Master20[[#This Row],[Master Plan]]+Master20[[#This Row],[Community Request]]+Master20[[#This Row],[Community need]]+Master20[[#This Row],[Offset Aging Inf.]]+Master20[[#This Row],[Energy Savings]]+Master20[[#This Row],[Gen Revenue]]-5))</f>
        <v>37</v>
      </c>
      <c r="AI75" s="8"/>
      <c r="AJ75" s="8">
        <v>2020</v>
      </c>
      <c r="AK75" s="8">
        <v>2021</v>
      </c>
      <c r="AL75" s="8">
        <v>2023</v>
      </c>
      <c r="AM75" s="8">
        <v>2025</v>
      </c>
      <c r="AN75" s="10"/>
    </row>
    <row r="76" spans="1:48" ht="60" hidden="1" x14ac:dyDescent="0.25">
      <c r="A76" s="103">
        <f t="shared" si="18"/>
        <v>75</v>
      </c>
      <c r="B76" s="8" t="s">
        <v>1195</v>
      </c>
      <c r="C76" s="10" t="s">
        <v>1045</v>
      </c>
      <c r="D76" s="10" t="s">
        <v>348</v>
      </c>
      <c r="E76" s="10" t="s">
        <v>349</v>
      </c>
      <c r="F76" s="10" t="s">
        <v>350</v>
      </c>
      <c r="G76" s="10" t="s">
        <v>29</v>
      </c>
      <c r="H76" s="10">
        <f>VLOOKUP(G76,Status_Score,2,FALSE)</f>
        <v>0</v>
      </c>
      <c r="I76" s="49"/>
      <c r="J76" s="49"/>
      <c r="K76" s="49">
        <f>Master20[[#This Row],[Initial Budget]]-Master20[[#This Row],[Previously Committed Funds]]</f>
        <v>0</v>
      </c>
      <c r="L76" s="49"/>
      <c r="M76" s="49"/>
      <c r="N76" s="97">
        <f>Master20[[#This Row],[Design $ (Add/Deduct)]]+Master20[[#This Row],[Construction $ (Add/Ded)]]</f>
        <v>0</v>
      </c>
      <c r="O76" s="32">
        <v>125000</v>
      </c>
      <c r="P76" s="8">
        <v>2018</v>
      </c>
      <c r="Q76" s="10" t="s">
        <v>687</v>
      </c>
      <c r="R76" s="8">
        <f>VLOOKUP(Q76,Importance,2,FALSE)</f>
        <v>30</v>
      </c>
      <c r="S76" s="8">
        <v>3</v>
      </c>
      <c r="T76" s="8">
        <f t="shared" si="14"/>
        <v>9</v>
      </c>
      <c r="U76" s="8" t="s">
        <v>41</v>
      </c>
      <c r="V76" s="8">
        <f t="shared" si="15"/>
        <v>4</v>
      </c>
      <c r="W76" s="8" t="s">
        <v>30</v>
      </c>
      <c r="X76" s="8">
        <v>0</v>
      </c>
      <c r="Y76" s="8">
        <v>0</v>
      </c>
      <c r="Z76" s="8">
        <v>0</v>
      </c>
      <c r="AA76" s="8">
        <v>0</v>
      </c>
      <c r="AB76" s="8">
        <v>0</v>
      </c>
      <c r="AC76" s="8">
        <v>0</v>
      </c>
      <c r="AD76" s="8">
        <v>0</v>
      </c>
      <c r="AF76" s="17" t="s">
        <v>29</v>
      </c>
      <c r="AG76" s="8">
        <f>VLOOKUP(Master20[[#This Row],[Elevated Priority]],Epriority,2,)</f>
        <v>0</v>
      </c>
      <c r="AH76" s="152">
        <f>IF(Master20[[#This Row],[Status]]="Active",Master20[[#This Row],[Status_Score]],IF(D76="","",R76+H76+T76+V76+AG76+AE76+Master20[[#This Row],[Risk Mitigation]]+Master20[[#This Row],[Master Plan]]+Master20[[#This Row],[Community Request]]+Master20[[#This Row],[Community need]]+Master20[[#This Row],[Offset Aging Inf.]]+Master20[[#This Row],[Energy Savings]]+Master20[[#This Row],[Gen Revenue]]-5))</f>
        <v>38</v>
      </c>
      <c r="AI76" s="8"/>
      <c r="AJ76" s="8">
        <v>2022</v>
      </c>
      <c r="AK76" s="8">
        <v>2023</v>
      </c>
      <c r="AL76" s="8">
        <v>2023</v>
      </c>
      <c r="AM76" s="8">
        <v>2024</v>
      </c>
      <c r="AN76" s="10"/>
    </row>
    <row r="77" spans="1:48" ht="30" hidden="1" x14ac:dyDescent="0.25">
      <c r="A77" s="103">
        <f t="shared" si="18"/>
        <v>76</v>
      </c>
      <c r="B77" s="123" t="s">
        <v>70</v>
      </c>
      <c r="C77" s="10" t="s">
        <v>1045</v>
      </c>
      <c r="D77" s="10" t="s">
        <v>276</v>
      </c>
      <c r="E77" s="10" t="s">
        <v>951</v>
      </c>
      <c r="F77" s="10" t="s">
        <v>1313</v>
      </c>
      <c r="G77" s="10" t="s">
        <v>29</v>
      </c>
      <c r="H77" s="10">
        <f>VLOOKUP(G77,Status_Score,2,FALSE)</f>
        <v>0</v>
      </c>
      <c r="I77" s="49"/>
      <c r="J77" s="49"/>
      <c r="K77" s="49">
        <f>Master20[[#This Row],[Initial Budget]]-Master20[[#This Row],[Previously Committed Funds]]</f>
        <v>0</v>
      </c>
      <c r="L77" s="49"/>
      <c r="M77" s="49"/>
      <c r="N77" s="97">
        <f>Master20[[#This Row],[Design $ (Add/Deduct)]]+Master20[[#This Row],[Construction $ (Add/Ded)]]</f>
        <v>0</v>
      </c>
      <c r="O77" s="32">
        <v>10000</v>
      </c>
      <c r="P77" s="8">
        <v>2018</v>
      </c>
      <c r="Q77" s="10" t="s">
        <v>687</v>
      </c>
      <c r="R77" s="8">
        <f>VLOOKUP(Q77,Importance,2,FALSE)</f>
        <v>30</v>
      </c>
      <c r="S77" s="8">
        <v>3</v>
      </c>
      <c r="T77" s="8">
        <f t="shared" si="14"/>
        <v>9</v>
      </c>
      <c r="U77" s="8" t="s">
        <v>41</v>
      </c>
      <c r="V77" s="8">
        <f t="shared" si="15"/>
        <v>4</v>
      </c>
      <c r="W77" s="8" t="s">
        <v>30</v>
      </c>
      <c r="X77" s="8">
        <v>0</v>
      </c>
      <c r="Y77" s="8">
        <v>0</v>
      </c>
      <c r="Z77" s="8">
        <v>0</v>
      </c>
      <c r="AA77" s="8">
        <v>0</v>
      </c>
      <c r="AB77" s="8">
        <v>0</v>
      </c>
      <c r="AC77" s="8">
        <v>0</v>
      </c>
      <c r="AD77" s="8">
        <v>0</v>
      </c>
      <c r="AF77" s="17" t="s">
        <v>29</v>
      </c>
      <c r="AG77" s="8">
        <f>VLOOKUP(Master20[[#This Row],[Elevated Priority]],Epriority,2,)</f>
        <v>0</v>
      </c>
      <c r="AH77" s="152">
        <f>IF(Master20[[#This Row],[Status]]="Active",Master20[[#This Row],[Status_Score]],IF(D77="","",R77+H77+T77+V77+AG77+AE77+Master20[[#This Row],[Risk Mitigation]]+Master20[[#This Row],[Master Plan]]+Master20[[#This Row],[Community Request]]+Master20[[#This Row],[Community need]]+Master20[[#This Row],[Offset Aging Inf.]]+Master20[[#This Row],[Energy Savings]]+Master20[[#This Row],[Gen Revenue]]-5))</f>
        <v>38</v>
      </c>
      <c r="AI77" s="8"/>
      <c r="AJ77" s="8">
        <v>2022</v>
      </c>
      <c r="AK77" s="8">
        <v>2023</v>
      </c>
      <c r="AL77" s="8">
        <v>2023</v>
      </c>
      <c r="AM77" s="8">
        <v>2024</v>
      </c>
      <c r="AN77" s="10" t="s">
        <v>978</v>
      </c>
    </row>
    <row r="78" spans="1:48" ht="30" hidden="1" x14ac:dyDescent="0.25">
      <c r="A78" s="103">
        <f t="shared" si="18"/>
        <v>77</v>
      </c>
      <c r="B78" s="8" t="s">
        <v>70</v>
      </c>
      <c r="C78" s="10" t="s">
        <v>1045</v>
      </c>
      <c r="D78" s="10" t="s">
        <v>282</v>
      </c>
      <c r="E78" s="10" t="s">
        <v>283</v>
      </c>
      <c r="F78" s="10" t="s">
        <v>892</v>
      </c>
      <c r="G78" s="10" t="s">
        <v>29</v>
      </c>
      <c r="H78" s="10">
        <f>VLOOKUP(G78,Status_Score,2,FALSE)</f>
        <v>0</v>
      </c>
      <c r="I78" s="49"/>
      <c r="J78" s="49"/>
      <c r="K78" s="49">
        <f>Master20[[#This Row],[Initial Budget]]-Master20[[#This Row],[Previously Committed Funds]]</f>
        <v>0</v>
      </c>
      <c r="L78" s="49"/>
      <c r="M78" s="49"/>
      <c r="N78" s="97">
        <f>Master20[[#This Row],[Design $ (Add/Deduct)]]+Master20[[#This Row],[Construction $ (Add/Ded)]]</f>
        <v>0</v>
      </c>
      <c r="O78" s="32">
        <v>60000</v>
      </c>
      <c r="P78" s="8">
        <v>2018</v>
      </c>
      <c r="Q78" s="10" t="s">
        <v>687</v>
      </c>
      <c r="R78" s="8">
        <f>VLOOKUP(Q78,Importance,2,FALSE)</f>
        <v>30</v>
      </c>
      <c r="S78" s="8">
        <v>3</v>
      </c>
      <c r="T78" s="8">
        <f t="shared" si="14"/>
        <v>9</v>
      </c>
      <c r="U78" s="8" t="s">
        <v>41</v>
      </c>
      <c r="V78" s="8">
        <f t="shared" si="15"/>
        <v>4</v>
      </c>
      <c r="W78" s="8" t="s">
        <v>30</v>
      </c>
      <c r="X78" s="8">
        <v>0</v>
      </c>
      <c r="Y78" s="8">
        <v>0</v>
      </c>
      <c r="Z78" s="8">
        <v>0</v>
      </c>
      <c r="AA78" s="8">
        <v>0</v>
      </c>
      <c r="AB78" s="8">
        <v>0</v>
      </c>
      <c r="AC78" s="8">
        <v>0</v>
      </c>
      <c r="AD78" s="8">
        <v>0</v>
      </c>
      <c r="AF78" s="17" t="s">
        <v>29</v>
      </c>
      <c r="AG78" s="8">
        <f>VLOOKUP(Master20[[#This Row],[Elevated Priority]],Epriority,2,)</f>
        <v>0</v>
      </c>
      <c r="AH78" s="152">
        <f>IF(Master20[[#This Row],[Status]]="Active",Master20[[#This Row],[Status_Score]],IF(D78="","",R78+H78+T78+V78+AG78+AE78+Master20[[#This Row],[Risk Mitigation]]+Master20[[#This Row],[Master Plan]]+Master20[[#This Row],[Community Request]]+Master20[[#This Row],[Community need]]+Master20[[#This Row],[Offset Aging Inf.]]+Master20[[#This Row],[Energy Savings]]+Master20[[#This Row],[Gen Revenue]]-5))</f>
        <v>38</v>
      </c>
      <c r="AI78" s="8"/>
      <c r="AJ78" s="8">
        <v>2022</v>
      </c>
      <c r="AK78" s="8">
        <v>2023</v>
      </c>
      <c r="AL78" s="8">
        <v>2023</v>
      </c>
      <c r="AM78" s="8">
        <v>2024</v>
      </c>
      <c r="AN78" s="10"/>
    </row>
    <row r="79" spans="1:48" ht="90" hidden="1" x14ac:dyDescent="0.25">
      <c r="A79" s="103">
        <f t="shared" si="18"/>
        <v>78</v>
      </c>
      <c r="B79" s="8" t="s">
        <v>143</v>
      </c>
      <c r="C79" s="10" t="s">
        <v>299</v>
      </c>
      <c r="D79" s="10" t="s">
        <v>300</v>
      </c>
      <c r="E79" s="10" t="s">
        <v>301</v>
      </c>
      <c r="F79" s="10" t="s">
        <v>1273</v>
      </c>
      <c r="G79" s="10" t="s">
        <v>29</v>
      </c>
      <c r="H79" s="10">
        <f>VLOOKUP(G79,Status_Score,2,FALSE)</f>
        <v>0</v>
      </c>
      <c r="I79" s="49"/>
      <c r="J79" s="49"/>
      <c r="K79" s="49">
        <f>Master20[[#This Row],[Initial Budget]]-Master20[[#This Row],[Previously Committed Funds]]</f>
        <v>0</v>
      </c>
      <c r="L79" s="49"/>
      <c r="M79" s="49"/>
      <c r="N79" s="97">
        <f>Master20[[#This Row],[Design $ (Add/Deduct)]]+Master20[[#This Row],[Construction $ (Add/Ded)]]</f>
        <v>0</v>
      </c>
      <c r="O79" s="32">
        <v>135000</v>
      </c>
      <c r="P79" s="8">
        <v>2018</v>
      </c>
      <c r="Q79" s="10" t="s">
        <v>688</v>
      </c>
      <c r="R79" s="8">
        <f>VLOOKUP(Q79,Importance,2,FALSE)</f>
        <v>20</v>
      </c>
      <c r="S79" s="8">
        <v>2</v>
      </c>
      <c r="T79" s="8">
        <f t="shared" si="14"/>
        <v>6</v>
      </c>
      <c r="U79" s="8" t="s">
        <v>37</v>
      </c>
      <c r="V79" s="8">
        <f t="shared" si="15"/>
        <v>3</v>
      </c>
      <c r="W79" s="8" t="s">
        <v>30</v>
      </c>
      <c r="X79" s="8">
        <v>0</v>
      </c>
      <c r="Y79" s="8">
        <v>0</v>
      </c>
      <c r="Z79" s="8">
        <v>0</v>
      </c>
      <c r="AA79" s="8">
        <v>0</v>
      </c>
      <c r="AB79" s="8">
        <v>0</v>
      </c>
      <c r="AC79" s="8">
        <v>0</v>
      </c>
      <c r="AD79" s="8">
        <v>0</v>
      </c>
      <c r="AF79" s="17" t="s">
        <v>833</v>
      </c>
      <c r="AG79" s="8">
        <f>VLOOKUP(Master20[[#This Row],[Elevated Priority]],Epriority,2,)</f>
        <v>15</v>
      </c>
      <c r="AH79" s="152">
        <f>IF(Master20[[#This Row],[Status]]="Active",Master20[[#This Row],[Status_Score]],IF(D79="","",R79+H79+T79+V79+AG79+AE79+Master20[[#This Row],[Risk Mitigation]]+Master20[[#This Row],[Master Plan]]+Master20[[#This Row],[Community Request]]+Master20[[#This Row],[Community need]]+Master20[[#This Row],[Offset Aging Inf.]]+Master20[[#This Row],[Energy Savings]]+Master20[[#This Row],[Gen Revenue]]-5))</f>
        <v>39</v>
      </c>
      <c r="AI79" s="8"/>
      <c r="AJ79" s="8">
        <v>2022</v>
      </c>
      <c r="AK79" s="8">
        <v>2023</v>
      </c>
      <c r="AL79" s="8">
        <v>2023</v>
      </c>
      <c r="AM79" s="8">
        <v>2024</v>
      </c>
      <c r="AN79" s="10"/>
    </row>
    <row r="80" spans="1:48" ht="60" hidden="1" x14ac:dyDescent="0.25">
      <c r="A80" s="103">
        <f t="shared" si="18"/>
        <v>79</v>
      </c>
      <c r="B80" s="8" t="s">
        <v>65</v>
      </c>
      <c r="C80" s="10" t="s">
        <v>1045</v>
      </c>
      <c r="D80" s="10" t="s">
        <v>1347</v>
      </c>
      <c r="E80" s="10" t="s">
        <v>1356</v>
      </c>
      <c r="F80" s="10" t="s">
        <v>1348</v>
      </c>
      <c r="G80" s="10" t="s">
        <v>719</v>
      </c>
      <c r="H80" s="10">
        <v>0</v>
      </c>
      <c r="I80" s="49"/>
      <c r="J80" s="49"/>
      <c r="K80" s="49">
        <v>0</v>
      </c>
      <c r="L80" s="49"/>
      <c r="M80" s="49"/>
      <c r="N80" s="97">
        <v>0</v>
      </c>
      <c r="O80" s="32">
        <v>6100000</v>
      </c>
      <c r="P80" s="8">
        <v>2023</v>
      </c>
      <c r="Q80" s="10" t="s">
        <v>46</v>
      </c>
      <c r="R80" s="8">
        <v>60</v>
      </c>
      <c r="S80" s="8">
        <v>1</v>
      </c>
      <c r="T80" s="8">
        <f t="shared" si="14"/>
        <v>3</v>
      </c>
      <c r="U80" s="8" t="s">
        <v>41</v>
      </c>
      <c r="V80" s="8">
        <f t="shared" si="15"/>
        <v>4</v>
      </c>
      <c r="W80" s="8" t="s">
        <v>29</v>
      </c>
      <c r="X80" s="8">
        <v>-9</v>
      </c>
      <c r="Y80" s="8">
        <v>0</v>
      </c>
      <c r="Z80" s="8">
        <v>0</v>
      </c>
      <c r="AA80" s="8">
        <v>-3</v>
      </c>
      <c r="AB80" s="8">
        <v>-2</v>
      </c>
      <c r="AC80" s="8">
        <v>-9</v>
      </c>
      <c r="AD80" s="8">
        <v>0</v>
      </c>
      <c r="AF80" s="17" t="s">
        <v>29</v>
      </c>
      <c r="AG80" s="8">
        <f>VLOOKUP(Master20[[#This Row],[Elevated Priority]],Epriority,2,)</f>
        <v>0</v>
      </c>
      <c r="AH80" s="152">
        <f>IF(Master20[[#This Row],[Status]]="Active",Master20[[#This Row],[Status_Score]],IF(D80="","",R80+H80+T80+V80+AG80+AE80+Master20[[#This Row],[Risk Mitigation]]+Master20[[#This Row],[Master Plan]]+Master20[[#This Row],[Community Request]]+Master20[[#This Row],[Community need]]+Master20[[#This Row],[Offset Aging Inf.]]+Master20[[#This Row],[Energy Savings]]+Master20[[#This Row],[Gen Revenue]]-5))</f>
        <v>39</v>
      </c>
      <c r="AI80" s="166"/>
      <c r="AJ80" s="166"/>
      <c r="AK80" s="166"/>
      <c r="AL80" s="166"/>
      <c r="AM80" s="166"/>
      <c r="AN80" s="165"/>
    </row>
    <row r="81" spans="1:40" ht="30" hidden="1" x14ac:dyDescent="0.25">
      <c r="A81" s="103">
        <f t="shared" si="18"/>
        <v>80</v>
      </c>
      <c r="B81" s="8" t="s">
        <v>1191</v>
      </c>
      <c r="C81" s="10" t="s">
        <v>79</v>
      </c>
      <c r="D81" s="10" t="s">
        <v>245</v>
      </c>
      <c r="E81" s="10" t="s">
        <v>246</v>
      </c>
      <c r="F81" s="10" t="s">
        <v>247</v>
      </c>
      <c r="G81" s="10" t="s">
        <v>29</v>
      </c>
      <c r="H81" s="10">
        <f t="shared" ref="H81:H105" si="19">VLOOKUP(G81,Status_Score,2,FALSE)</f>
        <v>0</v>
      </c>
      <c r="I81" s="49"/>
      <c r="J81" s="49"/>
      <c r="K81" s="49">
        <f>Master20[[#This Row],[Initial Budget]]-Master20[[#This Row],[Previously Committed Funds]]</f>
        <v>0</v>
      </c>
      <c r="L81" s="49"/>
      <c r="M81" s="49"/>
      <c r="N81" s="97">
        <f>Master20[[#This Row],[Design $ (Add/Deduct)]]+Master20[[#This Row],[Construction $ (Add/Ded)]]</f>
        <v>0</v>
      </c>
      <c r="O81" s="32">
        <v>20000</v>
      </c>
      <c r="P81" s="8">
        <v>2018</v>
      </c>
      <c r="Q81" s="10" t="s">
        <v>687</v>
      </c>
      <c r="R81" s="8">
        <f>VLOOKUP(Q81,Importance,2,FALSE)</f>
        <v>30</v>
      </c>
      <c r="S81" s="8">
        <v>4</v>
      </c>
      <c r="T81" s="8">
        <f t="shared" si="14"/>
        <v>12</v>
      </c>
      <c r="U81" s="8" t="s">
        <v>41</v>
      </c>
      <c r="V81" s="8">
        <f t="shared" si="15"/>
        <v>4</v>
      </c>
      <c r="W81" s="8" t="s">
        <v>30</v>
      </c>
      <c r="X81" s="8">
        <v>0</v>
      </c>
      <c r="Y81" s="8">
        <v>0</v>
      </c>
      <c r="Z81" s="8">
        <v>0</v>
      </c>
      <c r="AA81" s="8">
        <v>0</v>
      </c>
      <c r="AB81" s="8">
        <v>0</v>
      </c>
      <c r="AC81" s="8">
        <v>0</v>
      </c>
      <c r="AD81" s="8">
        <v>0</v>
      </c>
      <c r="AF81" s="17" t="s">
        <v>29</v>
      </c>
      <c r="AG81" s="8">
        <f>VLOOKUP(Master20[[#This Row],[Elevated Priority]],Epriority,2,)</f>
        <v>0</v>
      </c>
      <c r="AH81" s="152">
        <f>IF(Master20[[#This Row],[Status]]="Active",Master20[[#This Row],[Status_Score]],IF(D81="","",R81+H81+T81+V81+AG81+AE81+Master20[[#This Row],[Risk Mitigation]]+Master20[[#This Row],[Master Plan]]+Master20[[#This Row],[Community Request]]+Master20[[#This Row],[Community need]]+Master20[[#This Row],[Offset Aging Inf.]]+Master20[[#This Row],[Energy Savings]]+Master20[[#This Row],[Gen Revenue]]-5))</f>
        <v>41</v>
      </c>
      <c r="AI81" s="8"/>
      <c r="AJ81" s="8">
        <v>2022</v>
      </c>
      <c r="AK81" s="8">
        <v>2023</v>
      </c>
      <c r="AL81" s="8">
        <v>2023</v>
      </c>
      <c r="AM81" s="8">
        <v>2024</v>
      </c>
      <c r="AN81" s="10"/>
    </row>
    <row r="82" spans="1:40" ht="90" hidden="1" x14ac:dyDescent="0.25">
      <c r="A82" s="103">
        <f t="shared" si="18"/>
        <v>81</v>
      </c>
      <c r="B82" s="8" t="s">
        <v>1195</v>
      </c>
      <c r="C82" s="10" t="s">
        <v>1045</v>
      </c>
      <c r="D82" s="10" t="s">
        <v>316</v>
      </c>
      <c r="E82" s="10" t="s">
        <v>891</v>
      </c>
      <c r="F82" s="10" t="s">
        <v>318</v>
      </c>
      <c r="G82" s="10" t="s">
        <v>29</v>
      </c>
      <c r="H82" s="10">
        <f t="shared" si="19"/>
        <v>0</v>
      </c>
      <c r="I82" s="49"/>
      <c r="J82" s="49"/>
      <c r="K82" s="49">
        <f>Master20[[#This Row],[Initial Budget]]-Master20[[#This Row],[Previously Committed Funds]]</f>
        <v>0</v>
      </c>
      <c r="L82" s="49"/>
      <c r="M82" s="49"/>
      <c r="N82" s="97">
        <f>Master20[[#This Row],[Design $ (Add/Deduct)]]+Master20[[#This Row],[Construction $ (Add/Ded)]]</f>
        <v>0</v>
      </c>
      <c r="O82" s="32">
        <v>8000000</v>
      </c>
      <c r="P82" s="8">
        <v>2018</v>
      </c>
      <c r="Q82" s="10" t="s">
        <v>687</v>
      </c>
      <c r="R82" s="8">
        <f>VLOOKUP(Q82,Importance,2,FALSE)</f>
        <v>30</v>
      </c>
      <c r="S82" s="8">
        <v>2</v>
      </c>
      <c r="T82" s="8">
        <f t="shared" si="14"/>
        <v>6</v>
      </c>
      <c r="U82" s="8" t="s">
        <v>43</v>
      </c>
      <c r="V82" s="8">
        <f t="shared" si="15"/>
        <v>16</v>
      </c>
      <c r="W82" s="8" t="s">
        <v>34</v>
      </c>
      <c r="X82" s="8">
        <v>0</v>
      </c>
      <c r="Y82" s="8">
        <v>0</v>
      </c>
      <c r="Z82" s="8">
        <v>-1</v>
      </c>
      <c r="AA82" s="8">
        <v>0</v>
      </c>
      <c r="AB82" s="8">
        <v>0</v>
      </c>
      <c r="AC82" s="8">
        <v>-5</v>
      </c>
      <c r="AD82" s="8">
        <v>0</v>
      </c>
      <c r="AF82" s="17" t="s">
        <v>29</v>
      </c>
      <c r="AG82" s="8">
        <f>VLOOKUP(Master20[[#This Row],[Elevated Priority]],Epriority,2,)</f>
        <v>0</v>
      </c>
      <c r="AH82" s="152">
        <f>IF(Master20[[#This Row],[Status]]="Active",Master20[[#This Row],[Status_Score]],IF(D82="","",R82+H82+T82+V82+AG82+AE82+Master20[[#This Row],[Risk Mitigation]]+Master20[[#This Row],[Master Plan]]+Master20[[#This Row],[Community Request]]+Master20[[#This Row],[Community need]]+Master20[[#This Row],[Offset Aging Inf.]]+Master20[[#This Row],[Energy Savings]]+Master20[[#This Row],[Gen Revenue]]-5))</f>
        <v>41</v>
      </c>
      <c r="AI82" s="8"/>
      <c r="AJ82" s="8">
        <v>2022</v>
      </c>
      <c r="AK82" s="8">
        <v>2024</v>
      </c>
      <c r="AL82" s="8">
        <v>2023</v>
      </c>
      <c r="AM82" s="8">
        <v>2025</v>
      </c>
      <c r="AN82" s="10"/>
    </row>
    <row r="83" spans="1:40" ht="60" hidden="1" x14ac:dyDescent="0.25">
      <c r="A83" s="103">
        <f t="shared" si="18"/>
        <v>82</v>
      </c>
      <c r="B83" s="8" t="s">
        <v>94</v>
      </c>
      <c r="C83" s="10" t="s">
        <v>1045</v>
      </c>
      <c r="D83" s="10" t="s">
        <v>1119</v>
      </c>
      <c r="E83" s="10" t="s">
        <v>1120</v>
      </c>
      <c r="F83" s="10" t="s">
        <v>1315</v>
      </c>
      <c r="G83" s="10" t="s">
        <v>29</v>
      </c>
      <c r="H83" s="10">
        <f t="shared" si="19"/>
        <v>0</v>
      </c>
      <c r="I83" s="49"/>
      <c r="J83" s="49"/>
      <c r="K83" s="49">
        <f>Master20[[#This Row],[Initial Budget]]-Master20[[#This Row],[Previously Committed Funds]]</f>
        <v>0</v>
      </c>
      <c r="L83" s="49"/>
      <c r="M83" s="49"/>
      <c r="N83" s="97">
        <f>Master20[[#This Row],[Design $ (Add/Deduct)]]+Master20[[#This Row],[Construction $ (Add/Ded)]]</f>
        <v>0</v>
      </c>
      <c r="O83" s="32">
        <v>300000</v>
      </c>
      <c r="P83" s="8">
        <v>2022</v>
      </c>
      <c r="Q83" s="10" t="s">
        <v>36</v>
      </c>
      <c r="R83" s="8">
        <f>VLOOKUP(Q83,Importance,2,FALSE)</f>
        <v>10</v>
      </c>
      <c r="S83" s="8">
        <v>10</v>
      </c>
      <c r="T83" s="8">
        <f t="shared" si="14"/>
        <v>21</v>
      </c>
      <c r="U83" s="8" t="s">
        <v>43</v>
      </c>
      <c r="V83" s="8">
        <f t="shared" si="15"/>
        <v>16</v>
      </c>
      <c r="W83" s="8" t="s">
        <v>30</v>
      </c>
      <c r="X83" s="8">
        <v>0</v>
      </c>
      <c r="Y83" s="8">
        <v>0</v>
      </c>
      <c r="Z83" s="8">
        <v>-1</v>
      </c>
      <c r="AA83" s="8">
        <v>0</v>
      </c>
      <c r="AB83" s="8">
        <v>0</v>
      </c>
      <c r="AC83" s="8">
        <v>0</v>
      </c>
      <c r="AD83" s="8">
        <v>0</v>
      </c>
      <c r="AF83" s="17" t="s">
        <v>29</v>
      </c>
      <c r="AG83" s="8">
        <f>VLOOKUP(Master20[[#This Row],[Elevated Priority]],Epriority,2,)</f>
        <v>0</v>
      </c>
      <c r="AH83" s="152">
        <f>IF(Master20[[#This Row],[Status]]="Active",Master20[[#This Row],[Status_Score]],IF(D83="","",R83+H83+T83+V83+AG83+AE83+Master20[[#This Row],[Risk Mitigation]]+Master20[[#This Row],[Master Plan]]+Master20[[#This Row],[Community Request]]+Master20[[#This Row],[Community need]]+Master20[[#This Row],[Offset Aging Inf.]]+Master20[[#This Row],[Energy Savings]]+Master20[[#This Row],[Gen Revenue]]-5))</f>
        <v>41</v>
      </c>
      <c r="AI83" s="8"/>
      <c r="AJ83" s="8"/>
      <c r="AK83" s="8"/>
      <c r="AL83" s="8">
        <v>2024</v>
      </c>
      <c r="AM83" s="8">
        <v>2025</v>
      </c>
      <c r="AN83" s="10"/>
    </row>
    <row r="84" spans="1:40" ht="45" hidden="1" x14ac:dyDescent="0.25">
      <c r="A84" s="103">
        <f t="shared" si="18"/>
        <v>83</v>
      </c>
      <c r="B84" s="8" t="s">
        <v>70</v>
      </c>
      <c r="C84" s="10" t="s">
        <v>1045</v>
      </c>
      <c r="D84" s="10" t="s">
        <v>840</v>
      </c>
      <c r="E84" s="10" t="s">
        <v>841</v>
      </c>
      <c r="F84" s="10" t="s">
        <v>903</v>
      </c>
      <c r="G84" s="10" t="s">
        <v>29</v>
      </c>
      <c r="H84" s="10">
        <f t="shared" si="19"/>
        <v>0</v>
      </c>
      <c r="I84" s="49"/>
      <c r="J84" s="49"/>
      <c r="K84" s="49">
        <f>Master20[[#This Row],[Initial Budget]]-Master20[[#This Row],[Previously Committed Funds]]</f>
        <v>0</v>
      </c>
      <c r="L84" s="49"/>
      <c r="M84" s="49"/>
      <c r="N84" s="97">
        <f>Master20[[#This Row],[Design $ (Add/Deduct)]]+Master20[[#This Row],[Construction $ (Add/Ded)]]</f>
        <v>0</v>
      </c>
      <c r="O84" s="32">
        <v>50000</v>
      </c>
      <c r="P84" s="8">
        <v>2018</v>
      </c>
      <c r="Q84" s="10" t="s">
        <v>687</v>
      </c>
      <c r="R84" s="8">
        <f>VLOOKUP(Q84,Importance,2,FALSE)</f>
        <v>30</v>
      </c>
      <c r="S84" s="8">
        <v>4</v>
      </c>
      <c r="T84" s="8">
        <f t="shared" si="14"/>
        <v>12</v>
      </c>
      <c r="U84" s="8" t="s">
        <v>41</v>
      </c>
      <c r="V84" s="8">
        <f t="shared" si="15"/>
        <v>4</v>
      </c>
      <c r="W84" s="8" t="s">
        <v>30</v>
      </c>
      <c r="X84" s="8">
        <v>0</v>
      </c>
      <c r="Y84" s="8">
        <v>0</v>
      </c>
      <c r="Z84" s="8">
        <v>0</v>
      </c>
      <c r="AA84" s="8">
        <v>0</v>
      </c>
      <c r="AB84" s="8">
        <v>0</v>
      </c>
      <c r="AC84" s="8">
        <v>0</v>
      </c>
      <c r="AD84" s="8">
        <v>0</v>
      </c>
      <c r="AF84" s="17" t="s">
        <v>29</v>
      </c>
      <c r="AG84" s="8">
        <f>VLOOKUP(Master20[[#This Row],[Elevated Priority]],Epriority,2,)</f>
        <v>0</v>
      </c>
      <c r="AH84" s="152">
        <f>IF(Master20[[#This Row],[Status]]="Active",Master20[[#This Row],[Status_Score]],IF(D84="","",R84+H84+T84+V84+AG84+AE84+Master20[[#This Row],[Risk Mitigation]]+Master20[[#This Row],[Master Plan]]+Master20[[#This Row],[Community Request]]+Master20[[#This Row],[Community need]]+Master20[[#This Row],[Offset Aging Inf.]]+Master20[[#This Row],[Energy Savings]]+Master20[[#This Row],[Gen Revenue]]-5))</f>
        <v>41</v>
      </c>
      <c r="AI84" s="8"/>
      <c r="AJ84" s="8">
        <v>2022</v>
      </c>
      <c r="AK84" s="8">
        <v>2023</v>
      </c>
      <c r="AL84" s="8">
        <v>2023</v>
      </c>
      <c r="AM84" s="8">
        <v>2024</v>
      </c>
      <c r="AN84" s="10"/>
    </row>
    <row r="85" spans="1:40" ht="45" hidden="1" x14ac:dyDescent="0.25">
      <c r="A85" s="103">
        <f t="shared" si="18"/>
        <v>84</v>
      </c>
      <c r="B85" s="8" t="s">
        <v>1195</v>
      </c>
      <c r="C85" s="10" t="s">
        <v>1045</v>
      </c>
      <c r="D85" s="10" t="s">
        <v>895</v>
      </c>
      <c r="E85" s="10" t="s">
        <v>896</v>
      </c>
      <c r="F85" s="10" t="s">
        <v>371</v>
      </c>
      <c r="G85" s="10" t="s">
        <v>29</v>
      </c>
      <c r="H85" s="10">
        <f t="shared" si="19"/>
        <v>0</v>
      </c>
      <c r="I85" s="49"/>
      <c r="J85" s="49"/>
      <c r="K85" s="49">
        <f>Master20[[#This Row],[Initial Budget]]-Master20[[#This Row],[Previously Committed Funds]]</f>
        <v>0</v>
      </c>
      <c r="L85" s="49"/>
      <c r="M85" s="49"/>
      <c r="N85" s="97">
        <f>Master20[[#This Row],[Design $ (Add/Deduct)]]+Master20[[#This Row],[Construction $ (Add/Ded)]]</f>
        <v>0</v>
      </c>
      <c r="O85" s="32">
        <v>250000</v>
      </c>
      <c r="P85" s="8">
        <v>2018</v>
      </c>
      <c r="Q85" s="10" t="s">
        <v>687</v>
      </c>
      <c r="R85" s="8">
        <f>VLOOKUP(Q85,Importance,2,FALSE)</f>
        <v>30</v>
      </c>
      <c r="S85" s="8">
        <v>1</v>
      </c>
      <c r="T85" s="8">
        <f t="shared" si="14"/>
        <v>3</v>
      </c>
      <c r="U85" s="8" t="s">
        <v>43</v>
      </c>
      <c r="V85" s="8">
        <f t="shared" si="15"/>
        <v>16</v>
      </c>
      <c r="W85" s="8" t="s">
        <v>30</v>
      </c>
      <c r="X85" s="8">
        <v>0</v>
      </c>
      <c r="Y85" s="8">
        <v>0</v>
      </c>
      <c r="Z85" s="8">
        <v>0</v>
      </c>
      <c r="AA85" s="8">
        <v>0</v>
      </c>
      <c r="AB85" s="8">
        <v>0</v>
      </c>
      <c r="AC85" s="8">
        <v>0</v>
      </c>
      <c r="AD85" s="8">
        <v>0</v>
      </c>
      <c r="AF85" s="17" t="s">
        <v>29</v>
      </c>
      <c r="AG85" s="8">
        <f>VLOOKUP(Master20[[#This Row],[Elevated Priority]],Epriority,2,)</f>
        <v>0</v>
      </c>
      <c r="AH85" s="152">
        <f>IF(Master20[[#This Row],[Status]]="Active",Master20[[#This Row],[Status_Score]],IF(D85="","",R85+H85+T85+V85+AG85+AE85+Master20[[#This Row],[Risk Mitigation]]+Master20[[#This Row],[Master Plan]]+Master20[[#This Row],[Community Request]]+Master20[[#This Row],[Community need]]+Master20[[#This Row],[Offset Aging Inf.]]+Master20[[#This Row],[Energy Savings]]+Master20[[#This Row],[Gen Revenue]]-5))</f>
        <v>44</v>
      </c>
      <c r="AI85" s="8"/>
      <c r="AJ85" s="8">
        <v>2023</v>
      </c>
      <c r="AK85" s="8">
        <v>2024</v>
      </c>
      <c r="AL85" s="8">
        <v>2023</v>
      </c>
      <c r="AM85" s="8">
        <v>2024</v>
      </c>
      <c r="AN85" s="10"/>
    </row>
    <row r="86" spans="1:40" ht="27" hidden="1" customHeight="1" x14ac:dyDescent="0.25">
      <c r="A86" s="103">
        <f t="shared" si="18"/>
        <v>85</v>
      </c>
      <c r="B86" s="123" t="s">
        <v>1206</v>
      </c>
      <c r="C86" s="10" t="s">
        <v>1196</v>
      </c>
      <c r="D86" s="10" t="s">
        <v>696</v>
      </c>
      <c r="E86" s="10" t="s">
        <v>1136</v>
      </c>
      <c r="F86" s="10"/>
      <c r="G86" s="10" t="s">
        <v>29</v>
      </c>
      <c r="H86" s="10">
        <f t="shared" si="19"/>
        <v>0</v>
      </c>
      <c r="I86" s="49"/>
      <c r="J86" s="49"/>
      <c r="K86" s="49">
        <f>Master20[[#This Row],[Initial Budget]]-Master20[[#This Row],[Previously Committed Funds]]</f>
        <v>0</v>
      </c>
      <c r="L86" s="49"/>
      <c r="M86" s="49"/>
      <c r="N86" s="97">
        <f>Master20[[#This Row],[Design $ (Add/Deduct)]]+Master20[[#This Row],[Construction $ (Add/Ded)]]</f>
        <v>0</v>
      </c>
      <c r="O86" s="32">
        <v>5000000</v>
      </c>
      <c r="P86" s="8">
        <v>2019</v>
      </c>
      <c r="Q86" s="10" t="s">
        <v>46</v>
      </c>
      <c r="R86" s="8">
        <v>50</v>
      </c>
      <c r="S86" s="8">
        <v>3</v>
      </c>
      <c r="T86" s="8">
        <f t="shared" si="14"/>
        <v>9</v>
      </c>
      <c r="U86" s="8" t="s">
        <v>43</v>
      </c>
      <c r="W86" s="8" t="s">
        <v>34</v>
      </c>
      <c r="X86" s="8">
        <v>0</v>
      </c>
      <c r="Y86" s="8">
        <v>0</v>
      </c>
      <c r="Z86" s="8">
        <v>-3</v>
      </c>
      <c r="AA86" s="8">
        <v>-3</v>
      </c>
      <c r="AB86" s="8">
        <v>-2</v>
      </c>
      <c r="AC86" s="8">
        <v>0</v>
      </c>
      <c r="AD86" s="8">
        <v>0</v>
      </c>
      <c r="AF86" s="17" t="s">
        <v>29</v>
      </c>
      <c r="AG86" s="8">
        <f>VLOOKUP(Master20[[#This Row],[Elevated Priority]],Epriority,2,)</f>
        <v>0</v>
      </c>
      <c r="AH86" s="152">
        <f>IF(Master20[[#This Row],[Status]]="Active",Master20[[#This Row],[Status_Score]],IF(D86="","",R86+H86+T86+V86+AG86+AE86+Master20[[#This Row],[Risk Mitigation]]+Master20[[#This Row],[Master Plan]]+Master20[[#This Row],[Community Request]]+Master20[[#This Row],[Community need]]+Master20[[#This Row],[Offset Aging Inf.]]+Master20[[#This Row],[Energy Savings]]+Master20[[#This Row],[Gen Revenue]]-5))</f>
        <v>46</v>
      </c>
      <c r="AI86" s="8"/>
      <c r="AJ86" s="8">
        <v>2022</v>
      </c>
      <c r="AK86" s="8">
        <v>2024</v>
      </c>
      <c r="AL86" s="8">
        <v>2022</v>
      </c>
      <c r="AM86" s="8">
        <v>2025</v>
      </c>
      <c r="AN86" s="10"/>
    </row>
    <row r="87" spans="1:40" ht="45" hidden="1" x14ac:dyDescent="0.25">
      <c r="A87" s="103">
        <f t="shared" si="18"/>
        <v>86</v>
      </c>
      <c r="B87" s="8" t="s">
        <v>1195</v>
      </c>
      <c r="C87" s="10" t="s">
        <v>1189</v>
      </c>
      <c r="D87" s="10" t="s">
        <v>541</v>
      </c>
      <c r="E87" s="10" t="s">
        <v>542</v>
      </c>
      <c r="F87" s="10" t="s">
        <v>543</v>
      </c>
      <c r="G87" s="10" t="s">
        <v>29</v>
      </c>
      <c r="H87" s="10">
        <f t="shared" si="19"/>
        <v>0</v>
      </c>
      <c r="I87" s="49"/>
      <c r="J87" s="49"/>
      <c r="K87" s="49">
        <f>Master20[[#This Row],[Initial Budget]]-Master20[[#This Row],[Previously Committed Funds]]</f>
        <v>0</v>
      </c>
      <c r="L87" s="49"/>
      <c r="M87" s="49"/>
      <c r="N87" s="97">
        <f>Master20[[#This Row],[Design $ (Add/Deduct)]]+Master20[[#This Row],[Construction $ (Add/Ded)]]</f>
        <v>0</v>
      </c>
      <c r="O87" s="32">
        <v>10000000</v>
      </c>
      <c r="P87" s="8">
        <v>2018</v>
      </c>
      <c r="Q87" s="10" t="s">
        <v>46</v>
      </c>
      <c r="R87" s="8">
        <f t="shared" ref="R87:R127" si="20">VLOOKUP(Q87,Importance,2,FALSE)</f>
        <v>50</v>
      </c>
      <c r="S87" s="8">
        <v>4</v>
      </c>
      <c r="T87" s="8">
        <f t="shared" si="14"/>
        <v>12</v>
      </c>
      <c r="U87" s="8" t="s">
        <v>43</v>
      </c>
      <c r="V87" s="8">
        <f>VLOOKUP(U87,Urgency,2,FALSE)</f>
        <v>16</v>
      </c>
      <c r="W87" s="8" t="s">
        <v>34</v>
      </c>
      <c r="X87" s="8">
        <v>-9</v>
      </c>
      <c r="Y87" s="8">
        <v>0</v>
      </c>
      <c r="Z87" s="8">
        <v>0</v>
      </c>
      <c r="AA87" s="8">
        <v>-3</v>
      </c>
      <c r="AB87" s="8">
        <v>-2</v>
      </c>
      <c r="AC87" s="8">
        <v>-9</v>
      </c>
      <c r="AD87" s="8">
        <v>-3</v>
      </c>
      <c r="AF87" s="17" t="s">
        <v>29</v>
      </c>
      <c r="AG87" s="8">
        <f>VLOOKUP(Master20[[#This Row],[Elevated Priority]],Epriority,2,)</f>
        <v>0</v>
      </c>
      <c r="AH87" s="152">
        <f>IF(Master20[[#This Row],[Status]]="Active",Master20[[#This Row],[Status_Score]],IF(D87="","",R87+H87+T87+V87+AG87+AE87+Master20[[#This Row],[Risk Mitigation]]+Master20[[#This Row],[Master Plan]]+Master20[[#This Row],[Community Request]]+Master20[[#This Row],[Community need]]+Master20[[#This Row],[Offset Aging Inf.]]+Master20[[#This Row],[Energy Savings]]+Master20[[#This Row],[Gen Revenue]]-5))</f>
        <v>47</v>
      </c>
      <c r="AI87" s="8"/>
      <c r="AJ87" s="8">
        <v>2020</v>
      </c>
      <c r="AK87" s="8">
        <v>2024</v>
      </c>
      <c r="AL87" s="8">
        <v>2022</v>
      </c>
      <c r="AM87" s="8">
        <v>2025</v>
      </c>
      <c r="AN87" s="10"/>
    </row>
    <row r="88" spans="1:40" ht="90" hidden="1" x14ac:dyDescent="0.25">
      <c r="A88" s="103">
        <f t="shared" si="18"/>
        <v>87</v>
      </c>
      <c r="B88" s="8" t="s">
        <v>143</v>
      </c>
      <c r="C88" s="10" t="s">
        <v>1045</v>
      </c>
      <c r="D88" s="10" t="s">
        <v>1288</v>
      </c>
      <c r="E88" s="10" t="s">
        <v>1289</v>
      </c>
      <c r="F88" s="10" t="s">
        <v>1290</v>
      </c>
      <c r="G88" s="10" t="s">
        <v>29</v>
      </c>
      <c r="H88" s="10">
        <f t="shared" si="19"/>
        <v>0</v>
      </c>
      <c r="I88" s="49"/>
      <c r="J88" s="49"/>
      <c r="K88" s="49">
        <f>Master20[[#This Row],[Initial Budget]]-Master20[[#This Row],[Previously Committed Funds]]</f>
        <v>0</v>
      </c>
      <c r="L88" s="49"/>
      <c r="M88" s="49"/>
      <c r="N88" s="97">
        <f>Master20[[#This Row],[Design $ (Add/Deduct)]]+Master20[[#This Row],[Construction $ (Add/Ded)]]</f>
        <v>0</v>
      </c>
      <c r="O88" s="32">
        <v>30000</v>
      </c>
      <c r="P88" s="8">
        <v>2023</v>
      </c>
      <c r="Q88" s="10" t="s">
        <v>687</v>
      </c>
      <c r="R88" s="8">
        <f t="shared" si="20"/>
        <v>30</v>
      </c>
      <c r="S88" s="8">
        <v>2</v>
      </c>
      <c r="T88" s="8">
        <f t="shared" si="14"/>
        <v>6</v>
      </c>
      <c r="U88" s="8" t="s">
        <v>43</v>
      </c>
      <c r="V88" s="8">
        <f>VLOOKUP(U88,Urgency,2,FALSE)</f>
        <v>16</v>
      </c>
      <c r="W88" s="8" t="s">
        <v>29</v>
      </c>
      <c r="Y88" s="8">
        <v>0</v>
      </c>
      <c r="Z88" s="8">
        <v>0</v>
      </c>
      <c r="AA88" s="8">
        <v>0</v>
      </c>
      <c r="AB88" s="8">
        <v>0</v>
      </c>
      <c r="AC88" s="8">
        <v>0</v>
      </c>
      <c r="AD88" s="8">
        <v>0</v>
      </c>
      <c r="AF88" s="17" t="s">
        <v>29</v>
      </c>
      <c r="AG88" s="8">
        <f>VLOOKUP(Master20[[#This Row],[Elevated Priority]],Epriority,2,)</f>
        <v>0</v>
      </c>
      <c r="AH88" s="152">
        <f>IF(Master20[[#This Row],[Status]]="Active",Master20[[#This Row],[Status_Score]],IF(D88="","",R88+H88+T88+V88+AG88+AE88+Master20[[#This Row],[Risk Mitigation]]+Master20[[#This Row],[Master Plan]]+Master20[[#This Row],[Community Request]]+Master20[[#This Row],[Community need]]+Master20[[#This Row],[Offset Aging Inf.]]+Master20[[#This Row],[Energy Savings]]+Master20[[#This Row],[Gen Revenue]]-5))</f>
        <v>47</v>
      </c>
      <c r="AI88" s="166"/>
      <c r="AJ88" s="166"/>
      <c r="AK88" s="166"/>
      <c r="AL88" s="166"/>
      <c r="AM88" s="166"/>
      <c r="AN88" s="165"/>
    </row>
    <row r="89" spans="1:40" ht="26.25" hidden="1" customHeight="1" x14ac:dyDescent="0.25">
      <c r="A89" s="103">
        <f t="shared" si="18"/>
        <v>88</v>
      </c>
      <c r="B89" s="8" t="s">
        <v>1208</v>
      </c>
      <c r="C89" s="10" t="s">
        <v>70</v>
      </c>
      <c r="D89" s="10" t="s">
        <v>455</v>
      </c>
      <c r="E89" s="10" t="s">
        <v>904</v>
      </c>
      <c r="F89" s="10" t="s">
        <v>905</v>
      </c>
      <c r="G89" s="10" t="s">
        <v>29</v>
      </c>
      <c r="H89" s="10">
        <f t="shared" si="19"/>
        <v>0</v>
      </c>
      <c r="I89" s="49"/>
      <c r="J89" s="49"/>
      <c r="K89" s="49">
        <f>Master20[[#This Row],[Initial Budget]]-Master20[[#This Row],[Previously Committed Funds]]</f>
        <v>0</v>
      </c>
      <c r="L89" s="49"/>
      <c r="M89" s="49"/>
      <c r="N89" s="97">
        <f>Master20[[#This Row],[Design $ (Add/Deduct)]]+Master20[[#This Row],[Construction $ (Add/Ded)]]</f>
        <v>0</v>
      </c>
      <c r="O89" s="32">
        <v>8000000</v>
      </c>
      <c r="P89" s="8">
        <v>2018</v>
      </c>
      <c r="Q89" s="10" t="s">
        <v>46</v>
      </c>
      <c r="R89" s="8">
        <f t="shared" si="20"/>
        <v>50</v>
      </c>
      <c r="S89" s="8">
        <v>1</v>
      </c>
      <c r="T89" s="8">
        <f t="shared" si="14"/>
        <v>3</v>
      </c>
      <c r="U89" s="8" t="s">
        <v>37</v>
      </c>
      <c r="V89" s="8">
        <f>VLOOKUP(U89,Urgency,2,FALSE)</f>
        <v>3</v>
      </c>
      <c r="W89" s="8" t="s">
        <v>34</v>
      </c>
      <c r="X89" s="8">
        <v>0</v>
      </c>
      <c r="Y89" s="8">
        <v>0</v>
      </c>
      <c r="Z89" s="8">
        <v>0</v>
      </c>
      <c r="AA89" s="8">
        <v>0</v>
      </c>
      <c r="AB89" s="8">
        <v>-2</v>
      </c>
      <c r="AC89" s="8">
        <v>-1</v>
      </c>
      <c r="AD89" s="8">
        <v>0</v>
      </c>
      <c r="AF89" s="17" t="s">
        <v>29</v>
      </c>
      <c r="AG89" s="8">
        <f>VLOOKUP(Master20[[#This Row],[Elevated Priority]],Epriority,2,)</f>
        <v>0</v>
      </c>
      <c r="AH89" s="152">
        <f>IF(Master20[[#This Row],[Status]]="Active",Master20[[#This Row],[Status_Score]],IF(D89="","",R89+H89+T89+V89+AG89+AE89+Master20[[#This Row],[Risk Mitigation]]+Master20[[#This Row],[Master Plan]]+Master20[[#This Row],[Community Request]]+Master20[[#This Row],[Community need]]+Master20[[#This Row],[Offset Aging Inf.]]+Master20[[#This Row],[Energy Savings]]+Master20[[#This Row],[Gen Revenue]]-5))</f>
        <v>48</v>
      </c>
      <c r="AI89" s="8"/>
      <c r="AJ89" s="8">
        <v>2022</v>
      </c>
      <c r="AK89" s="8">
        <v>2024</v>
      </c>
      <c r="AL89" s="8">
        <v>2024</v>
      </c>
      <c r="AM89" s="8">
        <v>2026</v>
      </c>
      <c r="AN89" s="10" t="s">
        <v>982</v>
      </c>
    </row>
    <row r="90" spans="1:40" ht="60" hidden="1" x14ac:dyDescent="0.25">
      <c r="A90" s="103">
        <f t="shared" si="18"/>
        <v>89</v>
      </c>
      <c r="B90" s="8" t="s">
        <v>1208</v>
      </c>
      <c r="C90" s="10" t="s">
        <v>70</v>
      </c>
      <c r="D90" s="10" t="s">
        <v>943</v>
      </c>
      <c r="E90" s="10" t="s">
        <v>946</v>
      </c>
      <c r="F90" s="10" t="s">
        <v>944</v>
      </c>
      <c r="G90" s="10" t="s">
        <v>29</v>
      </c>
      <c r="H90" s="10">
        <f t="shared" si="19"/>
        <v>0</v>
      </c>
      <c r="I90" s="49"/>
      <c r="J90" s="49"/>
      <c r="K90" s="49">
        <f>Master20[[#This Row],[Initial Budget]]-Master20[[#This Row],[Previously Committed Funds]]</f>
        <v>0</v>
      </c>
      <c r="L90" s="49"/>
      <c r="M90" s="49"/>
      <c r="N90" s="97">
        <f>Master20[[#This Row],[Design $ (Add/Deduct)]]+Master20[[#This Row],[Construction $ (Add/Ded)]]</f>
        <v>0</v>
      </c>
      <c r="O90" s="32">
        <v>8000000</v>
      </c>
      <c r="P90" s="8">
        <v>2018</v>
      </c>
      <c r="Q90" s="10" t="s">
        <v>46</v>
      </c>
      <c r="R90" s="8">
        <f t="shared" si="20"/>
        <v>50</v>
      </c>
      <c r="S90" s="8">
        <v>2</v>
      </c>
      <c r="T90" s="8">
        <f t="shared" si="14"/>
        <v>6</v>
      </c>
      <c r="U90" s="8" t="s">
        <v>37</v>
      </c>
      <c r="V90" s="8">
        <f>VLOOKUP(U90,Urgency,2,FALSE)</f>
        <v>3</v>
      </c>
      <c r="W90" s="8" t="s">
        <v>34</v>
      </c>
      <c r="X90" s="8">
        <v>-1</v>
      </c>
      <c r="Y90" s="8">
        <v>0</v>
      </c>
      <c r="Z90" s="8">
        <v>0</v>
      </c>
      <c r="AA90" s="8">
        <v>0</v>
      </c>
      <c r="AB90" s="8">
        <v>-2</v>
      </c>
      <c r="AC90" s="8">
        <v>0</v>
      </c>
      <c r="AD90" s="8">
        <v>-3</v>
      </c>
      <c r="AF90" s="17" t="s">
        <v>29</v>
      </c>
      <c r="AG90" s="8">
        <f>VLOOKUP(Master20[[#This Row],[Elevated Priority]],Epriority,2,)</f>
        <v>0</v>
      </c>
      <c r="AH90" s="152">
        <f>IF(Master20[[#This Row],[Status]]="Active",Master20[[#This Row],[Status_Score]],IF(D90="","",R90+H90+T90+V90+AG90+AE90+Master20[[#This Row],[Risk Mitigation]]+Master20[[#This Row],[Master Plan]]+Master20[[#This Row],[Community Request]]+Master20[[#This Row],[Community need]]+Master20[[#This Row],[Offset Aging Inf.]]+Master20[[#This Row],[Energy Savings]]+Master20[[#This Row],[Gen Revenue]]-5))</f>
        <v>48</v>
      </c>
      <c r="AI90" s="8"/>
      <c r="AJ90" s="8">
        <v>2022</v>
      </c>
      <c r="AK90" s="8">
        <v>2024</v>
      </c>
      <c r="AL90" s="8">
        <v>2024</v>
      </c>
      <c r="AM90" s="8">
        <v>2025</v>
      </c>
      <c r="AN90" s="10"/>
    </row>
    <row r="91" spans="1:40" ht="30" hidden="1" x14ac:dyDescent="0.25">
      <c r="A91" s="103">
        <f t="shared" si="18"/>
        <v>90</v>
      </c>
      <c r="B91" s="8" t="s">
        <v>94</v>
      </c>
      <c r="C91" s="10" t="s">
        <v>1045</v>
      </c>
      <c r="D91" s="10" t="s">
        <v>611</v>
      </c>
      <c r="E91" s="10" t="s">
        <v>612</v>
      </c>
      <c r="F91" s="10" t="s">
        <v>879</v>
      </c>
      <c r="G91" s="10" t="s">
        <v>29</v>
      </c>
      <c r="H91" s="10">
        <f t="shared" si="19"/>
        <v>0</v>
      </c>
      <c r="I91" s="49"/>
      <c r="J91" s="49"/>
      <c r="K91" s="49">
        <f>Master20[[#This Row],[Initial Budget]]-Master20[[#This Row],[Previously Committed Funds]]</f>
        <v>0</v>
      </c>
      <c r="L91" s="49"/>
      <c r="M91" s="49"/>
      <c r="N91" s="97">
        <f>Master20[[#This Row],[Design $ (Add/Deduct)]]+Master20[[#This Row],[Construction $ (Add/Ded)]]</f>
        <v>0</v>
      </c>
      <c r="O91" s="32">
        <v>250000</v>
      </c>
      <c r="P91" s="8">
        <v>2019</v>
      </c>
      <c r="Q91" s="10" t="s">
        <v>688</v>
      </c>
      <c r="R91" s="8">
        <f t="shared" si="20"/>
        <v>20</v>
      </c>
      <c r="S91" s="8">
        <v>27</v>
      </c>
      <c r="T91" s="8">
        <f t="shared" si="14"/>
        <v>30</v>
      </c>
      <c r="U91" s="8" t="s">
        <v>41</v>
      </c>
      <c r="V91" s="8">
        <f>VLOOKUP(U91,Urgency,2,FALSE)</f>
        <v>4</v>
      </c>
      <c r="W91" s="8" t="s">
        <v>30</v>
      </c>
      <c r="X91" s="8">
        <v>0</v>
      </c>
      <c r="Y91" s="8">
        <v>0</v>
      </c>
      <c r="Z91" s="8">
        <v>0</v>
      </c>
      <c r="AA91" s="8">
        <v>0</v>
      </c>
      <c r="AB91" s="8">
        <v>0</v>
      </c>
      <c r="AC91" s="8">
        <v>0</v>
      </c>
      <c r="AD91" s="8">
        <v>0</v>
      </c>
      <c r="AF91" s="17" t="s">
        <v>29</v>
      </c>
      <c r="AG91" s="8">
        <f>VLOOKUP(Master20[[#This Row],[Elevated Priority]],Epriority,2,)</f>
        <v>0</v>
      </c>
      <c r="AH91" s="152">
        <f>IF(Master20[[#This Row],[Status]]="Active",Master20[[#This Row],[Status_Score]],IF(D91="","",R91+H91+T91+V91+AG91+AE91+Master20[[#This Row],[Risk Mitigation]]+Master20[[#This Row],[Master Plan]]+Master20[[#This Row],[Community Request]]+Master20[[#This Row],[Community need]]+Master20[[#This Row],[Offset Aging Inf.]]+Master20[[#This Row],[Energy Savings]]+Master20[[#This Row],[Gen Revenue]]-5))</f>
        <v>49</v>
      </c>
      <c r="AI91" s="8"/>
      <c r="AJ91" s="8">
        <v>2022</v>
      </c>
      <c r="AK91" s="8">
        <v>2023</v>
      </c>
      <c r="AL91" s="8">
        <v>2024</v>
      </c>
      <c r="AM91" s="8">
        <v>2025</v>
      </c>
      <c r="AN91" s="10"/>
    </row>
    <row r="92" spans="1:40" ht="45" hidden="1" x14ac:dyDescent="0.25">
      <c r="A92" s="103">
        <f t="shared" si="18"/>
        <v>91</v>
      </c>
      <c r="B92" s="8" t="s">
        <v>1206</v>
      </c>
      <c r="C92" s="10" t="s">
        <v>1196</v>
      </c>
      <c r="D92" s="10" t="s">
        <v>1130</v>
      </c>
      <c r="E92" s="10" t="s">
        <v>1137</v>
      </c>
      <c r="F92" s="10"/>
      <c r="G92" s="10" t="s">
        <v>29</v>
      </c>
      <c r="H92" s="10">
        <f t="shared" si="19"/>
        <v>0</v>
      </c>
      <c r="I92" s="49"/>
      <c r="J92" s="49"/>
      <c r="K92" s="49">
        <f>Master20[[#This Row],[Initial Budget]]-Master20[[#This Row],[Previously Committed Funds]]</f>
        <v>0</v>
      </c>
      <c r="L92" s="49"/>
      <c r="M92" s="49"/>
      <c r="N92" s="97">
        <f>Master20[[#This Row],[Design $ (Add/Deduct)]]+Master20[[#This Row],[Construction $ (Add/Ded)]]</f>
        <v>0</v>
      </c>
      <c r="O92" s="32">
        <v>5000000</v>
      </c>
      <c r="P92" s="8">
        <v>2019</v>
      </c>
      <c r="Q92" s="10" t="s">
        <v>46</v>
      </c>
      <c r="R92" s="8">
        <f t="shared" si="20"/>
        <v>50</v>
      </c>
      <c r="S92" s="8">
        <v>4</v>
      </c>
      <c r="T92" s="8">
        <f t="shared" ref="T92:T123" si="21">VLOOKUP(S92,Department,2,FALSE)</f>
        <v>12</v>
      </c>
      <c r="U92" s="8" t="s">
        <v>43</v>
      </c>
      <c r="W92" s="8" t="s">
        <v>34</v>
      </c>
      <c r="X92" s="8">
        <v>0</v>
      </c>
      <c r="Y92" s="8">
        <v>0</v>
      </c>
      <c r="Z92" s="8">
        <v>-3</v>
      </c>
      <c r="AA92" s="8">
        <v>-3</v>
      </c>
      <c r="AB92" s="8">
        <v>-2</v>
      </c>
      <c r="AC92" s="8">
        <v>0</v>
      </c>
      <c r="AD92" s="8">
        <v>0</v>
      </c>
      <c r="AF92" s="17" t="s">
        <v>29</v>
      </c>
      <c r="AG92" s="8">
        <f>VLOOKUP(Master20[[#This Row],[Elevated Priority]],Epriority,2,)</f>
        <v>0</v>
      </c>
      <c r="AH92" s="152">
        <f>IF(Master20[[#This Row],[Status]]="Active",Master20[[#This Row],[Status_Score]],IF(D92="","",R92+H92+T92+V92+AG92+AE92+Master20[[#This Row],[Risk Mitigation]]+Master20[[#This Row],[Master Plan]]+Master20[[#This Row],[Community Request]]+Master20[[#This Row],[Community need]]+Master20[[#This Row],[Offset Aging Inf.]]+Master20[[#This Row],[Energy Savings]]+Master20[[#This Row],[Gen Revenue]]-5))</f>
        <v>49</v>
      </c>
      <c r="AI92" s="8"/>
      <c r="AJ92" s="8">
        <v>2022</v>
      </c>
      <c r="AK92" s="8">
        <v>2024</v>
      </c>
      <c r="AL92" s="8">
        <v>2024</v>
      </c>
      <c r="AM92" s="8">
        <v>2026</v>
      </c>
      <c r="AN92" s="10"/>
    </row>
    <row r="93" spans="1:40" ht="30" x14ac:dyDescent="0.25">
      <c r="A93" s="103">
        <f t="shared" si="18"/>
        <v>92</v>
      </c>
      <c r="B93" s="8" t="s">
        <v>214</v>
      </c>
      <c r="C93" s="10" t="s">
        <v>1045</v>
      </c>
      <c r="D93" s="10" t="s">
        <v>447</v>
      </c>
      <c r="E93" s="10" t="s">
        <v>448</v>
      </c>
      <c r="F93" s="10" t="s">
        <v>449</v>
      </c>
      <c r="G93" s="10" t="s">
        <v>29</v>
      </c>
      <c r="H93" s="10">
        <f t="shared" si="19"/>
        <v>0</v>
      </c>
      <c r="I93" s="49"/>
      <c r="J93" s="49"/>
      <c r="K93" s="49">
        <f>Master20[[#This Row],[Initial Budget]]-Master20[[#This Row],[Previously Committed Funds]]</f>
        <v>0</v>
      </c>
      <c r="L93" s="49"/>
      <c r="M93" s="49"/>
      <c r="N93" s="97">
        <f>Master20[[#This Row],[Design $ (Add/Deduct)]]+Master20[[#This Row],[Construction $ (Add/Ded)]]</f>
        <v>0</v>
      </c>
      <c r="O93" s="32">
        <v>200000</v>
      </c>
      <c r="P93" s="8">
        <v>2018</v>
      </c>
      <c r="Q93" s="10" t="s">
        <v>688</v>
      </c>
      <c r="R93" s="8">
        <f t="shared" si="20"/>
        <v>20</v>
      </c>
      <c r="S93" s="8">
        <v>6</v>
      </c>
      <c r="T93" s="8">
        <f t="shared" si="21"/>
        <v>18</v>
      </c>
      <c r="U93" s="8" t="s">
        <v>43</v>
      </c>
      <c r="V93" s="8">
        <f>VLOOKUP(U93,Urgency,2,FALSE)</f>
        <v>16</v>
      </c>
      <c r="W93" s="8" t="s">
        <v>30</v>
      </c>
      <c r="X93" s="8">
        <v>0</v>
      </c>
      <c r="Y93" s="8">
        <v>0</v>
      </c>
      <c r="Z93" s="8">
        <v>0</v>
      </c>
      <c r="AA93" s="8">
        <v>0</v>
      </c>
      <c r="AB93" s="8">
        <v>0</v>
      </c>
      <c r="AC93" s="8">
        <v>0</v>
      </c>
      <c r="AD93" s="8">
        <v>0</v>
      </c>
      <c r="AF93" s="17" t="s">
        <v>29</v>
      </c>
      <c r="AG93" s="8">
        <f>VLOOKUP(Master20[[#This Row],[Elevated Priority]],Epriority,2,)</f>
        <v>0</v>
      </c>
      <c r="AH93" s="152">
        <f>IF(Master20[[#This Row],[Status]]="Active",Master20[[#This Row],[Status_Score]],IF(D93="","",R93+H93+T93+V93+AG93+AE93+Master20[[#This Row],[Risk Mitigation]]+Master20[[#This Row],[Master Plan]]+Master20[[#This Row],[Community Request]]+Master20[[#This Row],[Community need]]+Master20[[#This Row],[Offset Aging Inf.]]+Master20[[#This Row],[Energy Savings]]+Master20[[#This Row],[Gen Revenue]]-5))</f>
        <v>49</v>
      </c>
      <c r="AI93" s="8"/>
      <c r="AJ93" s="8"/>
      <c r="AK93" s="8"/>
      <c r="AL93" s="8">
        <v>2024</v>
      </c>
      <c r="AM93" s="8">
        <v>2025</v>
      </c>
      <c r="AN93" s="10"/>
    </row>
    <row r="94" spans="1:40" ht="30" hidden="1" x14ac:dyDescent="0.25">
      <c r="A94" s="103">
        <f t="shared" si="18"/>
        <v>93</v>
      </c>
      <c r="B94" s="8" t="s">
        <v>65</v>
      </c>
      <c r="C94" s="10" t="s">
        <v>1353</v>
      </c>
      <c r="D94" s="10" t="s">
        <v>1354</v>
      </c>
      <c r="E94" s="10" t="s">
        <v>1355</v>
      </c>
      <c r="F94" s="10" t="s">
        <v>1357</v>
      </c>
      <c r="G94" s="10" t="s">
        <v>29</v>
      </c>
      <c r="H94" s="10">
        <f t="shared" si="19"/>
        <v>0</v>
      </c>
      <c r="I94" s="49"/>
      <c r="J94" s="49"/>
      <c r="K94" s="49">
        <f>Master20[[#This Row],[Initial Budget]]-Master20[[#This Row],[Previously Committed Funds]]</f>
        <v>0</v>
      </c>
      <c r="L94" s="49"/>
      <c r="M94" s="49"/>
      <c r="N94" s="97">
        <f>Master20[[#This Row],[Design $ (Add/Deduct)]]+Master20[[#This Row],[Construction $ (Add/Ded)]]</f>
        <v>0</v>
      </c>
      <c r="O94" s="32">
        <v>20000000</v>
      </c>
      <c r="P94" s="8">
        <v>2023</v>
      </c>
      <c r="Q94" s="10" t="s">
        <v>46</v>
      </c>
      <c r="R94" s="8">
        <f t="shared" si="20"/>
        <v>50</v>
      </c>
      <c r="S94" s="8">
        <v>2</v>
      </c>
      <c r="T94" s="8">
        <f t="shared" si="21"/>
        <v>6</v>
      </c>
      <c r="U94" s="8" t="s">
        <v>43</v>
      </c>
      <c r="V94" s="8">
        <f>VLOOKUP(U94,Urgency,2,FALSE)</f>
        <v>16</v>
      </c>
      <c r="W94" s="8" t="s">
        <v>29</v>
      </c>
      <c r="X94" s="8">
        <v>-5</v>
      </c>
      <c r="Y94" s="8">
        <v>0</v>
      </c>
      <c r="Z94" s="8">
        <v>-1</v>
      </c>
      <c r="AA94" s="8">
        <v>-3</v>
      </c>
      <c r="AB94" s="8">
        <v>-2</v>
      </c>
      <c r="AC94" s="8">
        <v>-7</v>
      </c>
      <c r="AD94" s="8">
        <v>0</v>
      </c>
      <c r="AF94" s="17" t="s">
        <v>29</v>
      </c>
      <c r="AG94" s="8">
        <f>VLOOKUP(Master20[[#This Row],[Elevated Priority]],Epriority,2,)</f>
        <v>0</v>
      </c>
      <c r="AH94" s="152">
        <f>IF(Master20[[#This Row],[Status]]="Active",Master20[[#This Row],[Status_Score]],IF(D94="","",R94+H94+T94+V94+AG94+AE94+Master20[[#This Row],[Risk Mitigation]]+Master20[[#This Row],[Master Plan]]+Master20[[#This Row],[Community Request]]+Master20[[#This Row],[Community need]]+Master20[[#This Row],[Offset Aging Inf.]]+Master20[[#This Row],[Energy Savings]]+Master20[[#This Row],[Gen Revenue]]-5))</f>
        <v>49</v>
      </c>
      <c r="AI94" s="166"/>
      <c r="AJ94" s="166"/>
      <c r="AK94" s="166"/>
      <c r="AL94" s="166"/>
      <c r="AM94" s="166"/>
      <c r="AN94" s="165"/>
    </row>
    <row r="95" spans="1:40" ht="45" hidden="1" x14ac:dyDescent="0.25">
      <c r="A95" s="103">
        <f t="shared" si="18"/>
        <v>94</v>
      </c>
      <c r="B95" s="8" t="s">
        <v>67</v>
      </c>
      <c r="C95" s="10" t="s">
        <v>995</v>
      </c>
      <c r="D95" s="10" t="s">
        <v>393</v>
      </c>
      <c r="E95" s="10" t="s">
        <v>394</v>
      </c>
      <c r="F95" s="10" t="s">
        <v>395</v>
      </c>
      <c r="G95" s="10" t="s">
        <v>29</v>
      </c>
      <c r="H95" s="10">
        <f t="shared" si="19"/>
        <v>0</v>
      </c>
      <c r="I95" s="49"/>
      <c r="J95" s="49"/>
      <c r="K95" s="49">
        <f>Master20[[#This Row],[Initial Budget]]-Master20[[#This Row],[Previously Committed Funds]]</f>
        <v>0</v>
      </c>
      <c r="L95" s="49"/>
      <c r="M95" s="49"/>
      <c r="N95" s="97">
        <f>Master20[[#This Row],[Design $ (Add/Deduct)]]+Master20[[#This Row],[Construction $ (Add/Ded)]]</f>
        <v>0</v>
      </c>
      <c r="O95" s="32">
        <v>85000</v>
      </c>
      <c r="P95" s="8">
        <v>2018</v>
      </c>
      <c r="Q95" s="10" t="s">
        <v>688</v>
      </c>
      <c r="R95" s="8">
        <f t="shared" si="20"/>
        <v>20</v>
      </c>
      <c r="S95" s="8">
        <v>7</v>
      </c>
      <c r="T95" s="8">
        <f t="shared" si="21"/>
        <v>20</v>
      </c>
      <c r="U95" s="8" t="s">
        <v>43</v>
      </c>
      <c r="V95" s="8">
        <f>VLOOKUP(U95,Urgency,2,FALSE)</f>
        <v>16</v>
      </c>
      <c r="W95" s="8" t="s">
        <v>30</v>
      </c>
      <c r="X95" s="8">
        <v>0</v>
      </c>
      <c r="Y95" s="8">
        <v>0</v>
      </c>
      <c r="Z95" s="8">
        <v>0</v>
      </c>
      <c r="AA95" s="8">
        <v>0</v>
      </c>
      <c r="AB95" s="8">
        <v>0</v>
      </c>
      <c r="AC95" s="8">
        <v>0</v>
      </c>
      <c r="AD95" s="8">
        <v>0</v>
      </c>
      <c r="AF95" s="17" t="s">
        <v>29</v>
      </c>
      <c r="AG95" s="8">
        <f>VLOOKUP(Master20[[#This Row],[Elevated Priority]],Epriority,2,)</f>
        <v>0</v>
      </c>
      <c r="AH95" s="152">
        <f>IF(Master20[[#This Row],[Status]]="Active",Master20[[#This Row],[Status_Score]],IF(D95="","",R95+H95+T95+V95+AG95+AE95+Master20[[#This Row],[Risk Mitigation]]+Master20[[#This Row],[Master Plan]]+Master20[[#This Row],[Community Request]]+Master20[[#This Row],[Community need]]+Master20[[#This Row],[Offset Aging Inf.]]+Master20[[#This Row],[Energy Savings]]+Master20[[#This Row],[Gen Revenue]]-5))</f>
        <v>51</v>
      </c>
      <c r="AI95" s="8"/>
      <c r="AJ95" s="8">
        <v>2023</v>
      </c>
      <c r="AK95" s="8">
        <v>2024</v>
      </c>
      <c r="AL95" s="8">
        <v>2023</v>
      </c>
      <c r="AM95" s="8">
        <v>2024</v>
      </c>
      <c r="AN95" s="10"/>
    </row>
    <row r="96" spans="1:40" ht="30" hidden="1" x14ac:dyDescent="0.25">
      <c r="A96" s="103">
        <f t="shared" si="18"/>
        <v>95</v>
      </c>
      <c r="B96" s="123" t="s">
        <v>220</v>
      </c>
      <c r="C96" s="10" t="s">
        <v>1045</v>
      </c>
      <c r="D96" s="10" t="s">
        <v>339</v>
      </c>
      <c r="E96" s="10" t="s">
        <v>340</v>
      </c>
      <c r="F96" s="10" t="s">
        <v>341</v>
      </c>
      <c r="G96" s="10" t="s">
        <v>29</v>
      </c>
      <c r="H96" s="10">
        <f t="shared" si="19"/>
        <v>0</v>
      </c>
      <c r="I96" s="49"/>
      <c r="J96" s="49"/>
      <c r="K96" s="49">
        <f>Master20[[#This Row],[Initial Budget]]-Master20[[#This Row],[Previously Committed Funds]]</f>
        <v>0</v>
      </c>
      <c r="L96" s="49"/>
      <c r="M96" s="49"/>
      <c r="N96" s="97">
        <f>Master20[[#This Row],[Design $ (Add/Deduct)]]+Master20[[#This Row],[Construction $ (Add/Ded)]]</f>
        <v>0</v>
      </c>
      <c r="O96" s="172" t="s">
        <v>1216</v>
      </c>
      <c r="P96" s="8">
        <v>2018</v>
      </c>
      <c r="Q96" s="10" t="s">
        <v>686</v>
      </c>
      <c r="R96" s="8">
        <f t="shared" si="20"/>
        <v>60</v>
      </c>
      <c r="S96" s="8">
        <v>1</v>
      </c>
      <c r="T96" s="8">
        <f t="shared" si="21"/>
        <v>3</v>
      </c>
      <c r="U96" s="8" t="s">
        <v>37</v>
      </c>
      <c r="V96" s="8">
        <f>VLOOKUP(U96,Urgency,2,FALSE)</f>
        <v>3</v>
      </c>
      <c r="W96" s="8" t="s">
        <v>34</v>
      </c>
      <c r="X96" s="8">
        <v>0</v>
      </c>
      <c r="Y96" s="8">
        <v>-5</v>
      </c>
      <c r="Z96" s="8">
        <v>-3</v>
      </c>
      <c r="AA96" s="8">
        <v>0</v>
      </c>
      <c r="AB96" s="8">
        <v>0</v>
      </c>
      <c r="AC96" s="8">
        <v>-1</v>
      </c>
      <c r="AD96" s="8">
        <v>-1</v>
      </c>
      <c r="AF96" s="17" t="s">
        <v>29</v>
      </c>
      <c r="AG96" s="8">
        <f>VLOOKUP(Master20[[#This Row],[Elevated Priority]],Epriority,2,)</f>
        <v>0</v>
      </c>
      <c r="AH96" s="152">
        <f>IF(Master20[[#This Row],[Status]]="Active",Master20[[#This Row],[Status_Score]],IF(D96="","",R96+H96+T96+V96+AG96+AE96+Master20[[#This Row],[Risk Mitigation]]+Master20[[#This Row],[Master Plan]]+Master20[[#This Row],[Community Request]]+Master20[[#This Row],[Community need]]+Master20[[#This Row],[Offset Aging Inf.]]+Master20[[#This Row],[Energy Savings]]+Master20[[#This Row],[Gen Revenue]]-5))</f>
        <v>51</v>
      </c>
      <c r="AI96" s="8"/>
      <c r="AJ96" s="8"/>
      <c r="AK96" s="8"/>
      <c r="AL96" s="8">
        <v>2023</v>
      </c>
      <c r="AM96" s="8">
        <v>2026</v>
      </c>
      <c r="AN96" s="10"/>
    </row>
    <row r="97" spans="1:40" ht="30" hidden="1" x14ac:dyDescent="0.25">
      <c r="A97" s="103">
        <f t="shared" si="18"/>
        <v>96</v>
      </c>
      <c r="B97" s="8" t="s">
        <v>94</v>
      </c>
      <c r="C97" s="10" t="s">
        <v>1045</v>
      </c>
      <c r="D97" s="10" t="s">
        <v>270</v>
      </c>
      <c r="E97" s="10" t="s">
        <v>271</v>
      </c>
      <c r="F97" s="10" t="s">
        <v>902</v>
      </c>
      <c r="G97" s="10" t="s">
        <v>29</v>
      </c>
      <c r="H97" s="10">
        <f t="shared" si="19"/>
        <v>0</v>
      </c>
      <c r="I97" s="49"/>
      <c r="J97" s="49"/>
      <c r="K97" s="49">
        <f>Master20[[#This Row],[Initial Budget]]-Master20[[#This Row],[Previously Committed Funds]]</f>
        <v>0</v>
      </c>
      <c r="L97" s="49"/>
      <c r="M97" s="49"/>
      <c r="N97" s="97">
        <f>Master20[[#This Row],[Design $ (Add/Deduct)]]+Master20[[#This Row],[Construction $ (Add/Ded)]]</f>
        <v>0</v>
      </c>
      <c r="O97" s="32">
        <v>5000</v>
      </c>
      <c r="P97" s="8">
        <v>2018</v>
      </c>
      <c r="Q97" s="10" t="s">
        <v>688</v>
      </c>
      <c r="R97" s="8">
        <f t="shared" si="20"/>
        <v>20</v>
      </c>
      <c r="S97" s="8">
        <v>34</v>
      </c>
      <c r="T97" s="8">
        <f t="shared" si="21"/>
        <v>33</v>
      </c>
      <c r="U97" s="8" t="s">
        <v>41</v>
      </c>
      <c r="V97" s="8">
        <f>VLOOKUP(U97,Urgency,2,FALSE)</f>
        <v>4</v>
      </c>
      <c r="W97" s="8" t="s">
        <v>30</v>
      </c>
      <c r="X97" s="8">
        <v>0</v>
      </c>
      <c r="Y97" s="8">
        <v>0</v>
      </c>
      <c r="Z97" s="8">
        <v>0</v>
      </c>
      <c r="AA97" s="8">
        <v>0</v>
      </c>
      <c r="AB97" s="8">
        <v>0</v>
      </c>
      <c r="AC97" s="8">
        <v>0</v>
      </c>
      <c r="AD97" s="8">
        <v>0</v>
      </c>
      <c r="AF97" s="17" t="s">
        <v>29</v>
      </c>
      <c r="AG97" s="8">
        <f>VLOOKUP(Master20[[#This Row],[Elevated Priority]],Epriority,2,)</f>
        <v>0</v>
      </c>
      <c r="AH97" s="152">
        <f>IF(Master20[[#This Row],[Status]]="Active",Master20[[#This Row],[Status_Score]],IF(D97="","",R97+H97+T97+V97+AG97+AE97+Master20[[#This Row],[Risk Mitigation]]+Master20[[#This Row],[Master Plan]]+Master20[[#This Row],[Community Request]]+Master20[[#This Row],[Community need]]+Master20[[#This Row],[Offset Aging Inf.]]+Master20[[#This Row],[Energy Savings]]+Master20[[#This Row],[Gen Revenue]]-5))</f>
        <v>52</v>
      </c>
      <c r="AI97" s="8"/>
      <c r="AJ97" s="8">
        <v>2023</v>
      </c>
      <c r="AK97" s="8">
        <v>2024</v>
      </c>
      <c r="AL97" s="8">
        <v>2023</v>
      </c>
      <c r="AM97" s="8">
        <v>2024</v>
      </c>
      <c r="AN97" s="10"/>
    </row>
    <row r="98" spans="1:40" hidden="1" x14ac:dyDescent="0.25">
      <c r="A98" s="103">
        <f t="shared" si="18"/>
        <v>97</v>
      </c>
      <c r="B98" s="123" t="s">
        <v>1206</v>
      </c>
      <c r="C98" s="10" t="s">
        <v>1196</v>
      </c>
      <c r="D98" s="10" t="s">
        <v>1131</v>
      </c>
      <c r="E98" s="10" t="s">
        <v>1132</v>
      </c>
      <c r="F98" s="10"/>
      <c r="G98" s="10" t="s">
        <v>29</v>
      </c>
      <c r="H98" s="10">
        <f t="shared" si="19"/>
        <v>0</v>
      </c>
      <c r="I98" s="49"/>
      <c r="J98" s="49"/>
      <c r="K98" s="49">
        <f>Master20[[#This Row],[Initial Budget]]-Master20[[#This Row],[Previously Committed Funds]]</f>
        <v>0</v>
      </c>
      <c r="L98" s="49"/>
      <c r="M98" s="49"/>
      <c r="N98" s="97">
        <f>Master20[[#This Row],[Design $ (Add/Deduct)]]+Master20[[#This Row],[Construction $ (Add/Ded)]]</f>
        <v>0</v>
      </c>
      <c r="O98" s="32">
        <v>5000000</v>
      </c>
      <c r="P98" s="8">
        <v>2019</v>
      </c>
      <c r="Q98" s="10" t="s">
        <v>46</v>
      </c>
      <c r="R98" s="8">
        <f t="shared" si="20"/>
        <v>50</v>
      </c>
      <c r="S98" s="8">
        <v>5</v>
      </c>
      <c r="T98" s="8">
        <f t="shared" si="21"/>
        <v>15</v>
      </c>
      <c r="U98" s="8" t="s">
        <v>45</v>
      </c>
      <c r="W98" s="8" t="s">
        <v>34</v>
      </c>
      <c r="X98" s="8">
        <v>0</v>
      </c>
      <c r="Y98" s="8">
        <v>0</v>
      </c>
      <c r="Z98" s="8">
        <v>-3</v>
      </c>
      <c r="AA98" s="8">
        <v>-3</v>
      </c>
      <c r="AB98" s="8">
        <v>-2</v>
      </c>
      <c r="AC98" s="8">
        <v>0</v>
      </c>
      <c r="AD98" s="8">
        <v>0</v>
      </c>
      <c r="AF98" s="17" t="s">
        <v>29</v>
      </c>
      <c r="AG98" s="8">
        <f>VLOOKUP(Master20[[#This Row],[Elevated Priority]],Epriority,2,)</f>
        <v>0</v>
      </c>
      <c r="AH98" s="152">
        <f>IF(Master20[[#This Row],[Status]]="Active",Master20[[#This Row],[Status_Score]],IF(D98="","",R98+H98+T98+V98+AG98+AE98+Master20[[#This Row],[Risk Mitigation]]+Master20[[#This Row],[Master Plan]]+Master20[[#This Row],[Community Request]]+Master20[[#This Row],[Community need]]+Master20[[#This Row],[Offset Aging Inf.]]+Master20[[#This Row],[Energy Savings]]+Master20[[#This Row],[Gen Revenue]]-5))</f>
        <v>52</v>
      </c>
      <c r="AI98" s="8"/>
      <c r="AJ98" s="8">
        <v>2023</v>
      </c>
      <c r="AK98" s="8">
        <v>2024</v>
      </c>
      <c r="AL98" s="8">
        <v>2025</v>
      </c>
      <c r="AM98" s="8">
        <v>2027</v>
      </c>
      <c r="AN98" s="10"/>
    </row>
    <row r="99" spans="1:40" ht="210" hidden="1" x14ac:dyDescent="0.25">
      <c r="A99" s="103">
        <f t="shared" si="18"/>
        <v>98</v>
      </c>
      <c r="B99" s="8" t="s">
        <v>67</v>
      </c>
      <c r="C99" s="10" t="s">
        <v>159</v>
      </c>
      <c r="D99" s="10" t="s">
        <v>416</v>
      </c>
      <c r="E99" s="10" t="s">
        <v>417</v>
      </c>
      <c r="F99" s="10" t="s">
        <v>418</v>
      </c>
      <c r="G99" s="10" t="s">
        <v>29</v>
      </c>
      <c r="H99" s="10">
        <f t="shared" si="19"/>
        <v>0</v>
      </c>
      <c r="I99" s="49"/>
      <c r="J99" s="49"/>
      <c r="K99" s="49">
        <f>Master20[[#This Row],[Initial Budget]]-Master20[[#This Row],[Previously Committed Funds]]</f>
        <v>0</v>
      </c>
      <c r="L99" s="49"/>
      <c r="M99" s="49"/>
      <c r="N99" s="97">
        <f>Master20[[#This Row],[Design $ (Add/Deduct)]]+Master20[[#This Row],[Construction $ (Add/Ded)]]</f>
        <v>0</v>
      </c>
      <c r="O99" s="32">
        <v>45000</v>
      </c>
      <c r="P99" s="8">
        <v>2018</v>
      </c>
      <c r="Q99" s="10" t="s">
        <v>687</v>
      </c>
      <c r="R99" s="8">
        <f t="shared" si="20"/>
        <v>30</v>
      </c>
      <c r="S99" s="8">
        <v>4</v>
      </c>
      <c r="T99" s="8">
        <f t="shared" si="21"/>
        <v>12</v>
      </c>
      <c r="U99" s="8" t="s">
        <v>43</v>
      </c>
      <c r="V99" s="8">
        <f t="shared" ref="V99:V121" si="22">VLOOKUP(U99,Urgency,2,FALSE)</f>
        <v>16</v>
      </c>
      <c r="W99" s="8" t="s">
        <v>30</v>
      </c>
      <c r="X99" s="8">
        <v>0</v>
      </c>
      <c r="Y99" s="8">
        <v>0</v>
      </c>
      <c r="Z99" s="8">
        <v>0</v>
      </c>
      <c r="AA99" s="8">
        <v>0</v>
      </c>
      <c r="AB99" s="8">
        <v>0</v>
      </c>
      <c r="AC99" s="8">
        <v>0</v>
      </c>
      <c r="AD99" s="8">
        <v>0</v>
      </c>
      <c r="AF99" s="17" t="s">
        <v>29</v>
      </c>
      <c r="AG99" s="8">
        <f>VLOOKUP(Master20[[#This Row],[Elevated Priority]],Epriority,2,)</f>
        <v>0</v>
      </c>
      <c r="AH99" s="152">
        <f>IF(Master20[[#This Row],[Status]]="Active",Master20[[#This Row],[Status_Score]],IF(D99="","",R99+H99+T99+V99+AG99+AE99+Master20[[#This Row],[Risk Mitigation]]+Master20[[#This Row],[Master Plan]]+Master20[[#This Row],[Community Request]]+Master20[[#This Row],[Community need]]+Master20[[#This Row],[Offset Aging Inf.]]+Master20[[#This Row],[Energy Savings]]+Master20[[#This Row],[Gen Revenue]]-5))</f>
        <v>53</v>
      </c>
      <c r="AI99" s="8"/>
      <c r="AJ99" s="8">
        <v>2021</v>
      </c>
      <c r="AK99" s="8">
        <v>2022</v>
      </c>
      <c r="AL99" s="8">
        <v>2024</v>
      </c>
      <c r="AM99" s="8">
        <v>2025</v>
      </c>
      <c r="AN99" s="10"/>
    </row>
    <row r="100" spans="1:40" ht="30" hidden="1" x14ac:dyDescent="0.25">
      <c r="A100" s="103">
        <f t="shared" si="18"/>
        <v>99</v>
      </c>
      <c r="B100" s="123" t="s">
        <v>1195</v>
      </c>
      <c r="C100" s="10" t="s">
        <v>1045</v>
      </c>
      <c r="D100" s="10" t="s">
        <v>796</v>
      </c>
      <c r="E100" s="10" t="s">
        <v>808</v>
      </c>
      <c r="F100" s="10" t="s">
        <v>907</v>
      </c>
      <c r="G100" s="10" t="s">
        <v>29</v>
      </c>
      <c r="H100" s="10">
        <f t="shared" si="19"/>
        <v>0</v>
      </c>
      <c r="I100" s="49"/>
      <c r="J100" s="49"/>
      <c r="K100" s="49">
        <f>Master20[[#This Row],[Initial Budget]]-Master20[[#This Row],[Previously Committed Funds]]</f>
        <v>0</v>
      </c>
      <c r="L100" s="49"/>
      <c r="M100" s="49"/>
      <c r="N100" s="97">
        <f>Master20[[#This Row],[Design $ (Add/Deduct)]]+Master20[[#This Row],[Construction $ (Add/Ded)]]</f>
        <v>0</v>
      </c>
      <c r="O100" s="32">
        <v>350000</v>
      </c>
      <c r="P100" s="8">
        <v>2020</v>
      </c>
      <c r="Q100" s="10" t="s">
        <v>46</v>
      </c>
      <c r="R100" s="8">
        <f t="shared" si="20"/>
        <v>50</v>
      </c>
      <c r="S100" s="8">
        <v>2</v>
      </c>
      <c r="T100" s="8">
        <f t="shared" si="21"/>
        <v>6</v>
      </c>
      <c r="U100" s="8" t="s">
        <v>41</v>
      </c>
      <c r="V100" s="8">
        <f t="shared" si="22"/>
        <v>4</v>
      </c>
      <c r="W100" s="8" t="s">
        <v>34</v>
      </c>
      <c r="X100" s="8">
        <v>0</v>
      </c>
      <c r="Y100" s="8">
        <v>0</v>
      </c>
      <c r="Z100" s="8">
        <v>0</v>
      </c>
      <c r="AA100" s="8">
        <v>0</v>
      </c>
      <c r="AB100" s="8">
        <v>0</v>
      </c>
      <c r="AC100" s="8">
        <v>0</v>
      </c>
      <c r="AD100" s="8">
        <v>0</v>
      </c>
      <c r="AF100" s="17" t="s">
        <v>29</v>
      </c>
      <c r="AG100" s="8">
        <f>VLOOKUP(Master20[[#This Row],[Elevated Priority]],Epriority,2,)</f>
        <v>0</v>
      </c>
      <c r="AH100" s="152">
        <f>IF(Master20[[#This Row],[Status]]="Active",Master20[[#This Row],[Status_Score]],IF(D100="","",R100+H100+T100+V100+AG100+AE100+Master20[[#This Row],[Risk Mitigation]]+Master20[[#This Row],[Master Plan]]+Master20[[#This Row],[Community Request]]+Master20[[#This Row],[Community need]]+Master20[[#This Row],[Offset Aging Inf.]]+Master20[[#This Row],[Energy Savings]]+Master20[[#This Row],[Gen Revenue]]-5))</f>
        <v>55</v>
      </c>
      <c r="AI100" s="8"/>
      <c r="AJ100" s="8">
        <v>2024</v>
      </c>
      <c r="AK100" s="8">
        <v>2025</v>
      </c>
      <c r="AL100" s="8">
        <v>2024</v>
      </c>
      <c r="AM100" s="8">
        <v>2025</v>
      </c>
      <c r="AN100" s="10"/>
    </row>
    <row r="101" spans="1:40" hidden="1" x14ac:dyDescent="0.25">
      <c r="A101" s="103">
        <f t="shared" si="18"/>
        <v>100</v>
      </c>
      <c r="B101" s="8" t="s">
        <v>1195</v>
      </c>
      <c r="C101" s="10" t="s">
        <v>1045</v>
      </c>
      <c r="D101" s="10" t="s">
        <v>795</v>
      </c>
      <c r="E101" s="10" t="s">
        <v>442</v>
      </c>
      <c r="F101" s="10" t="s">
        <v>443</v>
      </c>
      <c r="G101" s="10" t="s">
        <v>29</v>
      </c>
      <c r="H101" s="10">
        <f t="shared" si="19"/>
        <v>0</v>
      </c>
      <c r="I101" s="49"/>
      <c r="J101" s="49"/>
      <c r="K101" s="49">
        <f>Master20[[#This Row],[Initial Budget]]-Master20[[#This Row],[Previously Committed Funds]]</f>
        <v>0</v>
      </c>
      <c r="L101" s="49"/>
      <c r="M101" s="49"/>
      <c r="N101" s="97">
        <f>Master20[[#This Row],[Design $ (Add/Deduct)]]+Master20[[#This Row],[Construction $ (Add/Ded)]]</f>
        <v>0</v>
      </c>
      <c r="O101" s="32">
        <v>100000</v>
      </c>
      <c r="P101" s="8">
        <v>2018</v>
      </c>
      <c r="Q101" s="10" t="s">
        <v>687</v>
      </c>
      <c r="R101" s="8">
        <f t="shared" si="20"/>
        <v>30</v>
      </c>
      <c r="S101" s="8">
        <v>5</v>
      </c>
      <c r="T101" s="8">
        <f t="shared" si="21"/>
        <v>15</v>
      </c>
      <c r="U101" s="8" t="s">
        <v>43</v>
      </c>
      <c r="V101" s="8">
        <f t="shared" si="22"/>
        <v>16</v>
      </c>
      <c r="W101" s="8" t="s">
        <v>30</v>
      </c>
      <c r="X101" s="8">
        <v>0</v>
      </c>
      <c r="Y101" s="8">
        <v>0</v>
      </c>
      <c r="Z101" s="8">
        <v>0</v>
      </c>
      <c r="AA101" s="8">
        <v>0</v>
      </c>
      <c r="AB101" s="8">
        <v>0</v>
      </c>
      <c r="AC101" s="8">
        <v>0</v>
      </c>
      <c r="AD101" s="8">
        <v>0</v>
      </c>
      <c r="AF101" s="17" t="s">
        <v>29</v>
      </c>
      <c r="AG101" s="8">
        <f>VLOOKUP(Master20[[#This Row],[Elevated Priority]],Epriority,2,)</f>
        <v>0</v>
      </c>
      <c r="AH101" s="152">
        <f>IF(Master20[[#This Row],[Status]]="Active",Master20[[#This Row],[Status_Score]],IF(D101="","",R101+H101+T101+V101+AG101+AE101+Master20[[#This Row],[Risk Mitigation]]+Master20[[#This Row],[Master Plan]]+Master20[[#This Row],[Community Request]]+Master20[[#This Row],[Community need]]+Master20[[#This Row],[Offset Aging Inf.]]+Master20[[#This Row],[Energy Savings]]+Master20[[#This Row],[Gen Revenue]]-5))</f>
        <v>56</v>
      </c>
      <c r="AI101" s="8"/>
      <c r="AJ101" s="8">
        <v>2024</v>
      </c>
      <c r="AK101" s="8">
        <v>2025</v>
      </c>
      <c r="AL101" s="8">
        <v>2024</v>
      </c>
      <c r="AM101" s="8">
        <v>2025</v>
      </c>
      <c r="AN101" s="10"/>
    </row>
    <row r="102" spans="1:40" ht="30" hidden="1" x14ac:dyDescent="0.25">
      <c r="A102" s="103">
        <f t="shared" si="18"/>
        <v>101</v>
      </c>
      <c r="B102" s="123" t="s">
        <v>1191</v>
      </c>
      <c r="C102" s="10" t="s">
        <v>79</v>
      </c>
      <c r="D102" s="10" t="s">
        <v>254</v>
      </c>
      <c r="E102" s="10" t="s">
        <v>255</v>
      </c>
      <c r="F102" s="10" t="s">
        <v>256</v>
      </c>
      <c r="G102" s="10" t="s">
        <v>29</v>
      </c>
      <c r="H102" s="10">
        <f t="shared" si="19"/>
        <v>0</v>
      </c>
      <c r="I102" s="49"/>
      <c r="J102" s="49"/>
      <c r="K102" s="49">
        <f>Master20[[#This Row],[Initial Budget]]-Master20[[#This Row],[Previously Committed Funds]]</f>
        <v>0</v>
      </c>
      <c r="L102" s="49"/>
      <c r="M102" s="49"/>
      <c r="N102" s="97">
        <f>Master20[[#This Row],[Design $ (Add/Deduct)]]+Master20[[#This Row],[Construction $ (Add/Ded)]]</f>
        <v>0</v>
      </c>
      <c r="O102" s="32">
        <v>50000</v>
      </c>
      <c r="P102" s="8">
        <v>2018</v>
      </c>
      <c r="Q102" s="10" t="s">
        <v>688</v>
      </c>
      <c r="R102" s="8">
        <f t="shared" si="20"/>
        <v>20</v>
      </c>
      <c r="S102" s="8">
        <v>3</v>
      </c>
      <c r="T102" s="8">
        <f t="shared" si="21"/>
        <v>9</v>
      </c>
      <c r="U102" s="8" t="s">
        <v>45</v>
      </c>
      <c r="V102" s="8">
        <f t="shared" si="22"/>
        <v>32</v>
      </c>
      <c r="W102" s="8" t="s">
        <v>30</v>
      </c>
      <c r="X102" s="8">
        <v>0</v>
      </c>
      <c r="Y102" s="8">
        <v>0</v>
      </c>
      <c r="Z102" s="8">
        <v>0</v>
      </c>
      <c r="AA102" s="8">
        <v>0</v>
      </c>
      <c r="AB102" s="8">
        <v>0</v>
      </c>
      <c r="AC102" s="8">
        <v>0</v>
      </c>
      <c r="AD102" s="8">
        <v>0</v>
      </c>
      <c r="AF102" s="17" t="s">
        <v>29</v>
      </c>
      <c r="AG102" s="8">
        <f>VLOOKUP(Master20[[#This Row],[Elevated Priority]],Epriority,2,)</f>
        <v>0</v>
      </c>
      <c r="AH102" s="152">
        <f>IF(Master20[[#This Row],[Status]]="Active",Master20[[#This Row],[Status_Score]],IF(D102="","",R102+H102+T102+V102+AG102+AE102+Master20[[#This Row],[Risk Mitigation]]+Master20[[#This Row],[Master Plan]]+Master20[[#This Row],[Community Request]]+Master20[[#This Row],[Community need]]+Master20[[#This Row],[Offset Aging Inf.]]+Master20[[#This Row],[Energy Savings]]+Master20[[#This Row],[Gen Revenue]]-5))</f>
        <v>56</v>
      </c>
      <c r="AI102" s="8"/>
      <c r="AJ102" s="8">
        <v>2026</v>
      </c>
      <c r="AK102" s="8">
        <v>2027</v>
      </c>
      <c r="AL102" s="8">
        <v>2026</v>
      </c>
      <c r="AM102" s="8">
        <v>2027</v>
      </c>
      <c r="AN102" s="10" t="s">
        <v>1187</v>
      </c>
    </row>
    <row r="103" spans="1:40" ht="30" hidden="1" x14ac:dyDescent="0.25">
      <c r="A103" s="103">
        <f t="shared" si="18"/>
        <v>102</v>
      </c>
      <c r="B103" s="8" t="s">
        <v>1211</v>
      </c>
      <c r="C103" s="10" t="s">
        <v>220</v>
      </c>
      <c r="D103" s="10" t="s">
        <v>552</v>
      </c>
      <c r="E103" s="10" t="s">
        <v>553</v>
      </c>
      <c r="F103" s="10" t="s">
        <v>1274</v>
      </c>
      <c r="G103" s="10" t="s">
        <v>29</v>
      </c>
      <c r="H103" s="10">
        <f t="shared" si="19"/>
        <v>0</v>
      </c>
      <c r="I103" s="49"/>
      <c r="J103" s="49"/>
      <c r="K103" s="49">
        <f>Master20[[#This Row],[Initial Budget]]-Master20[[#This Row],[Previously Committed Funds]]</f>
        <v>0</v>
      </c>
      <c r="L103" s="49"/>
      <c r="M103" s="49"/>
      <c r="N103" s="97">
        <f>Master20[[#This Row],[Design $ (Add/Deduct)]]+Master20[[#This Row],[Construction $ (Add/Ded)]]</f>
        <v>0</v>
      </c>
      <c r="O103" s="32">
        <v>500000</v>
      </c>
      <c r="P103" s="8">
        <v>2018</v>
      </c>
      <c r="Q103" s="10" t="s">
        <v>688</v>
      </c>
      <c r="R103" s="8">
        <f t="shared" si="20"/>
        <v>20</v>
      </c>
      <c r="S103" s="8">
        <v>3</v>
      </c>
      <c r="T103" s="8">
        <f t="shared" si="21"/>
        <v>9</v>
      </c>
      <c r="U103" s="8" t="s">
        <v>45</v>
      </c>
      <c r="V103" s="8">
        <f t="shared" si="22"/>
        <v>32</v>
      </c>
      <c r="W103" s="8" t="s">
        <v>30</v>
      </c>
      <c r="X103" s="8">
        <v>0</v>
      </c>
      <c r="Y103" s="8">
        <v>0</v>
      </c>
      <c r="Z103" s="8">
        <v>0</v>
      </c>
      <c r="AA103" s="8">
        <v>0</v>
      </c>
      <c r="AB103" s="8">
        <v>0</v>
      </c>
      <c r="AC103" s="8">
        <v>0</v>
      </c>
      <c r="AD103" s="8">
        <v>0</v>
      </c>
      <c r="AF103" s="17" t="s">
        <v>29</v>
      </c>
      <c r="AG103" s="8">
        <f>VLOOKUP(Master20[[#This Row],[Elevated Priority]],Epriority,2,)</f>
        <v>0</v>
      </c>
      <c r="AH103" s="152">
        <f>IF(Master20[[#This Row],[Status]]="Active",Master20[[#This Row],[Status_Score]],IF(D103="","",R103+H103+T103+V103+AG103+AE103+Master20[[#This Row],[Risk Mitigation]]+Master20[[#This Row],[Master Plan]]+Master20[[#This Row],[Community Request]]+Master20[[#This Row],[Community need]]+Master20[[#This Row],[Offset Aging Inf.]]+Master20[[#This Row],[Energy Savings]]+Master20[[#This Row],[Gen Revenue]]-5))</f>
        <v>56</v>
      </c>
      <c r="AI103" s="8"/>
      <c r="AJ103" s="8"/>
      <c r="AK103" s="8"/>
      <c r="AL103" s="8"/>
      <c r="AM103" s="8"/>
      <c r="AN103" s="10"/>
    </row>
    <row r="104" spans="1:40" ht="75" hidden="1" x14ac:dyDescent="0.25">
      <c r="A104" s="103">
        <f t="shared" si="18"/>
        <v>103</v>
      </c>
      <c r="B104" s="8" t="s">
        <v>1208</v>
      </c>
      <c r="C104" s="10" t="s">
        <v>70</v>
      </c>
      <c r="D104" s="10" t="s">
        <v>516</v>
      </c>
      <c r="E104" s="10" t="s">
        <v>517</v>
      </c>
      <c r="F104" s="10" t="s">
        <v>518</v>
      </c>
      <c r="G104" s="10" t="s">
        <v>29</v>
      </c>
      <c r="H104" s="10">
        <f t="shared" si="19"/>
        <v>0</v>
      </c>
      <c r="I104" s="49"/>
      <c r="J104" s="49"/>
      <c r="K104" s="49">
        <f>Master20[[#This Row],[Initial Budget]]-Master20[[#This Row],[Previously Committed Funds]]</f>
        <v>0</v>
      </c>
      <c r="L104" s="49"/>
      <c r="M104" s="49"/>
      <c r="N104" s="97">
        <f>Master20[[#This Row],[Design $ (Add/Deduct)]]+Master20[[#This Row],[Construction $ (Add/Ded)]]</f>
        <v>0</v>
      </c>
      <c r="O104" s="32">
        <v>1500000</v>
      </c>
      <c r="P104" s="8">
        <v>2018</v>
      </c>
      <c r="Q104" s="10" t="s">
        <v>46</v>
      </c>
      <c r="R104" s="8">
        <f t="shared" si="20"/>
        <v>50</v>
      </c>
      <c r="S104" s="8">
        <v>3</v>
      </c>
      <c r="T104" s="8">
        <f t="shared" si="21"/>
        <v>9</v>
      </c>
      <c r="U104" s="8" t="s">
        <v>41</v>
      </c>
      <c r="V104" s="8">
        <f t="shared" si="22"/>
        <v>4</v>
      </c>
      <c r="W104" s="8" t="s">
        <v>34</v>
      </c>
      <c r="X104" s="8">
        <v>-1</v>
      </c>
      <c r="Y104" s="8">
        <v>0</v>
      </c>
      <c r="Z104" s="8">
        <v>0</v>
      </c>
      <c r="AA104" s="8">
        <v>0</v>
      </c>
      <c r="AB104" s="8">
        <v>0</v>
      </c>
      <c r="AC104" s="8">
        <v>0</v>
      </c>
      <c r="AD104" s="8">
        <v>0</v>
      </c>
      <c r="AF104" s="17" t="s">
        <v>29</v>
      </c>
      <c r="AG104" s="8">
        <f>VLOOKUP(Master20[[#This Row],[Elevated Priority]],Epriority,2,)</f>
        <v>0</v>
      </c>
      <c r="AH104" s="152">
        <f>IF(Master20[[#This Row],[Status]]="Active",Master20[[#This Row],[Status_Score]],IF(D104="","",R104+H104+T104+V104+AG104+AE104+Master20[[#This Row],[Risk Mitigation]]+Master20[[#This Row],[Master Plan]]+Master20[[#This Row],[Community Request]]+Master20[[#This Row],[Community need]]+Master20[[#This Row],[Offset Aging Inf.]]+Master20[[#This Row],[Energy Savings]]+Master20[[#This Row],[Gen Revenue]]-5))</f>
        <v>57</v>
      </c>
      <c r="AI104" s="8"/>
      <c r="AJ104" s="8"/>
      <c r="AK104" s="8"/>
      <c r="AL104" s="8">
        <v>2024</v>
      </c>
      <c r="AM104" s="8">
        <v>2026</v>
      </c>
      <c r="AN104" s="10"/>
    </row>
    <row r="105" spans="1:40" ht="75" hidden="1" x14ac:dyDescent="0.25">
      <c r="A105" s="103">
        <f t="shared" si="18"/>
        <v>104</v>
      </c>
      <c r="B105" s="8" t="s">
        <v>72</v>
      </c>
      <c r="C105" s="10" t="s">
        <v>1045</v>
      </c>
      <c r="D105" s="10" t="s">
        <v>336</v>
      </c>
      <c r="E105" s="10" t="s">
        <v>1075</v>
      </c>
      <c r="F105" s="10" t="s">
        <v>1076</v>
      </c>
      <c r="G105" s="10" t="s">
        <v>29</v>
      </c>
      <c r="H105" s="10">
        <f t="shared" si="19"/>
        <v>0</v>
      </c>
      <c r="I105" s="49"/>
      <c r="J105" s="49"/>
      <c r="K105" s="49">
        <f>Master20[[#This Row],[Initial Budget]]-Master20[[#This Row],[Previously Committed Funds]]</f>
        <v>0</v>
      </c>
      <c r="L105" s="49"/>
      <c r="M105" s="49"/>
      <c r="N105" s="97">
        <f>Master20[[#This Row],[Design $ (Add/Deduct)]]+Master20[[#This Row],[Construction $ (Add/Ded)]]</f>
        <v>0</v>
      </c>
      <c r="O105" s="32">
        <v>500000</v>
      </c>
      <c r="P105" s="8">
        <v>2018</v>
      </c>
      <c r="Q105" s="10" t="s">
        <v>686</v>
      </c>
      <c r="R105" s="8">
        <f t="shared" si="20"/>
        <v>60</v>
      </c>
      <c r="S105" s="8">
        <v>1</v>
      </c>
      <c r="T105" s="8">
        <f t="shared" si="21"/>
        <v>3</v>
      </c>
      <c r="U105" s="8" t="s">
        <v>37</v>
      </c>
      <c r="V105" s="8">
        <f t="shared" si="22"/>
        <v>3</v>
      </c>
      <c r="W105" s="8" t="s">
        <v>34</v>
      </c>
      <c r="X105" s="8">
        <v>0</v>
      </c>
      <c r="Y105" s="8">
        <v>0</v>
      </c>
      <c r="Z105" s="8">
        <v>0</v>
      </c>
      <c r="AA105" s="8">
        <v>0</v>
      </c>
      <c r="AB105" s="8">
        <v>0</v>
      </c>
      <c r="AC105" s="8">
        <v>0</v>
      </c>
      <c r="AD105" s="8">
        <v>-2</v>
      </c>
      <c r="AF105" s="17" t="s">
        <v>29</v>
      </c>
      <c r="AG105" s="8">
        <f>VLOOKUP(Master20[[#This Row],[Elevated Priority]],Epriority,2,)</f>
        <v>0</v>
      </c>
      <c r="AH105" s="152">
        <f>IF(Master20[[#This Row],[Status]]="Active",Master20[[#This Row],[Status_Score]],IF(D105="","",R105+H105+T105+V105+AG105+AE105+Master20[[#This Row],[Risk Mitigation]]+Master20[[#This Row],[Master Plan]]+Master20[[#This Row],[Community Request]]+Master20[[#This Row],[Community need]]+Master20[[#This Row],[Offset Aging Inf.]]+Master20[[#This Row],[Energy Savings]]+Master20[[#This Row],[Gen Revenue]]-5))</f>
        <v>59</v>
      </c>
      <c r="AI105" s="8"/>
      <c r="AJ105" s="8">
        <v>2023</v>
      </c>
      <c r="AK105" s="8">
        <v>2024</v>
      </c>
      <c r="AL105" s="8">
        <v>2023</v>
      </c>
      <c r="AM105" s="8">
        <v>2024</v>
      </c>
      <c r="AN105" s="10"/>
    </row>
    <row r="106" spans="1:40" ht="165" hidden="1" x14ac:dyDescent="0.25">
      <c r="A106" s="103">
        <f t="shared" si="18"/>
        <v>105</v>
      </c>
      <c r="B106" s="8" t="s">
        <v>1195</v>
      </c>
      <c r="C106" s="10" t="s">
        <v>1045</v>
      </c>
      <c r="D106" s="10" t="s">
        <v>1096</v>
      </c>
      <c r="E106" s="10" t="s">
        <v>1218</v>
      </c>
      <c r="F106" s="10"/>
      <c r="G106" s="10" t="s">
        <v>29</v>
      </c>
      <c r="H106" s="10"/>
      <c r="I106" s="49"/>
      <c r="J106" s="49"/>
      <c r="K106" s="49">
        <f>Master20[[#This Row],[Initial Budget]]-Master20[[#This Row],[Previously Committed Funds]]</f>
        <v>0</v>
      </c>
      <c r="L106" s="49"/>
      <c r="M106" s="49"/>
      <c r="N106" s="97">
        <f>Master20[[#This Row],[Design $ (Add/Deduct)]]+Master20[[#This Row],[Construction $ (Add/Ded)]]</f>
        <v>0</v>
      </c>
      <c r="O106" s="32">
        <v>233080</v>
      </c>
      <c r="P106" s="8">
        <v>2022</v>
      </c>
      <c r="Q106" s="10" t="s">
        <v>686</v>
      </c>
      <c r="R106" s="8">
        <f t="shared" si="20"/>
        <v>60</v>
      </c>
      <c r="S106" s="8">
        <v>1</v>
      </c>
      <c r="T106" s="8">
        <f t="shared" si="21"/>
        <v>3</v>
      </c>
      <c r="U106" s="8" t="s">
        <v>41</v>
      </c>
      <c r="V106" s="8">
        <f t="shared" si="22"/>
        <v>4</v>
      </c>
      <c r="W106" s="8" t="s">
        <v>34</v>
      </c>
      <c r="X106" s="8">
        <v>0</v>
      </c>
      <c r="Y106" s="8">
        <v>0</v>
      </c>
      <c r="Z106" s="8">
        <v>0</v>
      </c>
      <c r="AA106" s="8">
        <v>0</v>
      </c>
      <c r="AB106" s="8">
        <v>0</v>
      </c>
      <c r="AC106" s="8">
        <v>0</v>
      </c>
      <c r="AD106" s="8">
        <v>-3</v>
      </c>
      <c r="AF106" s="17" t="s">
        <v>29</v>
      </c>
      <c r="AG106" s="8">
        <f>VLOOKUP(Master20[[#This Row],[Elevated Priority]],Epriority,2,)</f>
        <v>0</v>
      </c>
      <c r="AH106" s="152">
        <f>IF(Master20[[#This Row],[Status]]="Active",Master20[[#This Row],[Status_Score]],IF(D106="","",R106+H106+T106+V106+AG106+AE106+Master20[[#This Row],[Risk Mitigation]]+Master20[[#This Row],[Master Plan]]+Master20[[#This Row],[Community Request]]+Master20[[#This Row],[Community need]]+Master20[[#This Row],[Offset Aging Inf.]]+Master20[[#This Row],[Energy Savings]]+Master20[[#This Row],[Gen Revenue]]-5))</f>
        <v>59</v>
      </c>
      <c r="AI106" s="8"/>
      <c r="AJ106" s="8"/>
      <c r="AK106" s="8"/>
      <c r="AL106" s="8">
        <v>2024</v>
      </c>
      <c r="AM106" s="8">
        <v>2025</v>
      </c>
      <c r="AN106" s="10"/>
    </row>
    <row r="107" spans="1:40" ht="60" hidden="1" x14ac:dyDescent="0.25">
      <c r="A107" s="103">
        <f t="shared" si="18"/>
        <v>106</v>
      </c>
      <c r="B107" s="8" t="s">
        <v>1270</v>
      </c>
      <c r="C107" s="10" t="s">
        <v>1045</v>
      </c>
      <c r="D107" s="10" t="s">
        <v>1058</v>
      </c>
      <c r="E107" s="10" t="s">
        <v>1059</v>
      </c>
      <c r="F107" s="10" t="s">
        <v>1060</v>
      </c>
      <c r="G107" s="10" t="s">
        <v>29</v>
      </c>
      <c r="H107" s="10">
        <f t="shared" ref="H107:H127" si="23">VLOOKUP(G107,Status_Score,2,FALSE)</f>
        <v>0</v>
      </c>
      <c r="I107" s="49"/>
      <c r="J107" s="49"/>
      <c r="K107" s="49">
        <f>Master20[[#This Row],[Initial Budget]]-Master20[[#This Row],[Previously Committed Funds]]</f>
        <v>0</v>
      </c>
      <c r="L107" s="49"/>
      <c r="M107" s="49"/>
      <c r="N107" s="97">
        <f>Master20[[#This Row],[Design $ (Add/Deduct)]]+Master20[[#This Row],[Construction $ (Add/Ded)]]</f>
        <v>0</v>
      </c>
      <c r="O107" s="32">
        <v>3500000</v>
      </c>
      <c r="P107" s="8">
        <v>2022</v>
      </c>
      <c r="Q107" s="10" t="s">
        <v>686</v>
      </c>
      <c r="R107" s="8">
        <f t="shared" si="20"/>
        <v>60</v>
      </c>
      <c r="S107" s="8">
        <v>2</v>
      </c>
      <c r="T107" s="8">
        <f t="shared" si="21"/>
        <v>6</v>
      </c>
      <c r="U107" s="8" t="s">
        <v>41</v>
      </c>
      <c r="V107" s="8">
        <f t="shared" si="22"/>
        <v>4</v>
      </c>
      <c r="W107" s="8" t="s">
        <v>34</v>
      </c>
      <c r="X107" s="8">
        <v>0</v>
      </c>
      <c r="Y107" s="8">
        <v>0</v>
      </c>
      <c r="Z107" s="8">
        <v>0</v>
      </c>
      <c r="AA107" s="8">
        <v>-3</v>
      </c>
      <c r="AB107" s="8">
        <v>0</v>
      </c>
      <c r="AC107" s="8">
        <v>0</v>
      </c>
      <c r="AD107" s="8">
        <v>-3</v>
      </c>
      <c r="AF107" s="17" t="s">
        <v>29</v>
      </c>
      <c r="AG107" s="8">
        <f>VLOOKUP(Master20[[#This Row],[Elevated Priority]],Epriority,2,)</f>
        <v>0</v>
      </c>
      <c r="AH107" s="152">
        <f>IF(Master20[[#This Row],[Status]]="Active",Master20[[#This Row],[Status_Score]],IF(D107="","",R107+H107+T107+V107+AG107+AE107+Master20[[#This Row],[Risk Mitigation]]+Master20[[#This Row],[Master Plan]]+Master20[[#This Row],[Community Request]]+Master20[[#This Row],[Community need]]+Master20[[#This Row],[Offset Aging Inf.]]+Master20[[#This Row],[Energy Savings]]+Master20[[#This Row],[Gen Revenue]]-5))</f>
        <v>59</v>
      </c>
      <c r="AI107" s="8"/>
      <c r="AJ107" s="8"/>
      <c r="AK107" s="8"/>
      <c r="AL107" s="8"/>
      <c r="AM107" s="8"/>
      <c r="AN107" s="10"/>
    </row>
    <row r="108" spans="1:40" ht="60" hidden="1" x14ac:dyDescent="0.25">
      <c r="A108" s="103">
        <f t="shared" si="18"/>
        <v>107</v>
      </c>
      <c r="B108" s="8" t="s">
        <v>67</v>
      </c>
      <c r="C108" s="10" t="s">
        <v>73</v>
      </c>
      <c r="D108" s="10" t="s">
        <v>1037</v>
      </c>
      <c r="E108" s="10" t="s">
        <v>547</v>
      </c>
      <c r="F108" s="10" t="s">
        <v>549</v>
      </c>
      <c r="G108" s="10" t="s">
        <v>29</v>
      </c>
      <c r="H108" s="10">
        <f t="shared" si="23"/>
        <v>0</v>
      </c>
      <c r="I108" s="49"/>
      <c r="J108" s="49"/>
      <c r="K108" s="49">
        <f>Master20[[#This Row],[Initial Budget]]-Master20[[#This Row],[Previously Committed Funds]]</f>
        <v>0</v>
      </c>
      <c r="L108" s="49"/>
      <c r="M108" s="49"/>
      <c r="N108" s="97">
        <f>Master20[[#This Row],[Design $ (Add/Deduct)]]+Master20[[#This Row],[Construction $ (Add/Ded)]]</f>
        <v>0</v>
      </c>
      <c r="O108" s="32">
        <v>65000</v>
      </c>
      <c r="P108" s="8">
        <v>2018</v>
      </c>
      <c r="Q108" s="10" t="s">
        <v>686</v>
      </c>
      <c r="R108" s="8">
        <f t="shared" si="20"/>
        <v>60</v>
      </c>
      <c r="S108" s="8">
        <v>2</v>
      </c>
      <c r="T108" s="8">
        <f t="shared" si="21"/>
        <v>6</v>
      </c>
      <c r="U108" s="8" t="s">
        <v>41</v>
      </c>
      <c r="V108" s="8">
        <f t="shared" si="22"/>
        <v>4</v>
      </c>
      <c r="W108" s="8" t="s">
        <v>34</v>
      </c>
      <c r="X108" s="8">
        <v>0</v>
      </c>
      <c r="Y108" s="8">
        <v>-5</v>
      </c>
      <c r="Z108" s="8">
        <v>0</v>
      </c>
      <c r="AA108" s="8">
        <v>0</v>
      </c>
      <c r="AB108" s="8">
        <v>0</v>
      </c>
      <c r="AC108" s="8">
        <v>0</v>
      </c>
      <c r="AD108" s="8">
        <v>0</v>
      </c>
      <c r="AF108" s="17" t="s">
        <v>29</v>
      </c>
      <c r="AG108" s="8">
        <f>VLOOKUP(Master20[[#This Row],[Elevated Priority]],Epriority,2,)</f>
        <v>0</v>
      </c>
      <c r="AH108" s="152">
        <f>IF(Master20[[#This Row],[Status]]="Active",Master20[[#This Row],[Status_Score]],IF(D108="","",R108+H108+T108+V108+AG108+AE108+Master20[[#This Row],[Risk Mitigation]]+Master20[[#This Row],[Master Plan]]+Master20[[#This Row],[Community Request]]+Master20[[#This Row],[Community need]]+Master20[[#This Row],[Offset Aging Inf.]]+Master20[[#This Row],[Energy Savings]]+Master20[[#This Row],[Gen Revenue]]-5))</f>
        <v>60</v>
      </c>
      <c r="AI108" s="8"/>
      <c r="AJ108" s="8">
        <v>2022</v>
      </c>
      <c r="AK108" s="8">
        <v>2022</v>
      </c>
      <c r="AL108" s="8">
        <v>2023</v>
      </c>
      <c r="AM108" s="8">
        <v>2023</v>
      </c>
      <c r="AN108" s="10"/>
    </row>
    <row r="109" spans="1:40" ht="30" hidden="1" x14ac:dyDescent="0.25">
      <c r="A109" s="103">
        <f t="shared" si="18"/>
        <v>108</v>
      </c>
      <c r="B109" s="8" t="s">
        <v>61</v>
      </c>
      <c r="C109" s="10" t="s">
        <v>1045</v>
      </c>
      <c r="D109" s="10" t="s">
        <v>1304</v>
      </c>
      <c r="E109" s="10" t="s">
        <v>1253</v>
      </c>
      <c r="F109" s="10" t="s">
        <v>1254</v>
      </c>
      <c r="G109" s="10" t="s">
        <v>29</v>
      </c>
      <c r="H109" s="10">
        <f t="shared" si="23"/>
        <v>0</v>
      </c>
      <c r="I109" s="49"/>
      <c r="J109" s="49"/>
      <c r="K109" s="49">
        <f>Master20[[#This Row],[Initial Budget]]-Master20[[#This Row],[Previously Committed Funds]]</f>
        <v>0</v>
      </c>
      <c r="L109" s="49"/>
      <c r="M109" s="49"/>
      <c r="N109" s="97">
        <f>Master20[[#This Row],[Design $ (Add/Deduct)]]+Master20[[#This Row],[Construction $ (Add/Ded)]]</f>
        <v>0</v>
      </c>
      <c r="O109" s="32">
        <v>350000</v>
      </c>
      <c r="P109" s="8">
        <v>2023</v>
      </c>
      <c r="Q109" s="10" t="s">
        <v>686</v>
      </c>
      <c r="R109" s="10">
        <f t="shared" si="20"/>
        <v>60</v>
      </c>
      <c r="S109" s="10">
        <v>2</v>
      </c>
      <c r="T109" s="10">
        <f t="shared" si="21"/>
        <v>6</v>
      </c>
      <c r="U109" s="10" t="s">
        <v>41</v>
      </c>
      <c r="V109" s="10">
        <f t="shared" si="22"/>
        <v>4</v>
      </c>
      <c r="W109" s="10" t="s">
        <v>29</v>
      </c>
      <c r="X109" s="10"/>
      <c r="Y109" s="10">
        <v>0</v>
      </c>
      <c r="Z109" s="10">
        <v>0</v>
      </c>
      <c r="AA109" s="10">
        <v>0</v>
      </c>
      <c r="AB109" s="10">
        <v>-2</v>
      </c>
      <c r="AC109" s="10">
        <v>-3</v>
      </c>
      <c r="AD109" s="10">
        <v>0</v>
      </c>
      <c r="AE109" s="10"/>
      <c r="AF109" s="10" t="s">
        <v>29</v>
      </c>
      <c r="AG109" s="10">
        <f>VLOOKUP(Master20[[#This Row],[Elevated Priority]],Epriority,2,)</f>
        <v>0</v>
      </c>
      <c r="AH109" s="10">
        <f>IF(Master20[[#This Row],[Status]]="Active",Master20[[#This Row],[Status_Score]],IF(D109="","",R109+H109+T109+V109+AG109+AE109+Master20[[#This Row],[Risk Mitigation]]+Master20[[#This Row],[Master Plan]]+Master20[[#This Row],[Community Request]]+Master20[[#This Row],[Community need]]+Master20[[#This Row],[Offset Aging Inf.]]+Master20[[#This Row],[Energy Savings]]+Master20[[#This Row],[Gen Revenue]]-5))</f>
        <v>60</v>
      </c>
      <c r="AI109" s="166"/>
      <c r="AJ109" s="166"/>
      <c r="AK109" s="166"/>
      <c r="AL109" s="166"/>
      <c r="AM109" s="166"/>
      <c r="AN109" s="165"/>
    </row>
    <row r="110" spans="1:40" ht="180" hidden="1" x14ac:dyDescent="0.25">
      <c r="A110" s="103">
        <f t="shared" si="18"/>
        <v>109</v>
      </c>
      <c r="B110" s="8" t="s">
        <v>67</v>
      </c>
      <c r="C110" s="10" t="s">
        <v>73</v>
      </c>
      <c r="D110" s="10" t="s">
        <v>825</v>
      </c>
      <c r="E110" s="10" t="s">
        <v>196</v>
      </c>
      <c r="F110" s="10" t="s">
        <v>826</v>
      </c>
      <c r="G110" s="10" t="s">
        <v>29</v>
      </c>
      <c r="H110" s="10">
        <f t="shared" si="23"/>
        <v>0</v>
      </c>
      <c r="I110" s="49"/>
      <c r="J110" s="49"/>
      <c r="K110" s="49">
        <f>Master20[[#This Row],[Initial Budget]]-Master20[[#This Row],[Previously Committed Funds]]</f>
        <v>0</v>
      </c>
      <c r="L110" s="49"/>
      <c r="M110" s="49"/>
      <c r="N110" s="97">
        <f>Master20[[#This Row],[Design $ (Add/Deduct)]]+Master20[[#This Row],[Construction $ (Add/Ded)]]</f>
        <v>0</v>
      </c>
      <c r="O110" s="32">
        <v>25000</v>
      </c>
      <c r="P110" s="8">
        <v>2018</v>
      </c>
      <c r="Q110" s="10" t="s">
        <v>686</v>
      </c>
      <c r="R110" s="8">
        <f t="shared" si="20"/>
        <v>60</v>
      </c>
      <c r="S110" s="8">
        <v>1</v>
      </c>
      <c r="T110" s="8">
        <f t="shared" si="21"/>
        <v>3</v>
      </c>
      <c r="U110" s="8" t="s">
        <v>37</v>
      </c>
      <c r="V110" s="8">
        <f t="shared" si="22"/>
        <v>3</v>
      </c>
      <c r="W110" s="8" t="s">
        <v>34</v>
      </c>
      <c r="X110" s="8">
        <v>0</v>
      </c>
      <c r="Y110" s="8">
        <v>0</v>
      </c>
      <c r="Z110" s="8">
        <v>0</v>
      </c>
      <c r="AA110" s="8">
        <v>0</v>
      </c>
      <c r="AB110" s="8">
        <v>0</v>
      </c>
      <c r="AC110" s="8">
        <v>0</v>
      </c>
      <c r="AD110" s="8">
        <v>0</v>
      </c>
      <c r="AF110" s="17" t="s">
        <v>29</v>
      </c>
      <c r="AG110" s="8">
        <f>VLOOKUP(Master20[[#This Row],[Elevated Priority]],Epriority,2,)</f>
        <v>0</v>
      </c>
      <c r="AH110" s="152">
        <f>IF(Master20[[#This Row],[Status]]="Active",Master20[[#This Row],[Status_Score]],IF(D110="","",R110+H110+T110+V110+AG110+AE110+Master20[[#This Row],[Risk Mitigation]]+Master20[[#This Row],[Master Plan]]+Master20[[#This Row],[Community Request]]+Master20[[#This Row],[Community need]]+Master20[[#This Row],[Offset Aging Inf.]]+Master20[[#This Row],[Energy Savings]]+Master20[[#This Row],[Gen Revenue]]-5))</f>
        <v>61</v>
      </c>
      <c r="AI110" s="8"/>
      <c r="AJ110" s="8">
        <v>2023</v>
      </c>
      <c r="AK110" s="8">
        <v>2024</v>
      </c>
      <c r="AL110" s="8">
        <v>2023</v>
      </c>
      <c r="AM110" s="8">
        <v>2024</v>
      </c>
      <c r="AN110" s="10"/>
    </row>
    <row r="111" spans="1:40" ht="60" hidden="1" x14ac:dyDescent="0.25">
      <c r="A111" s="103">
        <f t="shared" si="18"/>
        <v>110</v>
      </c>
      <c r="B111" s="8" t="s">
        <v>67</v>
      </c>
      <c r="C111" s="10" t="s">
        <v>995</v>
      </c>
      <c r="D111" s="10" t="s">
        <v>1138</v>
      </c>
      <c r="E111" s="10" t="s">
        <v>899</v>
      </c>
      <c r="F111" s="10" t="s">
        <v>386</v>
      </c>
      <c r="G111" s="10" t="s">
        <v>29</v>
      </c>
      <c r="H111" s="10">
        <f t="shared" si="23"/>
        <v>0</v>
      </c>
      <c r="I111" s="49"/>
      <c r="J111" s="49"/>
      <c r="K111" s="49">
        <f>Master20[[#This Row],[Initial Budget]]-Master20[[#This Row],[Previously Committed Funds]]</f>
        <v>0</v>
      </c>
      <c r="L111" s="49"/>
      <c r="M111" s="49"/>
      <c r="N111" s="97">
        <f>Master20[[#This Row],[Design $ (Add/Deduct)]]+Master20[[#This Row],[Construction $ (Add/Ded)]]</f>
        <v>0</v>
      </c>
      <c r="O111" s="32">
        <v>150000</v>
      </c>
      <c r="P111" s="8">
        <v>2018</v>
      </c>
      <c r="Q111" s="10" t="s">
        <v>687</v>
      </c>
      <c r="R111" s="8">
        <f t="shared" si="20"/>
        <v>30</v>
      </c>
      <c r="S111" s="8">
        <v>8</v>
      </c>
      <c r="T111" s="8">
        <f t="shared" si="21"/>
        <v>20</v>
      </c>
      <c r="U111" s="8" t="s">
        <v>43</v>
      </c>
      <c r="V111" s="8">
        <f t="shared" si="22"/>
        <v>16</v>
      </c>
      <c r="W111" s="8" t="s">
        <v>30</v>
      </c>
      <c r="X111" s="8">
        <v>0</v>
      </c>
      <c r="Y111" s="8">
        <v>0</v>
      </c>
      <c r="Z111" s="8">
        <v>0</v>
      </c>
      <c r="AA111" s="8">
        <v>0</v>
      </c>
      <c r="AB111" s="8">
        <v>0</v>
      </c>
      <c r="AC111" s="8">
        <v>0</v>
      </c>
      <c r="AD111" s="8">
        <v>0</v>
      </c>
      <c r="AF111" s="17" t="s">
        <v>29</v>
      </c>
      <c r="AG111" s="8">
        <f>VLOOKUP(Master20[[#This Row],[Elevated Priority]],Epriority,2,)</f>
        <v>0</v>
      </c>
      <c r="AH111" s="152">
        <f>IF(Master20[[#This Row],[Status]]="Active",Master20[[#This Row],[Status_Score]],IF(D111="","",R111+H111+T111+V111+AG111+AE111+Master20[[#This Row],[Risk Mitigation]]+Master20[[#This Row],[Master Plan]]+Master20[[#This Row],[Community Request]]+Master20[[#This Row],[Community need]]+Master20[[#This Row],[Offset Aging Inf.]]+Master20[[#This Row],[Energy Savings]]+Master20[[#This Row],[Gen Revenue]]-5))</f>
        <v>61</v>
      </c>
      <c r="AI111" s="8"/>
      <c r="AJ111" s="8">
        <v>2022</v>
      </c>
      <c r="AK111" s="8">
        <v>2023</v>
      </c>
      <c r="AL111" s="8">
        <v>2024</v>
      </c>
      <c r="AM111" s="8">
        <v>2025</v>
      </c>
      <c r="AN111" s="10"/>
    </row>
    <row r="112" spans="1:40" ht="120" hidden="1" x14ac:dyDescent="0.25">
      <c r="A112" s="103">
        <f t="shared" si="18"/>
        <v>111</v>
      </c>
      <c r="B112" s="8" t="s">
        <v>143</v>
      </c>
      <c r="C112" s="10" t="s">
        <v>299</v>
      </c>
      <c r="D112" s="10" t="s">
        <v>1066</v>
      </c>
      <c r="E112" s="10" t="s">
        <v>1067</v>
      </c>
      <c r="F112" s="10" t="s">
        <v>1068</v>
      </c>
      <c r="G112" s="10" t="s">
        <v>29</v>
      </c>
      <c r="H112" s="10">
        <f t="shared" si="23"/>
        <v>0</v>
      </c>
      <c r="I112" s="49"/>
      <c r="J112" s="49"/>
      <c r="K112" s="49">
        <f>Master20[[#This Row],[Initial Budget]]-Master20[[#This Row],[Previously Committed Funds]]</f>
        <v>0</v>
      </c>
      <c r="L112" s="49"/>
      <c r="M112" s="49"/>
      <c r="N112" s="97">
        <f>Master20[[#This Row],[Design $ (Add/Deduct)]]+Master20[[#This Row],[Construction $ (Add/Ded)]]</f>
        <v>0</v>
      </c>
      <c r="O112" s="32">
        <v>20000</v>
      </c>
      <c r="P112" s="8">
        <v>2022</v>
      </c>
      <c r="Q112" s="10" t="s">
        <v>686</v>
      </c>
      <c r="R112" s="8">
        <f t="shared" si="20"/>
        <v>60</v>
      </c>
      <c r="S112" s="8">
        <v>1</v>
      </c>
      <c r="T112" s="8">
        <f t="shared" si="21"/>
        <v>3</v>
      </c>
      <c r="U112" s="8" t="s">
        <v>41</v>
      </c>
      <c r="V112" s="8">
        <f t="shared" si="22"/>
        <v>4</v>
      </c>
      <c r="W112" s="8" t="s">
        <v>34</v>
      </c>
      <c r="X112" s="8">
        <v>0</v>
      </c>
      <c r="Y112" s="8">
        <v>0</v>
      </c>
      <c r="Z112" s="8">
        <v>0</v>
      </c>
      <c r="AA112" s="8">
        <v>0</v>
      </c>
      <c r="AB112" s="8">
        <v>0</v>
      </c>
      <c r="AC112" s="8">
        <v>0</v>
      </c>
      <c r="AD112" s="8">
        <v>-1</v>
      </c>
      <c r="AF112" s="17" t="s">
        <v>29</v>
      </c>
      <c r="AG112" s="8">
        <f>VLOOKUP(Master20[[#This Row],[Elevated Priority]],Epriority,2,)</f>
        <v>0</v>
      </c>
      <c r="AH112" s="152">
        <f>IF(Master20[[#This Row],[Status]]="Active",Master20[[#This Row],[Status_Score]],IF(D112="","",R112+H112+T112+V112+AG112+AE112+Master20[[#This Row],[Risk Mitigation]]+Master20[[#This Row],[Master Plan]]+Master20[[#This Row],[Community Request]]+Master20[[#This Row],[Community need]]+Master20[[#This Row],[Offset Aging Inf.]]+Master20[[#This Row],[Energy Savings]]+Master20[[#This Row],[Gen Revenue]]-5))</f>
        <v>61</v>
      </c>
      <c r="AI112" s="8"/>
      <c r="AJ112" s="8"/>
      <c r="AK112" s="8"/>
      <c r="AL112" s="8">
        <v>2025</v>
      </c>
      <c r="AM112" s="8">
        <v>2026</v>
      </c>
      <c r="AN112" s="10"/>
    </row>
    <row r="113" spans="1:40" ht="30" hidden="1" x14ac:dyDescent="0.25">
      <c r="A113" s="103">
        <f t="shared" si="18"/>
        <v>112</v>
      </c>
      <c r="B113" s="8" t="s">
        <v>94</v>
      </c>
      <c r="C113" s="10" t="s">
        <v>1045</v>
      </c>
      <c r="D113" s="10" t="s">
        <v>522</v>
      </c>
      <c r="E113" s="10" t="s">
        <v>523</v>
      </c>
      <c r="F113" s="10" t="s">
        <v>524</v>
      </c>
      <c r="G113" s="10" t="s">
        <v>29</v>
      </c>
      <c r="H113" s="10">
        <f t="shared" si="23"/>
        <v>0</v>
      </c>
      <c r="I113" s="49"/>
      <c r="J113" s="49"/>
      <c r="K113" s="49">
        <f>Master20[[#This Row],[Initial Budget]]-Master20[[#This Row],[Previously Committed Funds]]</f>
        <v>0</v>
      </c>
      <c r="L113" s="49"/>
      <c r="M113" s="49"/>
      <c r="N113" s="97">
        <f>Master20[[#This Row],[Design $ (Add/Deduct)]]+Master20[[#This Row],[Construction $ (Add/Ded)]]</f>
        <v>0</v>
      </c>
      <c r="O113" s="32">
        <v>100000</v>
      </c>
      <c r="P113" s="8">
        <v>2018</v>
      </c>
      <c r="Q113" s="10" t="s">
        <v>687</v>
      </c>
      <c r="R113" s="8">
        <f t="shared" si="20"/>
        <v>30</v>
      </c>
      <c r="S113" s="8">
        <v>32</v>
      </c>
      <c r="T113" s="8">
        <f t="shared" si="21"/>
        <v>32</v>
      </c>
      <c r="U113" s="8" t="s">
        <v>41</v>
      </c>
      <c r="V113" s="8">
        <f t="shared" si="22"/>
        <v>4</v>
      </c>
      <c r="W113" s="8" t="s">
        <v>30</v>
      </c>
      <c r="X113" s="8">
        <v>0</v>
      </c>
      <c r="Y113" s="8">
        <v>0</v>
      </c>
      <c r="Z113" s="8">
        <v>0</v>
      </c>
      <c r="AA113" s="8">
        <v>0</v>
      </c>
      <c r="AB113" s="8">
        <v>0</v>
      </c>
      <c r="AC113" s="8">
        <v>0</v>
      </c>
      <c r="AD113" s="8">
        <v>0</v>
      </c>
      <c r="AF113" s="17" t="s">
        <v>29</v>
      </c>
      <c r="AG113" s="8">
        <f>VLOOKUP(Master20[[#This Row],[Elevated Priority]],Epriority,2,)</f>
        <v>0</v>
      </c>
      <c r="AH113" s="152">
        <f>IF(Master20[[#This Row],[Status]]="Active",Master20[[#This Row],[Status_Score]],IF(D113="","",R113+H113+T113+V113+AG113+AE113+Master20[[#This Row],[Risk Mitigation]]+Master20[[#This Row],[Master Plan]]+Master20[[#This Row],[Community Request]]+Master20[[#This Row],[Community need]]+Master20[[#This Row],[Offset Aging Inf.]]+Master20[[#This Row],[Energy Savings]]+Master20[[#This Row],[Gen Revenue]]-5))</f>
        <v>61</v>
      </c>
      <c r="AI113" s="8"/>
      <c r="AJ113" s="8"/>
      <c r="AK113" s="8"/>
      <c r="AL113" s="8">
        <v>2025</v>
      </c>
      <c r="AM113" s="8">
        <v>2026</v>
      </c>
      <c r="AN113" s="10"/>
    </row>
    <row r="114" spans="1:40" ht="60" hidden="1" x14ac:dyDescent="0.25">
      <c r="A114" s="103">
        <f t="shared" si="18"/>
        <v>113</v>
      </c>
      <c r="B114" s="8" t="s">
        <v>1195</v>
      </c>
      <c r="C114" s="10" t="s">
        <v>1045</v>
      </c>
      <c r="D114" s="10" t="s">
        <v>632</v>
      </c>
      <c r="E114" s="10" t="s">
        <v>636</v>
      </c>
      <c r="F114" s="10" t="s">
        <v>633</v>
      </c>
      <c r="G114" s="10" t="s">
        <v>29</v>
      </c>
      <c r="H114" s="10">
        <f t="shared" si="23"/>
        <v>0</v>
      </c>
      <c r="I114" s="49"/>
      <c r="J114" s="49"/>
      <c r="K114" s="49">
        <f>Master20[[#This Row],[Initial Budget]]-Master20[[#This Row],[Previously Committed Funds]]</f>
        <v>0</v>
      </c>
      <c r="L114" s="49"/>
      <c r="M114" s="49"/>
      <c r="N114" s="97">
        <f>Master20[[#This Row],[Design $ (Add/Deduct)]]+Master20[[#This Row],[Construction $ (Add/Ded)]]</f>
        <v>0</v>
      </c>
      <c r="O114" s="32">
        <v>100000</v>
      </c>
      <c r="P114" s="8">
        <v>2019</v>
      </c>
      <c r="Q114" s="10" t="s">
        <v>686</v>
      </c>
      <c r="R114" s="8">
        <f t="shared" si="20"/>
        <v>60</v>
      </c>
      <c r="S114" s="8">
        <v>3</v>
      </c>
      <c r="T114" s="8">
        <f t="shared" si="21"/>
        <v>9</v>
      </c>
      <c r="U114" s="8" t="s">
        <v>41</v>
      </c>
      <c r="V114" s="8">
        <f t="shared" si="22"/>
        <v>4</v>
      </c>
      <c r="W114" s="8" t="s">
        <v>34</v>
      </c>
      <c r="X114" s="8">
        <v>-2</v>
      </c>
      <c r="Y114" s="8">
        <v>0</v>
      </c>
      <c r="Z114" s="8">
        <v>0</v>
      </c>
      <c r="AA114" s="8">
        <v>-3</v>
      </c>
      <c r="AB114" s="8">
        <v>-2</v>
      </c>
      <c r="AC114" s="8">
        <v>0</v>
      </c>
      <c r="AD114" s="8">
        <v>0</v>
      </c>
      <c r="AF114" s="17" t="s">
        <v>29</v>
      </c>
      <c r="AG114" s="8">
        <f>VLOOKUP(Master20[[#This Row],[Elevated Priority]],Epriority,2,)</f>
        <v>0</v>
      </c>
      <c r="AH114" s="152">
        <f>IF(Master20[[#This Row],[Status]]="Active",Master20[[#This Row],[Status_Score]],IF(D114="","",R114+H114+T114+V114+AG114+AE114+Master20[[#This Row],[Risk Mitigation]]+Master20[[#This Row],[Master Plan]]+Master20[[#This Row],[Community Request]]+Master20[[#This Row],[Community need]]+Master20[[#This Row],[Offset Aging Inf.]]+Master20[[#This Row],[Energy Savings]]+Master20[[#This Row],[Gen Revenue]]-5))</f>
        <v>61</v>
      </c>
      <c r="AI114" s="8"/>
      <c r="AJ114" s="8"/>
      <c r="AK114" s="8"/>
      <c r="AL114" s="8"/>
      <c r="AM114" s="8"/>
      <c r="AN114" s="10"/>
    </row>
    <row r="115" spans="1:40" ht="90" hidden="1" x14ac:dyDescent="0.25">
      <c r="A115" s="103">
        <f t="shared" si="18"/>
        <v>114</v>
      </c>
      <c r="B115" s="8" t="s">
        <v>1245</v>
      </c>
      <c r="C115" s="10" t="s">
        <v>1045</v>
      </c>
      <c r="D115" s="10" t="s">
        <v>1301</v>
      </c>
      <c r="E115" s="10" t="s">
        <v>1246</v>
      </c>
      <c r="F115" s="10" t="s">
        <v>1247</v>
      </c>
      <c r="G115" s="10" t="s">
        <v>29</v>
      </c>
      <c r="H115" s="10">
        <f t="shared" si="23"/>
        <v>0</v>
      </c>
      <c r="I115" s="49"/>
      <c r="J115" s="49"/>
      <c r="K115" s="49">
        <f>Master20[[#This Row],[Initial Budget]]-Master20[[#This Row],[Previously Committed Funds]]</f>
        <v>0</v>
      </c>
      <c r="L115" s="49"/>
      <c r="M115" s="49"/>
      <c r="N115" s="97">
        <f>Master20[[#This Row],[Design $ (Add/Deduct)]]+Master20[[#This Row],[Construction $ (Add/Ded)]]</f>
        <v>0</v>
      </c>
      <c r="O115" s="32">
        <v>75000</v>
      </c>
      <c r="P115" s="8">
        <v>2023</v>
      </c>
      <c r="Q115" s="10" t="s">
        <v>686</v>
      </c>
      <c r="R115" s="10">
        <f t="shared" si="20"/>
        <v>60</v>
      </c>
      <c r="S115" s="10">
        <v>1</v>
      </c>
      <c r="T115" s="10">
        <f t="shared" si="21"/>
        <v>3</v>
      </c>
      <c r="U115" s="10" t="s">
        <v>37</v>
      </c>
      <c r="V115" s="10">
        <f t="shared" si="22"/>
        <v>3</v>
      </c>
      <c r="W115" s="10" t="s">
        <v>29</v>
      </c>
      <c r="X115" s="10"/>
      <c r="Y115" s="10">
        <v>0</v>
      </c>
      <c r="Z115" s="10">
        <v>0</v>
      </c>
      <c r="AA115" s="10">
        <v>0</v>
      </c>
      <c r="AB115" s="10">
        <v>0</v>
      </c>
      <c r="AC115" s="10">
        <v>0</v>
      </c>
      <c r="AD115" s="10">
        <v>0</v>
      </c>
      <c r="AE115" s="10"/>
      <c r="AF115" s="10" t="s">
        <v>29</v>
      </c>
      <c r="AG115" s="10">
        <f>VLOOKUP(Master20[[#This Row],[Elevated Priority]],Epriority,2,)</f>
        <v>0</v>
      </c>
      <c r="AH115" s="10">
        <f>IF(Master20[[#This Row],[Status]]="Active",Master20[[#This Row],[Status_Score]],IF(D115="","",R115+H115+T115+V115+AG115+AE115+Master20[[#This Row],[Risk Mitigation]]+Master20[[#This Row],[Master Plan]]+Master20[[#This Row],[Community Request]]+Master20[[#This Row],[Community need]]+Master20[[#This Row],[Offset Aging Inf.]]+Master20[[#This Row],[Energy Savings]]+Master20[[#This Row],[Gen Revenue]]-5))</f>
        <v>61</v>
      </c>
      <c r="AI115" s="166"/>
      <c r="AJ115" s="166"/>
      <c r="AK115" s="166"/>
      <c r="AL115" s="166"/>
      <c r="AM115" s="166"/>
      <c r="AN115" s="165"/>
    </row>
    <row r="116" spans="1:40" ht="90" hidden="1" x14ac:dyDescent="0.25">
      <c r="A116" s="103">
        <f t="shared" si="18"/>
        <v>115</v>
      </c>
      <c r="B116" s="8" t="s">
        <v>67</v>
      </c>
      <c r="C116" s="10" t="s">
        <v>995</v>
      </c>
      <c r="D116" s="10" t="s">
        <v>806</v>
      </c>
      <c r="E116" s="10" t="s">
        <v>793</v>
      </c>
      <c r="F116" s="10" t="s">
        <v>991</v>
      </c>
      <c r="G116" s="10" t="s">
        <v>29</v>
      </c>
      <c r="H116" s="10">
        <f t="shared" si="23"/>
        <v>0</v>
      </c>
      <c r="I116" s="49"/>
      <c r="J116" s="49"/>
      <c r="K116" s="49">
        <f>Master20[[#This Row],[Initial Budget]]-Master20[[#This Row],[Previously Committed Funds]]</f>
        <v>0</v>
      </c>
      <c r="L116" s="49">
        <v>40000</v>
      </c>
      <c r="M116" s="49"/>
      <c r="N116" s="97">
        <f>Master20[[#This Row],[Design $ (Add/Deduct)]]+Master20[[#This Row],[Construction $ (Add/Ded)]]</f>
        <v>40000</v>
      </c>
      <c r="O116" s="32">
        <v>275000</v>
      </c>
      <c r="P116" s="8">
        <v>2020</v>
      </c>
      <c r="Q116" s="10" t="s">
        <v>686</v>
      </c>
      <c r="R116" s="8">
        <f t="shared" si="20"/>
        <v>60</v>
      </c>
      <c r="S116" s="8">
        <v>1</v>
      </c>
      <c r="T116" s="8">
        <f t="shared" si="21"/>
        <v>3</v>
      </c>
      <c r="U116" s="8" t="s">
        <v>41</v>
      </c>
      <c r="V116" s="8">
        <f t="shared" si="22"/>
        <v>4</v>
      </c>
      <c r="W116" s="8" t="s">
        <v>30</v>
      </c>
      <c r="X116" s="8">
        <v>0</v>
      </c>
      <c r="Y116" s="8">
        <v>0</v>
      </c>
      <c r="Z116" s="8">
        <v>0</v>
      </c>
      <c r="AA116" s="8">
        <v>0</v>
      </c>
      <c r="AB116" s="8">
        <v>0</v>
      </c>
      <c r="AC116" s="8">
        <v>0</v>
      </c>
      <c r="AD116" s="8">
        <v>0</v>
      </c>
      <c r="AF116" s="17" t="s">
        <v>29</v>
      </c>
      <c r="AG116" s="8">
        <f>VLOOKUP(Master20[[#This Row],[Elevated Priority]],Epriority,2,)</f>
        <v>0</v>
      </c>
      <c r="AH116" s="152">
        <f>IF(Master20[[#This Row],[Status]]="Active",Master20[[#This Row],[Status_Score]],IF(D116="","",R116+H116+T116+V116+AG116+AE116+Master20[[#This Row],[Risk Mitigation]]+Master20[[#This Row],[Master Plan]]+Master20[[#This Row],[Community Request]]+Master20[[#This Row],[Community need]]+Master20[[#This Row],[Offset Aging Inf.]]+Master20[[#This Row],[Energy Savings]]+Master20[[#This Row],[Gen Revenue]]-5))</f>
        <v>62</v>
      </c>
      <c r="AI116" s="8"/>
      <c r="AJ116" s="8">
        <v>2023</v>
      </c>
      <c r="AK116" s="8">
        <v>2024</v>
      </c>
      <c r="AL116" s="8">
        <v>2023</v>
      </c>
      <c r="AM116" s="8">
        <v>2024</v>
      </c>
      <c r="AN116" s="10"/>
    </row>
    <row r="117" spans="1:40" ht="30" x14ac:dyDescent="0.25">
      <c r="A117" s="103">
        <f t="shared" si="18"/>
        <v>116</v>
      </c>
      <c r="B117" s="8" t="s">
        <v>214</v>
      </c>
      <c r="C117" s="10" t="s">
        <v>1045</v>
      </c>
      <c r="D117" s="10" t="s">
        <v>459</v>
      </c>
      <c r="E117" s="10" t="s">
        <v>460</v>
      </c>
      <c r="F117" s="10" t="s">
        <v>461</v>
      </c>
      <c r="G117" s="10" t="s">
        <v>29</v>
      </c>
      <c r="H117" s="10">
        <f t="shared" si="23"/>
        <v>0</v>
      </c>
      <c r="I117" s="49"/>
      <c r="J117" s="49"/>
      <c r="K117" s="49">
        <f>Master20[[#This Row],[Initial Budget]]-Master20[[#This Row],[Previously Committed Funds]]</f>
        <v>0</v>
      </c>
      <c r="L117" s="49"/>
      <c r="M117" s="49"/>
      <c r="N117" s="97">
        <f>Master20[[#This Row],[Design $ (Add/Deduct)]]+Master20[[#This Row],[Construction $ (Add/Ded)]]</f>
        <v>0</v>
      </c>
      <c r="O117" s="32">
        <v>65000</v>
      </c>
      <c r="P117" s="8">
        <v>2018</v>
      </c>
      <c r="Q117" s="10" t="s">
        <v>688</v>
      </c>
      <c r="R117" s="8">
        <f t="shared" si="20"/>
        <v>20</v>
      </c>
      <c r="S117" s="8">
        <v>5</v>
      </c>
      <c r="T117" s="8">
        <f t="shared" si="21"/>
        <v>15</v>
      </c>
      <c r="U117" s="8" t="s">
        <v>45</v>
      </c>
      <c r="V117" s="8">
        <f t="shared" si="22"/>
        <v>32</v>
      </c>
      <c r="W117" s="8" t="s">
        <v>30</v>
      </c>
      <c r="X117" s="8">
        <v>0</v>
      </c>
      <c r="Y117" s="8">
        <v>0</v>
      </c>
      <c r="Z117" s="8">
        <v>0</v>
      </c>
      <c r="AA117" s="8">
        <v>0</v>
      </c>
      <c r="AB117" s="8">
        <v>0</v>
      </c>
      <c r="AC117" s="8">
        <v>0</v>
      </c>
      <c r="AD117" s="8">
        <v>0</v>
      </c>
      <c r="AF117" s="17" t="s">
        <v>29</v>
      </c>
      <c r="AG117" s="8">
        <f>VLOOKUP(Master20[[#This Row],[Elevated Priority]],Epriority,2,)</f>
        <v>0</v>
      </c>
      <c r="AH117" s="152">
        <f>IF(Master20[[#This Row],[Status]]="Active",Master20[[#This Row],[Status_Score]],IF(D117="","",R117+H117+T117+V117+AG117+AE117+Master20[[#This Row],[Risk Mitigation]]+Master20[[#This Row],[Master Plan]]+Master20[[#This Row],[Community Request]]+Master20[[#This Row],[Community need]]+Master20[[#This Row],[Offset Aging Inf.]]+Master20[[#This Row],[Energy Savings]]+Master20[[#This Row],[Gen Revenue]]-5))</f>
        <v>62</v>
      </c>
      <c r="AI117" s="8"/>
      <c r="AJ117" s="8"/>
      <c r="AK117" s="8"/>
      <c r="AL117" s="8"/>
      <c r="AM117" s="8"/>
      <c r="AN117" s="10"/>
    </row>
    <row r="118" spans="1:40" ht="165" hidden="1" x14ac:dyDescent="0.25">
      <c r="A118" s="103">
        <f t="shared" si="18"/>
        <v>117</v>
      </c>
      <c r="B118" s="123" t="s">
        <v>1190</v>
      </c>
      <c r="C118" s="10" t="s">
        <v>299</v>
      </c>
      <c r="D118" s="10" t="s">
        <v>1064</v>
      </c>
      <c r="E118" s="10" t="s">
        <v>1065</v>
      </c>
      <c r="F118" s="10" t="s">
        <v>1272</v>
      </c>
      <c r="G118" s="10" t="s">
        <v>29</v>
      </c>
      <c r="H118" s="10">
        <f t="shared" si="23"/>
        <v>0</v>
      </c>
      <c r="I118" s="49"/>
      <c r="J118" s="49"/>
      <c r="K118" s="49">
        <f>Master20[[#This Row],[Initial Budget]]-Master20[[#This Row],[Previously Committed Funds]]</f>
        <v>0</v>
      </c>
      <c r="L118" s="49"/>
      <c r="M118" s="49"/>
      <c r="N118" s="97">
        <f>Master20[[#This Row],[Design $ (Add/Deduct)]]+Master20[[#This Row],[Construction $ (Add/Ded)]]</f>
        <v>0</v>
      </c>
      <c r="O118" s="32">
        <v>12000</v>
      </c>
      <c r="P118" s="8">
        <v>2022</v>
      </c>
      <c r="Q118" s="10" t="s">
        <v>686</v>
      </c>
      <c r="R118" s="8">
        <f t="shared" si="20"/>
        <v>60</v>
      </c>
      <c r="S118" s="8">
        <v>2</v>
      </c>
      <c r="T118" s="8">
        <f t="shared" si="21"/>
        <v>6</v>
      </c>
      <c r="U118" s="8" t="s">
        <v>37</v>
      </c>
      <c r="V118" s="8">
        <f t="shared" si="22"/>
        <v>3</v>
      </c>
      <c r="W118" s="8" t="s">
        <v>34</v>
      </c>
      <c r="X118" s="8">
        <v>0</v>
      </c>
      <c r="Y118" s="8">
        <v>0</v>
      </c>
      <c r="Z118" s="8">
        <v>0</v>
      </c>
      <c r="AA118" s="8">
        <v>0</v>
      </c>
      <c r="AB118" s="8">
        <v>-2</v>
      </c>
      <c r="AC118" s="8">
        <v>0</v>
      </c>
      <c r="AD118" s="8">
        <v>0</v>
      </c>
      <c r="AF118" s="17" t="s">
        <v>29</v>
      </c>
      <c r="AG118" s="8">
        <f>VLOOKUP(Master20[[#This Row],[Elevated Priority]],Epriority,2,)</f>
        <v>0</v>
      </c>
      <c r="AH118" s="152">
        <f>IF(Master20[[#This Row],[Status]]="Active",Master20[[#This Row],[Status_Score]],IF(D118="","",R118+H118+T118+V118+AG118+AE118+Master20[[#This Row],[Risk Mitigation]]+Master20[[#This Row],[Master Plan]]+Master20[[#This Row],[Community Request]]+Master20[[#This Row],[Community need]]+Master20[[#This Row],[Offset Aging Inf.]]+Master20[[#This Row],[Energy Savings]]+Master20[[#This Row],[Gen Revenue]]-5))</f>
        <v>62</v>
      </c>
      <c r="AI118" s="8"/>
      <c r="AJ118" s="8"/>
      <c r="AK118" s="8"/>
      <c r="AL118" s="8"/>
      <c r="AM118" s="8"/>
      <c r="AN118" s="10"/>
    </row>
    <row r="119" spans="1:40" ht="60" x14ac:dyDescent="0.25">
      <c r="A119" s="103">
        <f t="shared" si="18"/>
        <v>118</v>
      </c>
      <c r="B119" s="8" t="s">
        <v>214</v>
      </c>
      <c r="C119" s="10" t="s">
        <v>1045</v>
      </c>
      <c r="D119" s="10" t="s">
        <v>1239</v>
      </c>
      <c r="E119" s="10" t="s">
        <v>1240</v>
      </c>
      <c r="F119" s="10" t="s">
        <v>1241</v>
      </c>
      <c r="G119" s="10" t="s">
        <v>29</v>
      </c>
      <c r="H119" s="10">
        <f t="shared" si="23"/>
        <v>0</v>
      </c>
      <c r="I119" s="49"/>
      <c r="J119" s="49"/>
      <c r="K119" s="49">
        <f>Master20[[#This Row],[Initial Budget]]-Master20[[#This Row],[Previously Committed Funds]]</f>
        <v>0</v>
      </c>
      <c r="L119" s="49"/>
      <c r="M119" s="49"/>
      <c r="N119" s="97">
        <f>Master20[[#This Row],[Design $ (Add/Deduct)]]+Master20[[#This Row],[Construction $ (Add/Ded)]]</f>
        <v>0</v>
      </c>
      <c r="O119" s="32">
        <v>10000</v>
      </c>
      <c r="P119" s="8">
        <v>2023</v>
      </c>
      <c r="Q119" s="8" t="s">
        <v>686</v>
      </c>
      <c r="R119" s="10">
        <f t="shared" si="20"/>
        <v>60</v>
      </c>
      <c r="S119" s="10">
        <v>1</v>
      </c>
      <c r="T119" s="10">
        <f t="shared" si="21"/>
        <v>3</v>
      </c>
      <c r="U119" s="10" t="s">
        <v>41</v>
      </c>
      <c r="V119" s="10">
        <f t="shared" si="22"/>
        <v>4</v>
      </c>
      <c r="W119" s="10" t="s">
        <v>29</v>
      </c>
      <c r="X119" s="49"/>
      <c r="Y119" s="49">
        <v>0</v>
      </c>
      <c r="Z119" s="49">
        <v>0</v>
      </c>
      <c r="AA119" s="49">
        <v>0</v>
      </c>
      <c r="AB119" s="49">
        <v>0</v>
      </c>
      <c r="AC119" s="97">
        <v>0</v>
      </c>
      <c r="AD119" s="32">
        <v>0</v>
      </c>
      <c r="AF119" s="8" t="s">
        <v>29</v>
      </c>
      <c r="AG119" s="10">
        <f>VLOOKUP(Master20[[#This Row],[Elevated Priority]],Epriority,2,)</f>
        <v>0</v>
      </c>
      <c r="AH119" s="10">
        <f>IF(Master20[[#This Row],[Status]]="Active",Master20[[#This Row],[Status_Score]],IF(D119="","",R119+H119+T119+V119+AG119+AE119+Master20[[#This Row],[Risk Mitigation]]+Master20[[#This Row],[Master Plan]]+Master20[[#This Row],[Community Request]]+Master20[[#This Row],[Community need]]+Master20[[#This Row],[Offset Aging Inf.]]+Master20[[#This Row],[Energy Savings]]+Master20[[#This Row],[Gen Revenue]]-5))</f>
        <v>62</v>
      </c>
      <c r="AI119" s="166"/>
      <c r="AJ119" s="166"/>
      <c r="AK119" s="166"/>
      <c r="AL119" s="166"/>
      <c r="AM119" s="166"/>
      <c r="AN119" s="165"/>
    </row>
    <row r="120" spans="1:40" ht="45" hidden="1" x14ac:dyDescent="0.25">
      <c r="A120" s="103">
        <f t="shared" si="18"/>
        <v>119</v>
      </c>
      <c r="B120" s="123" t="s">
        <v>1206</v>
      </c>
      <c r="C120" s="10" t="s">
        <v>1196</v>
      </c>
      <c r="D120" s="10" t="s">
        <v>444</v>
      </c>
      <c r="E120" s="10" t="s">
        <v>445</v>
      </c>
      <c r="F120" s="10" t="s">
        <v>446</v>
      </c>
      <c r="G120" s="10" t="s">
        <v>29</v>
      </c>
      <c r="H120" s="10">
        <f t="shared" si="23"/>
        <v>0</v>
      </c>
      <c r="I120" s="49"/>
      <c r="J120" s="49"/>
      <c r="K120" s="49">
        <f>Master20[[#This Row],[Initial Budget]]-Master20[[#This Row],[Previously Committed Funds]]</f>
        <v>0</v>
      </c>
      <c r="L120" s="49"/>
      <c r="M120" s="49"/>
      <c r="N120" s="97">
        <f>Master20[[#This Row],[Design $ (Add/Deduct)]]+Master20[[#This Row],[Construction $ (Add/Ded)]]</f>
        <v>0</v>
      </c>
      <c r="O120" s="32">
        <v>5000000</v>
      </c>
      <c r="P120" s="8">
        <v>2018</v>
      </c>
      <c r="Q120" s="10" t="s">
        <v>687</v>
      </c>
      <c r="R120" s="8">
        <f t="shared" si="20"/>
        <v>30</v>
      </c>
      <c r="S120" s="8">
        <v>2</v>
      </c>
      <c r="T120" s="8">
        <f t="shared" si="21"/>
        <v>6</v>
      </c>
      <c r="U120" s="8" t="s">
        <v>45</v>
      </c>
      <c r="V120" s="8">
        <f t="shared" si="22"/>
        <v>32</v>
      </c>
      <c r="W120" s="8" t="s">
        <v>30</v>
      </c>
      <c r="X120" s="8">
        <v>0</v>
      </c>
      <c r="Y120" s="8">
        <v>0</v>
      </c>
      <c r="Z120" s="8">
        <v>0</v>
      </c>
      <c r="AA120" s="8">
        <v>0</v>
      </c>
      <c r="AB120" s="8">
        <v>0</v>
      </c>
      <c r="AC120" s="8">
        <v>0</v>
      </c>
      <c r="AD120" s="8">
        <v>0</v>
      </c>
      <c r="AF120" s="17" t="s">
        <v>29</v>
      </c>
      <c r="AG120" s="8">
        <f>VLOOKUP(Master20[[#This Row],[Elevated Priority]],Epriority,2,)</f>
        <v>0</v>
      </c>
      <c r="AH120" s="152">
        <f>IF(Master20[[#This Row],[Status]]="Active",Master20[[#This Row],[Status_Score]],IF(D120="","",R120+H120+T120+V120+AG120+AE120+Master20[[#This Row],[Risk Mitigation]]+Master20[[#This Row],[Master Plan]]+Master20[[#This Row],[Community Request]]+Master20[[#This Row],[Community need]]+Master20[[#This Row],[Offset Aging Inf.]]+Master20[[#This Row],[Energy Savings]]+Master20[[#This Row],[Gen Revenue]]-5))</f>
        <v>63</v>
      </c>
      <c r="AI120" s="8"/>
      <c r="AJ120" s="8"/>
      <c r="AK120" s="8"/>
      <c r="AL120" s="8"/>
      <c r="AM120" s="8"/>
      <c r="AN120" s="10"/>
    </row>
    <row r="121" spans="1:40" ht="90" hidden="1" x14ac:dyDescent="0.25">
      <c r="A121" s="103">
        <f t="shared" si="18"/>
        <v>120</v>
      </c>
      <c r="B121" s="8" t="s">
        <v>143</v>
      </c>
      <c r="C121" s="10" t="s">
        <v>299</v>
      </c>
      <c r="D121" s="10" t="s">
        <v>1069</v>
      </c>
      <c r="E121" s="10" t="s">
        <v>1070</v>
      </c>
      <c r="F121" s="10" t="s">
        <v>1071</v>
      </c>
      <c r="G121" s="10" t="s">
        <v>29</v>
      </c>
      <c r="H121" s="10">
        <f t="shared" si="23"/>
        <v>0</v>
      </c>
      <c r="I121" s="49"/>
      <c r="J121" s="49"/>
      <c r="K121" s="49">
        <f>Master20[[#This Row],[Initial Budget]]-Master20[[#This Row],[Previously Committed Funds]]</f>
        <v>0</v>
      </c>
      <c r="L121" s="49"/>
      <c r="M121" s="49"/>
      <c r="N121" s="97">
        <f>Master20[[#This Row],[Design $ (Add/Deduct)]]+Master20[[#This Row],[Construction $ (Add/Ded)]]</f>
        <v>0</v>
      </c>
      <c r="O121" s="32">
        <v>5000</v>
      </c>
      <c r="P121" s="8">
        <v>2022</v>
      </c>
      <c r="Q121" s="10" t="s">
        <v>686</v>
      </c>
      <c r="R121" s="8">
        <f t="shared" si="20"/>
        <v>60</v>
      </c>
      <c r="S121" s="8">
        <v>2</v>
      </c>
      <c r="T121" s="8">
        <f t="shared" si="21"/>
        <v>6</v>
      </c>
      <c r="U121" s="8" t="s">
        <v>37</v>
      </c>
      <c r="V121" s="8">
        <f t="shared" si="22"/>
        <v>3</v>
      </c>
      <c r="W121" s="8" t="s">
        <v>30</v>
      </c>
      <c r="X121" s="8">
        <v>0</v>
      </c>
      <c r="Y121" s="8">
        <v>0</v>
      </c>
      <c r="Z121" s="8">
        <v>0</v>
      </c>
      <c r="AA121" s="8">
        <v>0</v>
      </c>
      <c r="AB121" s="8">
        <v>0</v>
      </c>
      <c r="AC121" s="8">
        <v>0</v>
      </c>
      <c r="AD121" s="8">
        <v>-1</v>
      </c>
      <c r="AF121" s="17" t="s">
        <v>29</v>
      </c>
      <c r="AG121" s="8">
        <f>VLOOKUP(Master20[[#This Row],[Elevated Priority]],Epriority,2,)</f>
        <v>0</v>
      </c>
      <c r="AH121" s="152">
        <f>IF(Master20[[#This Row],[Status]]="Active",Master20[[#This Row],[Status_Score]],IF(D121="","",R121+H121+T121+V121+AG121+AE121+Master20[[#This Row],[Risk Mitigation]]+Master20[[#This Row],[Master Plan]]+Master20[[#This Row],[Community Request]]+Master20[[#This Row],[Community need]]+Master20[[#This Row],[Offset Aging Inf.]]+Master20[[#This Row],[Energy Savings]]+Master20[[#This Row],[Gen Revenue]]-5))</f>
        <v>63</v>
      </c>
      <c r="AI121" s="8"/>
      <c r="AJ121" s="8"/>
      <c r="AK121" s="8"/>
      <c r="AL121" s="8"/>
      <c r="AM121" s="8"/>
      <c r="AN121" s="10"/>
    </row>
    <row r="122" spans="1:40" ht="27" hidden="1" customHeight="1" x14ac:dyDescent="0.25">
      <c r="A122" s="103">
        <f t="shared" si="18"/>
        <v>121</v>
      </c>
      <c r="B122" s="123" t="s">
        <v>1206</v>
      </c>
      <c r="C122" s="10" t="s">
        <v>1196</v>
      </c>
      <c r="D122" s="10" t="s">
        <v>1133</v>
      </c>
      <c r="E122" s="10" t="s">
        <v>1134</v>
      </c>
      <c r="F122" s="10"/>
      <c r="G122" s="10" t="s">
        <v>29</v>
      </c>
      <c r="H122" s="10">
        <f t="shared" si="23"/>
        <v>0</v>
      </c>
      <c r="I122" s="49"/>
      <c r="J122" s="49"/>
      <c r="K122" s="49">
        <f>Master20[[#This Row],[Initial Budget]]-Master20[[#This Row],[Previously Committed Funds]]</f>
        <v>0</v>
      </c>
      <c r="L122" s="49"/>
      <c r="M122" s="49"/>
      <c r="N122" s="97">
        <f>Master20[[#This Row],[Design $ (Add/Deduct)]]+Master20[[#This Row],[Construction $ (Add/Ded)]]</f>
        <v>0</v>
      </c>
      <c r="O122" s="32">
        <v>10000000</v>
      </c>
      <c r="P122" s="8">
        <v>2019</v>
      </c>
      <c r="Q122" s="10" t="s">
        <v>46</v>
      </c>
      <c r="R122" s="8">
        <f t="shared" si="20"/>
        <v>50</v>
      </c>
      <c r="S122" s="8">
        <v>6</v>
      </c>
      <c r="T122" s="8">
        <f t="shared" si="21"/>
        <v>18</v>
      </c>
      <c r="U122" s="8" t="s">
        <v>45</v>
      </c>
      <c r="W122" s="8" t="s">
        <v>34</v>
      </c>
      <c r="X122" s="8">
        <v>0</v>
      </c>
      <c r="Y122" s="8">
        <v>0</v>
      </c>
      <c r="Z122" s="8">
        <v>0</v>
      </c>
      <c r="AA122" s="8">
        <v>0</v>
      </c>
      <c r="AB122" s="8">
        <v>0</v>
      </c>
      <c r="AC122" s="8">
        <v>0</v>
      </c>
      <c r="AD122" s="8">
        <v>0</v>
      </c>
      <c r="AF122" s="17" t="s">
        <v>29</v>
      </c>
      <c r="AG122" s="8">
        <f>VLOOKUP(Master20[[#This Row],[Elevated Priority]],Epriority,2,)</f>
        <v>0</v>
      </c>
      <c r="AH122" s="152">
        <f>IF(Master20[[#This Row],[Status]]="Active",Master20[[#This Row],[Status_Score]],IF(D122="","",R122+H122+T122+V122+AG122+AE122+Master20[[#This Row],[Risk Mitigation]]+Master20[[#This Row],[Master Plan]]+Master20[[#This Row],[Community Request]]+Master20[[#This Row],[Community need]]+Master20[[#This Row],[Offset Aging Inf.]]+Master20[[#This Row],[Energy Savings]]+Master20[[#This Row],[Gen Revenue]]-5))</f>
        <v>63</v>
      </c>
      <c r="AI122" s="8"/>
      <c r="AJ122" s="8">
        <v>2024</v>
      </c>
      <c r="AK122" s="8">
        <v>2025</v>
      </c>
      <c r="AL122" s="8">
        <v>2024</v>
      </c>
      <c r="AM122" s="8">
        <v>2025</v>
      </c>
      <c r="AN122" s="10"/>
    </row>
    <row r="123" spans="1:40" ht="30" hidden="1" x14ac:dyDescent="0.25">
      <c r="A123" s="103">
        <f t="shared" si="18"/>
        <v>122</v>
      </c>
      <c r="B123" s="8" t="s">
        <v>1195</v>
      </c>
      <c r="C123" s="10" t="s">
        <v>1045</v>
      </c>
      <c r="D123" s="10" t="s">
        <v>381</v>
      </c>
      <c r="E123" s="10" t="s">
        <v>382</v>
      </c>
      <c r="F123" s="10" t="s">
        <v>383</v>
      </c>
      <c r="G123" s="10" t="s">
        <v>29</v>
      </c>
      <c r="H123" s="10">
        <f t="shared" si="23"/>
        <v>0</v>
      </c>
      <c r="I123" s="49"/>
      <c r="J123" s="49"/>
      <c r="K123" s="49">
        <f>Master20[[#This Row],[Initial Budget]]-Master20[[#This Row],[Previously Committed Funds]]</f>
        <v>0</v>
      </c>
      <c r="L123" s="49"/>
      <c r="M123" s="49"/>
      <c r="N123" s="97">
        <f>Master20[[#This Row],[Design $ (Add/Deduct)]]+Master20[[#This Row],[Construction $ (Add/Ded)]]</f>
        <v>0</v>
      </c>
      <c r="O123" s="32">
        <v>15000000</v>
      </c>
      <c r="P123" s="8">
        <v>2018</v>
      </c>
      <c r="Q123" s="10" t="s">
        <v>688</v>
      </c>
      <c r="R123" s="8">
        <f t="shared" si="20"/>
        <v>20</v>
      </c>
      <c r="S123" s="8">
        <v>1</v>
      </c>
      <c r="T123" s="8">
        <f t="shared" si="21"/>
        <v>3</v>
      </c>
      <c r="U123" s="8" t="s">
        <v>47</v>
      </c>
      <c r="V123" s="8">
        <f t="shared" ref="V123:V154" si="24">VLOOKUP(U123,Urgency,2,FALSE)</f>
        <v>64</v>
      </c>
      <c r="W123" s="8" t="s">
        <v>34</v>
      </c>
      <c r="X123" s="8">
        <v>-5</v>
      </c>
      <c r="Y123" s="8">
        <v>0</v>
      </c>
      <c r="Z123" s="8">
        <v>-3</v>
      </c>
      <c r="AA123" s="8">
        <v>-3</v>
      </c>
      <c r="AB123" s="8">
        <v>0</v>
      </c>
      <c r="AC123" s="8">
        <v>-3</v>
      </c>
      <c r="AD123" s="8">
        <v>-3</v>
      </c>
      <c r="AF123" s="17" t="s">
        <v>29</v>
      </c>
      <c r="AG123" s="8">
        <f>VLOOKUP(Master20[[#This Row],[Elevated Priority]],Epriority,2,)</f>
        <v>0</v>
      </c>
      <c r="AH123" s="152">
        <f>IF(Master20[[#This Row],[Status]]="Active",Master20[[#This Row],[Status_Score]],IF(D123="","",R123+H123+T123+V123+AG123+AE123+Master20[[#This Row],[Risk Mitigation]]+Master20[[#This Row],[Master Plan]]+Master20[[#This Row],[Community Request]]+Master20[[#This Row],[Community need]]+Master20[[#This Row],[Offset Aging Inf.]]+Master20[[#This Row],[Energy Savings]]+Master20[[#This Row],[Gen Revenue]]-5))</f>
        <v>65</v>
      </c>
      <c r="AI123" s="8"/>
      <c r="AJ123" s="8"/>
      <c r="AK123" s="8"/>
      <c r="AL123" s="8"/>
      <c r="AM123" s="8"/>
      <c r="AN123" s="10"/>
    </row>
    <row r="124" spans="1:40" ht="105" hidden="1" x14ac:dyDescent="0.25">
      <c r="A124" s="103">
        <f t="shared" si="18"/>
        <v>123</v>
      </c>
      <c r="B124" s="8" t="s">
        <v>1209</v>
      </c>
      <c r="C124" s="10" t="s">
        <v>923</v>
      </c>
      <c r="D124" s="10" t="s">
        <v>1072</v>
      </c>
      <c r="E124" s="10" t="s">
        <v>1073</v>
      </c>
      <c r="F124" s="10" t="s">
        <v>1074</v>
      </c>
      <c r="G124" s="10" t="s">
        <v>29</v>
      </c>
      <c r="H124" s="10">
        <f t="shared" si="23"/>
        <v>0</v>
      </c>
      <c r="I124" s="49"/>
      <c r="J124" s="49"/>
      <c r="K124" s="49">
        <f>Master20[[#This Row],[Initial Budget]]-Master20[[#This Row],[Previously Committed Funds]]</f>
        <v>0</v>
      </c>
      <c r="L124" s="49"/>
      <c r="M124" s="49"/>
      <c r="N124" s="97">
        <f>Master20[[#This Row],[Design $ (Add/Deduct)]]+Master20[[#This Row],[Construction $ (Add/Ded)]]</f>
        <v>0</v>
      </c>
      <c r="O124" s="32">
        <v>50000</v>
      </c>
      <c r="P124" s="8">
        <v>2022</v>
      </c>
      <c r="Q124" s="10" t="s">
        <v>686</v>
      </c>
      <c r="R124" s="8">
        <f t="shared" si="20"/>
        <v>60</v>
      </c>
      <c r="S124" s="8">
        <v>3</v>
      </c>
      <c r="T124" s="8">
        <f t="shared" ref="T124:T155" si="25">VLOOKUP(S124,Department,2,FALSE)</f>
        <v>9</v>
      </c>
      <c r="U124" s="8" t="s">
        <v>37</v>
      </c>
      <c r="V124" s="8">
        <f t="shared" si="24"/>
        <v>3</v>
      </c>
      <c r="W124" s="8" t="s">
        <v>34</v>
      </c>
      <c r="X124" s="8">
        <v>0</v>
      </c>
      <c r="Y124" s="8">
        <v>0</v>
      </c>
      <c r="Z124" s="8">
        <v>0</v>
      </c>
      <c r="AA124" s="8">
        <v>0</v>
      </c>
      <c r="AB124" s="8">
        <v>-2</v>
      </c>
      <c r="AC124" s="8">
        <v>0</v>
      </c>
      <c r="AD124" s="8">
        <v>0</v>
      </c>
      <c r="AF124" s="17" t="s">
        <v>29</v>
      </c>
      <c r="AG124" s="8">
        <f>VLOOKUP(Master20[[#This Row],[Elevated Priority]],Epriority,2,)</f>
        <v>0</v>
      </c>
      <c r="AH124" s="152">
        <f>IF(Master20[[#This Row],[Status]]="Active",Master20[[#This Row],[Status_Score]],IF(D124="","",R124+H124+T124+V124+AG124+AE124+Master20[[#This Row],[Risk Mitigation]]+Master20[[#This Row],[Master Plan]]+Master20[[#This Row],[Community Request]]+Master20[[#This Row],[Community need]]+Master20[[#This Row],[Offset Aging Inf.]]+Master20[[#This Row],[Energy Savings]]+Master20[[#This Row],[Gen Revenue]]-5))</f>
        <v>65</v>
      </c>
      <c r="AI124" s="8"/>
      <c r="AJ124" s="8"/>
      <c r="AK124" s="8"/>
      <c r="AL124" s="8">
        <v>2023</v>
      </c>
      <c r="AM124" s="8">
        <v>2024</v>
      </c>
      <c r="AN124" s="10"/>
    </row>
    <row r="125" spans="1:40" ht="150" hidden="1" x14ac:dyDescent="0.25">
      <c r="A125" s="103">
        <f t="shared" si="18"/>
        <v>124</v>
      </c>
      <c r="B125" s="8" t="s">
        <v>1242</v>
      </c>
      <c r="C125" s="10" t="s">
        <v>1045</v>
      </c>
      <c r="D125" s="10" t="s">
        <v>1302</v>
      </c>
      <c r="E125" s="10" t="s">
        <v>1297</v>
      </c>
      <c r="F125" s="10" t="s">
        <v>1266</v>
      </c>
      <c r="G125" s="10" t="s">
        <v>29</v>
      </c>
      <c r="H125" s="10">
        <f t="shared" si="23"/>
        <v>0</v>
      </c>
      <c r="I125" s="49"/>
      <c r="J125" s="49"/>
      <c r="K125" s="49">
        <f>Master20[[#This Row],[Initial Budget]]-Master20[[#This Row],[Previously Committed Funds]]</f>
        <v>0</v>
      </c>
      <c r="L125" s="49"/>
      <c r="M125" s="49"/>
      <c r="N125" s="97">
        <f>Master20[[#This Row],[Design $ (Add/Deduct)]]+Master20[[#This Row],[Construction $ (Add/Ded)]]</f>
        <v>0</v>
      </c>
      <c r="O125" s="32">
        <v>3000000</v>
      </c>
      <c r="P125" s="8">
        <v>2023</v>
      </c>
      <c r="Q125" s="10" t="s">
        <v>686</v>
      </c>
      <c r="R125" s="8">
        <f t="shared" si="20"/>
        <v>60</v>
      </c>
      <c r="S125" s="8">
        <v>2</v>
      </c>
      <c r="T125" s="8">
        <f t="shared" si="25"/>
        <v>6</v>
      </c>
      <c r="U125" s="8" t="s">
        <v>41</v>
      </c>
      <c r="V125" s="8">
        <f t="shared" si="24"/>
        <v>4</v>
      </c>
      <c r="W125" s="8" t="s">
        <v>29</v>
      </c>
      <c r="Y125" s="8">
        <v>0</v>
      </c>
      <c r="Z125" s="8">
        <v>0</v>
      </c>
      <c r="AA125" s="8">
        <v>0</v>
      </c>
      <c r="AB125" s="8">
        <v>0</v>
      </c>
      <c r="AC125" s="8">
        <v>0</v>
      </c>
      <c r="AD125" s="8">
        <v>0</v>
      </c>
      <c r="AF125" s="17" t="s">
        <v>29</v>
      </c>
      <c r="AG125" s="8">
        <f>VLOOKUP(Master20[[#This Row],[Elevated Priority]],Epriority,2,)</f>
        <v>0</v>
      </c>
      <c r="AH125" s="152">
        <f>IF(Master20[[#This Row],[Status]]="Active",Master20[[#This Row],[Status_Score]],IF(D125="","",R125+H125+T125+V125+AG125+AE125+Master20[[#This Row],[Risk Mitigation]]+Master20[[#This Row],[Master Plan]]+Master20[[#This Row],[Community Request]]+Master20[[#This Row],[Community need]]+Master20[[#This Row],[Offset Aging Inf.]]+Master20[[#This Row],[Energy Savings]]+Master20[[#This Row],[Gen Revenue]]-5))</f>
        <v>65</v>
      </c>
      <c r="AI125" s="166"/>
      <c r="AJ125" s="166"/>
      <c r="AK125" s="166"/>
      <c r="AL125" s="166"/>
      <c r="AM125" s="166"/>
      <c r="AN125" s="165"/>
    </row>
    <row r="126" spans="1:40" ht="75" hidden="1" x14ac:dyDescent="0.25">
      <c r="A126" s="103">
        <f t="shared" si="18"/>
        <v>125</v>
      </c>
      <c r="B126" s="8" t="s">
        <v>143</v>
      </c>
      <c r="C126" s="10" t="s">
        <v>1045</v>
      </c>
      <c r="D126" s="10" t="s">
        <v>1285</v>
      </c>
      <c r="E126" s="10" t="s">
        <v>1286</v>
      </c>
      <c r="F126" s="10" t="s">
        <v>1287</v>
      </c>
      <c r="G126" s="10" t="s">
        <v>29</v>
      </c>
      <c r="H126" s="10">
        <f t="shared" si="23"/>
        <v>0</v>
      </c>
      <c r="I126" s="49"/>
      <c r="J126" s="49"/>
      <c r="K126" s="49">
        <f>Master20[[#This Row],[Initial Budget]]-Master20[[#This Row],[Previously Committed Funds]]</f>
        <v>0</v>
      </c>
      <c r="L126" s="49"/>
      <c r="M126" s="49"/>
      <c r="N126" s="97">
        <f>Master20[[#This Row],[Design $ (Add/Deduct)]]+Master20[[#This Row],[Construction $ (Add/Ded)]]</f>
        <v>0</v>
      </c>
      <c r="O126" s="32">
        <v>150000</v>
      </c>
      <c r="P126" s="8">
        <v>2023</v>
      </c>
      <c r="Q126" s="10" t="s">
        <v>686</v>
      </c>
      <c r="R126" s="8">
        <f t="shared" si="20"/>
        <v>60</v>
      </c>
      <c r="S126" s="8">
        <v>2</v>
      </c>
      <c r="T126" s="8">
        <f t="shared" si="25"/>
        <v>6</v>
      </c>
      <c r="U126" s="8" t="s">
        <v>41</v>
      </c>
      <c r="V126" s="8">
        <f t="shared" si="24"/>
        <v>4</v>
      </c>
      <c r="W126" s="8" t="s">
        <v>29</v>
      </c>
      <c r="Y126" s="8">
        <v>0</v>
      </c>
      <c r="Z126" s="8">
        <v>0</v>
      </c>
      <c r="AA126" s="8">
        <v>0</v>
      </c>
      <c r="AB126" s="8">
        <v>0</v>
      </c>
      <c r="AC126" s="8">
        <v>0</v>
      </c>
      <c r="AD126" s="8">
        <v>0</v>
      </c>
      <c r="AF126" s="17" t="s">
        <v>29</v>
      </c>
      <c r="AG126" s="8">
        <f>VLOOKUP(Master20[[#This Row],[Elevated Priority]],Epriority,2,)</f>
        <v>0</v>
      </c>
      <c r="AH126" s="152">
        <f>IF(Master20[[#This Row],[Status]]="Active",Master20[[#This Row],[Status_Score]],IF(D126="","",R126+H126+T126+V126+AG126+AE126+Master20[[#This Row],[Risk Mitigation]]+Master20[[#This Row],[Master Plan]]+Master20[[#This Row],[Community Request]]+Master20[[#This Row],[Community need]]+Master20[[#This Row],[Offset Aging Inf.]]+Master20[[#This Row],[Energy Savings]]+Master20[[#This Row],[Gen Revenue]]-5))</f>
        <v>65</v>
      </c>
      <c r="AI126" s="166"/>
      <c r="AJ126" s="166"/>
      <c r="AK126" s="166"/>
      <c r="AL126" s="166"/>
      <c r="AM126" s="166"/>
      <c r="AN126" s="165"/>
    </row>
    <row r="127" spans="1:40" ht="30" hidden="1" x14ac:dyDescent="0.25">
      <c r="A127" s="103">
        <f t="shared" si="18"/>
        <v>126</v>
      </c>
      <c r="B127" s="8" t="s">
        <v>65</v>
      </c>
      <c r="C127" s="10" t="s">
        <v>1045</v>
      </c>
      <c r="D127" s="10" t="s">
        <v>910</v>
      </c>
      <c r="E127" s="10" t="s">
        <v>919</v>
      </c>
      <c r="F127" s="10" t="s">
        <v>920</v>
      </c>
      <c r="G127" s="10" t="s">
        <v>29</v>
      </c>
      <c r="H127" s="10">
        <f t="shared" si="23"/>
        <v>0</v>
      </c>
      <c r="I127" s="49"/>
      <c r="J127" s="49"/>
      <c r="K127" s="49">
        <f>Master20[[#This Row],[Initial Budget]]-Master20[[#This Row],[Previously Committed Funds]]</f>
        <v>0</v>
      </c>
      <c r="L127" s="49"/>
      <c r="M127" s="49"/>
      <c r="N127" s="97">
        <f>Master20[[#This Row],[Design $ (Add/Deduct)]]+Master20[[#This Row],[Construction $ (Add/Ded)]]</f>
        <v>0</v>
      </c>
      <c r="O127" s="32">
        <v>5000000</v>
      </c>
      <c r="P127" s="8">
        <v>2018</v>
      </c>
      <c r="Q127" s="10" t="s">
        <v>46</v>
      </c>
      <c r="R127" s="8">
        <f t="shared" si="20"/>
        <v>50</v>
      </c>
      <c r="S127" s="8">
        <v>6</v>
      </c>
      <c r="T127" s="8">
        <f t="shared" si="25"/>
        <v>18</v>
      </c>
      <c r="U127" s="8" t="s">
        <v>43</v>
      </c>
      <c r="V127" s="8">
        <f t="shared" si="24"/>
        <v>16</v>
      </c>
      <c r="W127" s="8" t="s">
        <v>34</v>
      </c>
      <c r="X127" s="8">
        <v>-3</v>
      </c>
      <c r="Y127" s="8">
        <v>0</v>
      </c>
      <c r="Z127" s="8">
        <v>0</v>
      </c>
      <c r="AA127" s="8">
        <v>-3</v>
      </c>
      <c r="AB127" s="8">
        <v>-2</v>
      </c>
      <c r="AC127" s="8">
        <v>-5</v>
      </c>
      <c r="AD127" s="8">
        <v>0</v>
      </c>
      <c r="AF127" s="17" t="s">
        <v>29</v>
      </c>
      <c r="AG127" s="8">
        <f>VLOOKUP(Master20[[#This Row],[Elevated Priority]],Epriority,2,)</f>
        <v>0</v>
      </c>
      <c r="AH127" s="152">
        <f>IF(Master20[[#This Row],[Status]]="Active",Master20[[#This Row],[Status_Score]],IF(D127="","",R127+H127+T127+V127+AG127+AE127+Master20[[#This Row],[Risk Mitigation]]+Master20[[#This Row],[Master Plan]]+Master20[[#This Row],[Community Request]]+Master20[[#This Row],[Community need]]+Master20[[#This Row],[Offset Aging Inf.]]+Master20[[#This Row],[Energy Savings]]+Master20[[#This Row],[Gen Revenue]]-5))</f>
        <v>66</v>
      </c>
      <c r="AI127" s="8"/>
      <c r="AJ127" s="8"/>
      <c r="AK127" s="8"/>
      <c r="AL127" s="8"/>
      <c r="AM127" s="8"/>
      <c r="AN127" s="10"/>
    </row>
    <row r="128" spans="1:40" ht="30" hidden="1" x14ac:dyDescent="0.25">
      <c r="A128" s="103">
        <f t="shared" si="18"/>
        <v>127</v>
      </c>
      <c r="B128" s="8" t="s">
        <v>65</v>
      </c>
      <c r="C128" s="10" t="s">
        <v>1045</v>
      </c>
      <c r="D128" s="10" t="s">
        <v>1332</v>
      </c>
      <c r="E128" s="10" t="s">
        <v>1333</v>
      </c>
      <c r="F128" s="10" t="s">
        <v>1334</v>
      </c>
      <c r="G128" s="10" t="s">
        <v>29</v>
      </c>
      <c r="H128" s="10">
        <v>0</v>
      </c>
      <c r="I128" s="49"/>
      <c r="J128" s="49"/>
      <c r="K128" s="49">
        <v>0</v>
      </c>
      <c r="L128" s="49"/>
      <c r="M128" s="49"/>
      <c r="N128" s="97">
        <v>0</v>
      </c>
      <c r="O128" s="32">
        <v>150000</v>
      </c>
      <c r="P128" s="8">
        <v>2023</v>
      </c>
      <c r="Q128" s="10" t="s">
        <v>686</v>
      </c>
      <c r="R128" s="8">
        <v>60</v>
      </c>
      <c r="S128" s="8">
        <v>3</v>
      </c>
      <c r="T128" s="8">
        <f t="shared" si="25"/>
        <v>9</v>
      </c>
      <c r="U128" s="8" t="s">
        <v>41</v>
      </c>
      <c r="V128" s="8">
        <f t="shared" si="24"/>
        <v>4</v>
      </c>
      <c r="W128" s="8" t="s">
        <v>29</v>
      </c>
      <c r="Y128" s="8">
        <v>0</v>
      </c>
      <c r="Z128" s="8">
        <v>0</v>
      </c>
      <c r="AA128" s="8">
        <v>0</v>
      </c>
      <c r="AB128" s="8">
        <v>0</v>
      </c>
      <c r="AC128" s="8">
        <v>0</v>
      </c>
      <c r="AD128" s="8">
        <v>-2</v>
      </c>
      <c r="AF128" s="17" t="s">
        <v>29</v>
      </c>
      <c r="AG128" s="8">
        <f>VLOOKUP(Master20[[#This Row],[Elevated Priority]],Epriority,2,)</f>
        <v>0</v>
      </c>
      <c r="AH128" s="152">
        <f>IF(Master20[[#This Row],[Status]]="Active",Master20[[#This Row],[Status_Score]],IF(D128="","",R128+H128+T128+V128+AG128+AE128+Master20[[#This Row],[Risk Mitigation]]+Master20[[#This Row],[Master Plan]]+Master20[[#This Row],[Community Request]]+Master20[[#This Row],[Community need]]+Master20[[#This Row],[Offset Aging Inf.]]+Master20[[#This Row],[Energy Savings]]+Master20[[#This Row],[Gen Revenue]]-5))</f>
        <v>66</v>
      </c>
      <c r="AI128" s="166"/>
      <c r="AJ128" s="166"/>
      <c r="AK128" s="166"/>
      <c r="AL128" s="166"/>
      <c r="AM128" s="166"/>
      <c r="AN128" s="165"/>
    </row>
    <row r="129" spans="1:40" ht="90" hidden="1" x14ac:dyDescent="0.25">
      <c r="A129" s="103">
        <f t="shared" si="18"/>
        <v>128</v>
      </c>
      <c r="B129" s="8" t="s">
        <v>94</v>
      </c>
      <c r="C129" s="10" t="s">
        <v>1045</v>
      </c>
      <c r="D129" s="10" t="s">
        <v>581</v>
      </c>
      <c r="E129" s="10" t="s">
        <v>582</v>
      </c>
      <c r="F129" s="10" t="s">
        <v>1316</v>
      </c>
      <c r="G129" s="10" t="s">
        <v>29</v>
      </c>
      <c r="H129" s="10">
        <f t="shared" ref="H129:H192" si="26">VLOOKUP(G129,Status_Score,2,FALSE)</f>
        <v>0</v>
      </c>
      <c r="I129" s="49"/>
      <c r="J129" s="49"/>
      <c r="K129" s="49">
        <f>Master20[[#This Row],[Initial Budget]]-Master20[[#This Row],[Previously Committed Funds]]</f>
        <v>0</v>
      </c>
      <c r="L129" s="49"/>
      <c r="M129" s="49"/>
      <c r="N129" s="97">
        <f>Master20[[#This Row],[Design $ (Add/Deduct)]]+Master20[[#This Row],[Construction $ (Add/Ded)]]</f>
        <v>0</v>
      </c>
      <c r="O129" s="32">
        <v>650000</v>
      </c>
      <c r="P129" s="8">
        <v>2019</v>
      </c>
      <c r="Q129" s="10" t="s">
        <v>687</v>
      </c>
      <c r="R129" s="8">
        <f t="shared" ref="R129:R160" si="27">VLOOKUP(Q129,Importance,2,FALSE)</f>
        <v>30</v>
      </c>
      <c r="S129" s="8">
        <v>19</v>
      </c>
      <c r="T129" s="8">
        <f t="shared" si="25"/>
        <v>26</v>
      </c>
      <c r="U129" s="8" t="s">
        <v>43</v>
      </c>
      <c r="V129" s="8">
        <f t="shared" si="24"/>
        <v>16</v>
      </c>
      <c r="W129" s="8" t="s">
        <v>30</v>
      </c>
      <c r="X129" s="8">
        <v>0</v>
      </c>
      <c r="Y129" s="8">
        <v>0</v>
      </c>
      <c r="Z129" s="8">
        <v>0</v>
      </c>
      <c r="AA129" s="8">
        <v>0</v>
      </c>
      <c r="AB129" s="8">
        <v>0</v>
      </c>
      <c r="AC129" s="8">
        <v>0</v>
      </c>
      <c r="AD129" s="8">
        <v>0</v>
      </c>
      <c r="AF129" s="17" t="s">
        <v>29</v>
      </c>
      <c r="AG129" s="8">
        <f>VLOOKUP(Master20[[#This Row],[Elevated Priority]],Epriority,2,)</f>
        <v>0</v>
      </c>
      <c r="AH129" s="152">
        <f>IF(Master20[[#This Row],[Status]]="Active",Master20[[#This Row],[Status_Score]],IF(D129="","",R129+H129+T129+V129+AG129+AE129+Master20[[#This Row],[Risk Mitigation]]+Master20[[#This Row],[Master Plan]]+Master20[[#This Row],[Community Request]]+Master20[[#This Row],[Community need]]+Master20[[#This Row],[Offset Aging Inf.]]+Master20[[#This Row],[Energy Savings]]+Master20[[#This Row],[Gen Revenue]]-5))</f>
        <v>67</v>
      </c>
      <c r="AI129" s="8"/>
      <c r="AJ129" s="8"/>
      <c r="AK129" s="8"/>
      <c r="AL129" s="8"/>
      <c r="AM129" s="8"/>
      <c r="AN129" s="10"/>
    </row>
    <row r="130" spans="1:40" ht="75" hidden="1" x14ac:dyDescent="0.25">
      <c r="A130" s="103">
        <f t="shared" si="18"/>
        <v>129</v>
      </c>
      <c r="B130" s="8" t="s">
        <v>1242</v>
      </c>
      <c r="C130" s="10" t="s">
        <v>1045</v>
      </c>
      <c r="D130" s="10" t="s">
        <v>1309</v>
      </c>
      <c r="E130" s="10" t="s">
        <v>1263</v>
      </c>
      <c r="F130" s="10" t="s">
        <v>1264</v>
      </c>
      <c r="G130" s="10" t="s">
        <v>29</v>
      </c>
      <c r="H130" s="10">
        <f t="shared" si="26"/>
        <v>0</v>
      </c>
      <c r="I130" s="49"/>
      <c r="J130" s="49"/>
      <c r="K130" s="49">
        <f>Master20[[#This Row],[Initial Budget]]-Master20[[#This Row],[Previously Committed Funds]]</f>
        <v>0</v>
      </c>
      <c r="L130" s="49"/>
      <c r="M130" s="49"/>
      <c r="N130" s="97">
        <f>Master20[[#This Row],[Design $ (Add/Deduct)]]+Master20[[#This Row],[Construction $ (Add/Ded)]]</f>
        <v>0</v>
      </c>
      <c r="O130" s="32">
        <v>250000</v>
      </c>
      <c r="P130" s="8">
        <v>2023</v>
      </c>
      <c r="Q130" s="10" t="s">
        <v>686</v>
      </c>
      <c r="R130" s="8">
        <f t="shared" si="27"/>
        <v>60</v>
      </c>
      <c r="S130" s="8">
        <v>3</v>
      </c>
      <c r="T130" s="8">
        <f t="shared" si="25"/>
        <v>9</v>
      </c>
      <c r="U130" s="8" t="s">
        <v>37</v>
      </c>
      <c r="V130" s="8">
        <f t="shared" si="24"/>
        <v>3</v>
      </c>
      <c r="W130" s="8" t="s">
        <v>29</v>
      </c>
      <c r="Y130" s="8">
        <v>0</v>
      </c>
      <c r="Z130" s="8">
        <v>0</v>
      </c>
      <c r="AA130" s="8">
        <v>0</v>
      </c>
      <c r="AB130" s="8">
        <v>0</v>
      </c>
      <c r="AC130" s="8">
        <v>0</v>
      </c>
      <c r="AD130" s="8">
        <v>0</v>
      </c>
      <c r="AF130" s="17" t="s">
        <v>29</v>
      </c>
      <c r="AG130" s="8">
        <f>VLOOKUP(Master20[[#This Row],[Elevated Priority]],Epriority,2,)</f>
        <v>0</v>
      </c>
      <c r="AH130" s="152">
        <f>IF(Master20[[#This Row],[Status]]="Active",Master20[[#This Row],[Status_Score]],IF(D130="","",R130+H130+T130+V130+AG130+AE130+Master20[[#This Row],[Risk Mitigation]]+Master20[[#This Row],[Master Plan]]+Master20[[#This Row],[Community Request]]+Master20[[#This Row],[Community need]]+Master20[[#This Row],[Offset Aging Inf.]]+Master20[[#This Row],[Energy Savings]]+Master20[[#This Row],[Gen Revenue]]-5))</f>
        <v>67</v>
      </c>
      <c r="AI130" s="166"/>
      <c r="AJ130" s="166"/>
      <c r="AK130" s="166"/>
      <c r="AL130" s="166"/>
      <c r="AM130" s="166"/>
      <c r="AN130" s="165"/>
    </row>
    <row r="131" spans="1:40" ht="30" hidden="1" x14ac:dyDescent="0.25">
      <c r="A131" s="103">
        <f t="shared" ref="A131:A194" si="28">A130+1</f>
        <v>130</v>
      </c>
      <c r="B131" s="8" t="s">
        <v>67</v>
      </c>
      <c r="C131" s="10" t="s">
        <v>995</v>
      </c>
      <c r="D131" s="10" t="s">
        <v>492</v>
      </c>
      <c r="E131" s="10" t="s">
        <v>493</v>
      </c>
      <c r="F131" s="10" t="s">
        <v>494</v>
      </c>
      <c r="G131" s="10" t="s">
        <v>29</v>
      </c>
      <c r="H131" s="10">
        <f t="shared" si="26"/>
        <v>0</v>
      </c>
      <c r="I131" s="49"/>
      <c r="J131" s="49"/>
      <c r="K131" s="49">
        <f>Master20[[#This Row],[Initial Budget]]-Master20[[#This Row],[Previously Committed Funds]]</f>
        <v>0</v>
      </c>
      <c r="L131" s="49"/>
      <c r="M131" s="49"/>
      <c r="N131" s="97">
        <f>Master20[[#This Row],[Design $ (Add/Deduct)]]+Master20[[#This Row],[Construction $ (Add/Ded)]]</f>
        <v>0</v>
      </c>
      <c r="O131" s="32">
        <v>75000</v>
      </c>
      <c r="P131" s="8">
        <v>2018</v>
      </c>
      <c r="Q131" s="10" t="s">
        <v>688</v>
      </c>
      <c r="R131" s="8">
        <f t="shared" si="27"/>
        <v>20</v>
      </c>
      <c r="S131" s="8">
        <v>10</v>
      </c>
      <c r="T131" s="8">
        <f t="shared" si="25"/>
        <v>21</v>
      </c>
      <c r="U131" s="8" t="s">
        <v>45</v>
      </c>
      <c r="V131" s="8">
        <f t="shared" si="24"/>
        <v>32</v>
      </c>
      <c r="W131" s="8" t="s">
        <v>30</v>
      </c>
      <c r="X131" s="8">
        <v>0</v>
      </c>
      <c r="Y131" s="8">
        <v>0</v>
      </c>
      <c r="Z131" s="8">
        <v>0</v>
      </c>
      <c r="AA131" s="8">
        <v>0</v>
      </c>
      <c r="AB131" s="8">
        <v>0</v>
      </c>
      <c r="AC131" s="8">
        <v>0</v>
      </c>
      <c r="AD131" s="8">
        <v>0</v>
      </c>
      <c r="AF131" s="17" t="s">
        <v>29</v>
      </c>
      <c r="AG131" s="8">
        <f>VLOOKUP(Master20[[#This Row],[Elevated Priority]],Epriority,2,)</f>
        <v>0</v>
      </c>
      <c r="AH131" s="152">
        <f>IF(Master20[[#This Row],[Status]]="Active",Master20[[#This Row],[Status_Score]],IF(D131="","",R131+H131+T131+V131+AG131+AE131+Master20[[#This Row],[Risk Mitigation]]+Master20[[#This Row],[Master Plan]]+Master20[[#This Row],[Community Request]]+Master20[[#This Row],[Community need]]+Master20[[#This Row],[Offset Aging Inf.]]+Master20[[#This Row],[Energy Savings]]+Master20[[#This Row],[Gen Revenue]]-5))</f>
        <v>68</v>
      </c>
      <c r="AI131" s="8"/>
      <c r="AJ131" s="8">
        <v>2024</v>
      </c>
      <c r="AK131" s="8">
        <v>2025</v>
      </c>
      <c r="AL131" s="8">
        <v>2024</v>
      </c>
      <c r="AM131" s="8">
        <v>2025</v>
      </c>
      <c r="AN131" s="10"/>
    </row>
    <row r="132" spans="1:40" ht="75" hidden="1" x14ac:dyDescent="0.25">
      <c r="A132" s="103">
        <f t="shared" si="28"/>
        <v>131</v>
      </c>
      <c r="B132" s="8" t="s">
        <v>1195</v>
      </c>
      <c r="C132" s="10" t="s">
        <v>1045</v>
      </c>
      <c r="D132" s="10" t="s">
        <v>1087</v>
      </c>
      <c r="E132" s="10" t="s">
        <v>1089</v>
      </c>
      <c r="F132" s="10" t="s">
        <v>1088</v>
      </c>
      <c r="G132" s="10" t="s">
        <v>29</v>
      </c>
      <c r="H132" s="10">
        <f t="shared" si="26"/>
        <v>0</v>
      </c>
      <c r="I132" s="49"/>
      <c r="J132" s="49"/>
      <c r="K132" s="49">
        <f>Master20[[#This Row],[Initial Budget]]-Master20[[#This Row],[Previously Committed Funds]]</f>
        <v>0</v>
      </c>
      <c r="L132" s="49"/>
      <c r="M132" s="49"/>
      <c r="N132" s="97">
        <f>Master20[[#This Row],[Design $ (Add/Deduct)]]+Master20[[#This Row],[Construction $ (Add/Ded)]]</f>
        <v>0</v>
      </c>
      <c r="O132" s="32">
        <v>125000</v>
      </c>
      <c r="P132" s="8">
        <v>2022</v>
      </c>
      <c r="Q132" s="10" t="s">
        <v>686</v>
      </c>
      <c r="R132" s="8">
        <f t="shared" si="27"/>
        <v>60</v>
      </c>
      <c r="S132" s="8">
        <v>4</v>
      </c>
      <c r="T132" s="8">
        <f t="shared" si="25"/>
        <v>12</v>
      </c>
      <c r="U132" s="8" t="s">
        <v>41</v>
      </c>
      <c r="V132" s="8">
        <f t="shared" si="24"/>
        <v>4</v>
      </c>
      <c r="W132" s="8" t="s">
        <v>30</v>
      </c>
      <c r="X132" s="8">
        <v>0</v>
      </c>
      <c r="Y132" s="8">
        <v>0</v>
      </c>
      <c r="Z132" s="8">
        <v>0</v>
      </c>
      <c r="AA132" s="8">
        <v>0</v>
      </c>
      <c r="AB132" s="8">
        <v>0</v>
      </c>
      <c r="AC132" s="8">
        <v>0</v>
      </c>
      <c r="AD132" s="8">
        <v>-3</v>
      </c>
      <c r="AF132" s="17" t="s">
        <v>29</v>
      </c>
      <c r="AG132" s="8">
        <f>VLOOKUP(Master20[[#This Row],[Elevated Priority]],Epriority,2,)</f>
        <v>0</v>
      </c>
      <c r="AH132" s="152">
        <f>IF(Master20[[#This Row],[Status]]="Active",Master20[[#This Row],[Status_Score]],IF(D132="","",R132+H132+T132+V132+AG132+AE132+Master20[[#This Row],[Risk Mitigation]]+Master20[[#This Row],[Master Plan]]+Master20[[#This Row],[Community Request]]+Master20[[#This Row],[Community need]]+Master20[[#This Row],[Offset Aging Inf.]]+Master20[[#This Row],[Energy Savings]]+Master20[[#This Row],[Gen Revenue]]-5))</f>
        <v>68</v>
      </c>
      <c r="AI132" s="8"/>
      <c r="AJ132" s="8"/>
      <c r="AK132" s="8"/>
      <c r="AL132" s="8"/>
      <c r="AM132" s="8"/>
      <c r="AN132" s="10"/>
    </row>
    <row r="133" spans="1:40" ht="30" hidden="1" x14ac:dyDescent="0.25">
      <c r="A133" s="103">
        <f t="shared" si="28"/>
        <v>132</v>
      </c>
      <c r="B133" s="8" t="s">
        <v>70</v>
      </c>
      <c r="C133" s="10" t="s">
        <v>1045</v>
      </c>
      <c r="D133" s="10" t="s">
        <v>366</v>
      </c>
      <c r="E133" s="10" t="s">
        <v>367</v>
      </c>
      <c r="F133" s="10" t="s">
        <v>368</v>
      </c>
      <c r="G133" s="10" t="s">
        <v>29</v>
      </c>
      <c r="H133" s="10">
        <f t="shared" si="26"/>
        <v>0</v>
      </c>
      <c r="I133" s="49"/>
      <c r="J133" s="49"/>
      <c r="K133" s="49">
        <f>Master20[[#This Row],[Initial Budget]]-Master20[[#This Row],[Previously Committed Funds]]</f>
        <v>0</v>
      </c>
      <c r="L133" s="49"/>
      <c r="M133" s="49"/>
      <c r="N133" s="97">
        <f>Master20[[#This Row],[Design $ (Add/Deduct)]]+Master20[[#This Row],[Construction $ (Add/Ded)]]</f>
        <v>0</v>
      </c>
      <c r="O133" s="32">
        <v>5000</v>
      </c>
      <c r="P133" s="8">
        <v>2018</v>
      </c>
      <c r="Q133" s="10" t="s">
        <v>686</v>
      </c>
      <c r="R133" s="8">
        <f t="shared" si="27"/>
        <v>60</v>
      </c>
      <c r="S133" s="8">
        <v>3</v>
      </c>
      <c r="T133" s="8">
        <f t="shared" si="25"/>
        <v>9</v>
      </c>
      <c r="U133" s="8" t="s">
        <v>41</v>
      </c>
      <c r="V133" s="8">
        <f t="shared" si="24"/>
        <v>4</v>
      </c>
      <c r="W133" s="8" t="s">
        <v>30</v>
      </c>
      <c r="X133" s="8">
        <v>0</v>
      </c>
      <c r="Y133" s="8">
        <v>0</v>
      </c>
      <c r="Z133" s="8">
        <v>0</v>
      </c>
      <c r="AA133" s="8">
        <v>0</v>
      </c>
      <c r="AB133" s="8">
        <v>0</v>
      </c>
      <c r="AC133" s="8">
        <v>0</v>
      </c>
      <c r="AD133" s="8">
        <v>0</v>
      </c>
      <c r="AF133" s="17" t="s">
        <v>29</v>
      </c>
      <c r="AG133" s="8">
        <f>VLOOKUP(Master20[[#This Row],[Elevated Priority]],Epriority,2,)</f>
        <v>0</v>
      </c>
      <c r="AH133" s="152">
        <f>IF(Master20[[#This Row],[Status]]="Active",Master20[[#This Row],[Status_Score]],IF(D133="","",R133+H133+T133+V133+AG133+AE133+Master20[[#This Row],[Risk Mitigation]]+Master20[[#This Row],[Master Plan]]+Master20[[#This Row],[Community Request]]+Master20[[#This Row],[Community need]]+Master20[[#This Row],[Offset Aging Inf.]]+Master20[[#This Row],[Energy Savings]]+Master20[[#This Row],[Gen Revenue]]-5))</f>
        <v>68</v>
      </c>
      <c r="AI133" s="8"/>
      <c r="AJ133" s="8">
        <v>2023</v>
      </c>
      <c r="AK133" s="8">
        <v>2024</v>
      </c>
      <c r="AL133" s="8">
        <v>2023</v>
      </c>
      <c r="AM133" s="8">
        <v>2024</v>
      </c>
      <c r="AN133" s="10"/>
    </row>
    <row r="134" spans="1:40" ht="45" hidden="1" x14ac:dyDescent="0.25">
      <c r="A134" s="103">
        <f t="shared" si="28"/>
        <v>133</v>
      </c>
      <c r="B134" s="8" t="s">
        <v>70</v>
      </c>
      <c r="C134" s="10" t="s">
        <v>1045</v>
      </c>
      <c r="D134" s="10" t="s">
        <v>1085</v>
      </c>
      <c r="E134" s="10" t="s">
        <v>1107</v>
      </c>
      <c r="F134" s="10" t="s">
        <v>1110</v>
      </c>
      <c r="G134" s="10" t="s">
        <v>29</v>
      </c>
      <c r="H134" s="10">
        <f t="shared" si="26"/>
        <v>0</v>
      </c>
      <c r="I134" s="49"/>
      <c r="J134" s="49"/>
      <c r="K134" s="49">
        <f>Master20[[#This Row],[Initial Budget]]-Master20[[#This Row],[Previously Committed Funds]]</f>
        <v>0</v>
      </c>
      <c r="L134" s="49"/>
      <c r="M134" s="49"/>
      <c r="N134" s="97">
        <f>Master20[[#This Row],[Design $ (Add/Deduct)]]+Master20[[#This Row],[Construction $ (Add/Ded)]]</f>
        <v>0</v>
      </c>
      <c r="O134" s="32">
        <v>75000</v>
      </c>
      <c r="P134" s="8">
        <v>2022</v>
      </c>
      <c r="Q134" s="10" t="s">
        <v>46</v>
      </c>
      <c r="R134" s="8">
        <f t="shared" si="27"/>
        <v>50</v>
      </c>
      <c r="S134" s="8">
        <v>4</v>
      </c>
      <c r="T134" s="8">
        <f t="shared" si="25"/>
        <v>12</v>
      </c>
      <c r="U134" s="8" t="s">
        <v>43</v>
      </c>
      <c r="V134" s="8">
        <f t="shared" si="24"/>
        <v>16</v>
      </c>
      <c r="W134" s="8" t="s">
        <v>34</v>
      </c>
      <c r="X134" s="8">
        <v>0</v>
      </c>
      <c r="Y134" s="8">
        <v>0</v>
      </c>
      <c r="Z134" s="8">
        <v>0</v>
      </c>
      <c r="AA134" s="8">
        <v>0</v>
      </c>
      <c r="AB134" s="8">
        <v>-2</v>
      </c>
      <c r="AC134" s="8">
        <v>0</v>
      </c>
      <c r="AD134" s="8">
        <v>-1</v>
      </c>
      <c r="AF134" s="17" t="s">
        <v>29</v>
      </c>
      <c r="AG134" s="8">
        <f>VLOOKUP(Master20[[#This Row],[Elevated Priority]],Epriority,2,)</f>
        <v>0</v>
      </c>
      <c r="AH134" s="152">
        <f>IF(Master20[[#This Row],[Status]]="Active",Master20[[#This Row],[Status_Score]],IF(D134="","",R134+H134+T134+V134+AG134+AE134+Master20[[#This Row],[Risk Mitigation]]+Master20[[#This Row],[Master Plan]]+Master20[[#This Row],[Community Request]]+Master20[[#This Row],[Community need]]+Master20[[#This Row],[Offset Aging Inf.]]+Master20[[#This Row],[Energy Savings]]+Master20[[#This Row],[Gen Revenue]]-5))</f>
        <v>70</v>
      </c>
      <c r="AI134" s="8"/>
      <c r="AJ134" s="8"/>
      <c r="AK134" s="8"/>
      <c r="AL134" s="8"/>
      <c r="AM134" s="8"/>
      <c r="AN134" s="10"/>
    </row>
    <row r="135" spans="1:40" ht="60" hidden="1" x14ac:dyDescent="0.25">
      <c r="A135" s="103">
        <f t="shared" si="28"/>
        <v>134</v>
      </c>
      <c r="B135" s="8" t="s">
        <v>143</v>
      </c>
      <c r="C135" s="10" t="s">
        <v>299</v>
      </c>
      <c r="D135" s="10" t="s">
        <v>1282</v>
      </c>
      <c r="E135" s="10" t="s">
        <v>1283</v>
      </c>
      <c r="F135" s="10" t="s">
        <v>1284</v>
      </c>
      <c r="G135" s="10" t="s">
        <v>29</v>
      </c>
      <c r="H135" s="10">
        <f t="shared" si="26"/>
        <v>0</v>
      </c>
      <c r="I135" s="49"/>
      <c r="J135" s="49"/>
      <c r="K135" s="49">
        <f>Master20[[#This Row],[Initial Budget]]-Master20[[#This Row],[Previously Committed Funds]]</f>
        <v>0</v>
      </c>
      <c r="L135" s="49"/>
      <c r="M135" s="49"/>
      <c r="N135" s="97">
        <f>Master20[[#This Row],[Design $ (Add/Deduct)]]+Master20[[#This Row],[Construction $ (Add/Ded)]]</f>
        <v>0</v>
      </c>
      <c r="O135" s="32">
        <v>650000</v>
      </c>
      <c r="P135" s="8">
        <v>2023</v>
      </c>
      <c r="Q135" s="10" t="s">
        <v>46</v>
      </c>
      <c r="R135" s="8">
        <f t="shared" si="27"/>
        <v>50</v>
      </c>
      <c r="S135" s="8">
        <v>3</v>
      </c>
      <c r="T135" s="8">
        <f t="shared" si="25"/>
        <v>9</v>
      </c>
      <c r="U135" s="8" t="s">
        <v>43</v>
      </c>
      <c r="V135" s="8">
        <f t="shared" si="24"/>
        <v>16</v>
      </c>
      <c r="W135" s="8" t="s">
        <v>29</v>
      </c>
      <c r="Y135" s="8">
        <v>0</v>
      </c>
      <c r="Z135" s="8">
        <v>0</v>
      </c>
      <c r="AA135" s="8">
        <v>0</v>
      </c>
      <c r="AB135" s="8">
        <v>0</v>
      </c>
      <c r="AC135" s="8">
        <v>0</v>
      </c>
      <c r="AD135" s="8">
        <v>0</v>
      </c>
      <c r="AF135" s="17" t="s">
        <v>29</v>
      </c>
      <c r="AG135" s="8">
        <f>VLOOKUP(Master20[[#This Row],[Elevated Priority]],Epriority,2,)</f>
        <v>0</v>
      </c>
      <c r="AH135" s="152">
        <f>IF(Master20[[#This Row],[Status]]="Active",Master20[[#This Row],[Status_Score]],IF(D135="","",R135+H135+T135+V135+AG135+AE135+Master20[[#This Row],[Risk Mitigation]]+Master20[[#This Row],[Master Plan]]+Master20[[#This Row],[Community Request]]+Master20[[#This Row],[Community need]]+Master20[[#This Row],[Offset Aging Inf.]]+Master20[[#This Row],[Energy Savings]]+Master20[[#This Row],[Gen Revenue]]-5))</f>
        <v>70</v>
      </c>
      <c r="AI135" s="166"/>
      <c r="AJ135" s="166"/>
      <c r="AK135" s="166"/>
      <c r="AL135" s="166"/>
      <c r="AM135" s="166"/>
      <c r="AN135" s="165"/>
    </row>
    <row r="136" spans="1:40" ht="30" hidden="1" x14ac:dyDescent="0.25">
      <c r="A136" s="103">
        <f t="shared" si="28"/>
        <v>135</v>
      </c>
      <c r="B136" s="8" t="s">
        <v>79</v>
      </c>
      <c r="C136" s="10" t="s">
        <v>1045</v>
      </c>
      <c r="D136" s="10" t="s">
        <v>510</v>
      </c>
      <c r="E136" s="10" t="s">
        <v>511</v>
      </c>
      <c r="F136" s="10" t="s">
        <v>512</v>
      </c>
      <c r="G136" s="10" t="s">
        <v>29</v>
      </c>
      <c r="H136" s="10">
        <f t="shared" si="26"/>
        <v>0</v>
      </c>
      <c r="I136" s="49"/>
      <c r="J136" s="49"/>
      <c r="K136" s="49">
        <f>Master20[[#This Row],[Initial Budget]]-Master20[[#This Row],[Previously Committed Funds]]</f>
        <v>0</v>
      </c>
      <c r="L136" s="49"/>
      <c r="M136" s="49"/>
      <c r="N136" s="97">
        <f>Master20[[#This Row],[Design $ (Add/Deduct)]]+Master20[[#This Row],[Construction $ (Add/Ded)]]</f>
        <v>0</v>
      </c>
      <c r="O136" s="32">
        <v>15000</v>
      </c>
      <c r="P136" s="8">
        <v>2018</v>
      </c>
      <c r="Q136" s="10" t="s">
        <v>688</v>
      </c>
      <c r="R136" s="8">
        <f t="shared" si="27"/>
        <v>20</v>
      </c>
      <c r="S136" s="8">
        <v>16</v>
      </c>
      <c r="T136" s="8">
        <f t="shared" si="25"/>
        <v>24</v>
      </c>
      <c r="U136" s="8" t="s">
        <v>45</v>
      </c>
      <c r="V136" s="8">
        <f t="shared" si="24"/>
        <v>32</v>
      </c>
      <c r="W136" s="8" t="s">
        <v>30</v>
      </c>
      <c r="X136" s="8">
        <v>0</v>
      </c>
      <c r="Y136" s="8">
        <v>0</v>
      </c>
      <c r="Z136" s="8">
        <v>0</v>
      </c>
      <c r="AA136" s="8">
        <v>0</v>
      </c>
      <c r="AB136" s="8">
        <v>0</v>
      </c>
      <c r="AC136" s="8">
        <v>0</v>
      </c>
      <c r="AD136" s="8">
        <v>0</v>
      </c>
      <c r="AF136" s="17" t="s">
        <v>29</v>
      </c>
      <c r="AG136" s="8">
        <f>VLOOKUP(Master20[[#This Row],[Elevated Priority]],Epriority,2,)</f>
        <v>0</v>
      </c>
      <c r="AH136" s="152">
        <f>IF(Master20[[#This Row],[Status]]="Active",Master20[[#This Row],[Status_Score]],IF(D136="","",R136+H136+T136+V136+AG136+AE136+Master20[[#This Row],[Risk Mitigation]]+Master20[[#This Row],[Master Plan]]+Master20[[#This Row],[Community Request]]+Master20[[#This Row],[Community need]]+Master20[[#This Row],[Offset Aging Inf.]]+Master20[[#This Row],[Energy Savings]]+Master20[[#This Row],[Gen Revenue]]-5))</f>
        <v>71</v>
      </c>
      <c r="AI136" s="8"/>
      <c r="AJ136" s="8">
        <v>2024</v>
      </c>
      <c r="AK136" s="8">
        <v>2025</v>
      </c>
      <c r="AL136" s="8">
        <v>2024</v>
      </c>
      <c r="AM136" s="8">
        <v>2025</v>
      </c>
      <c r="AN136" s="10"/>
    </row>
    <row r="137" spans="1:40" ht="60" hidden="1" x14ac:dyDescent="0.25">
      <c r="A137" s="103">
        <f t="shared" si="28"/>
        <v>136</v>
      </c>
      <c r="B137" s="8" t="s">
        <v>220</v>
      </c>
      <c r="C137" s="10" t="s">
        <v>79</v>
      </c>
      <c r="D137" s="10" t="s">
        <v>783</v>
      </c>
      <c r="E137" s="10" t="s">
        <v>785</v>
      </c>
      <c r="F137" s="10" t="s">
        <v>804</v>
      </c>
      <c r="G137" s="10" t="s">
        <v>29</v>
      </c>
      <c r="H137" s="10">
        <f t="shared" si="26"/>
        <v>0</v>
      </c>
      <c r="I137" s="49"/>
      <c r="J137" s="49"/>
      <c r="K137" s="49">
        <f>Master20[[#This Row],[Initial Budget]]-Master20[[#This Row],[Previously Committed Funds]]</f>
        <v>0</v>
      </c>
      <c r="L137" s="49"/>
      <c r="M137" s="49"/>
      <c r="N137" s="97">
        <f>Master20[[#This Row],[Design $ (Add/Deduct)]]+Master20[[#This Row],[Construction $ (Add/Ded)]]</f>
        <v>0</v>
      </c>
      <c r="O137" s="32">
        <v>100000</v>
      </c>
      <c r="P137" s="8">
        <v>2017</v>
      </c>
      <c r="Q137" s="10" t="s">
        <v>686</v>
      </c>
      <c r="R137" s="8">
        <f t="shared" si="27"/>
        <v>60</v>
      </c>
      <c r="S137" s="8">
        <v>1</v>
      </c>
      <c r="T137" s="8">
        <f t="shared" si="25"/>
        <v>3</v>
      </c>
      <c r="U137" s="8" t="s">
        <v>43</v>
      </c>
      <c r="V137" s="8">
        <f t="shared" si="24"/>
        <v>16</v>
      </c>
      <c r="W137" s="8" t="s">
        <v>34</v>
      </c>
      <c r="X137" s="8">
        <v>0</v>
      </c>
      <c r="Y137" s="8">
        <v>0</v>
      </c>
      <c r="Z137" s="8">
        <v>0</v>
      </c>
      <c r="AA137" s="8">
        <v>0</v>
      </c>
      <c r="AB137" s="8">
        <v>0</v>
      </c>
      <c r="AC137" s="8">
        <v>0</v>
      </c>
      <c r="AD137" s="8">
        <v>-3</v>
      </c>
      <c r="AF137" s="17" t="s">
        <v>29</v>
      </c>
      <c r="AG137" s="8">
        <f>VLOOKUP(Master20[[#This Row],[Elevated Priority]],Epriority,2,)</f>
        <v>0</v>
      </c>
      <c r="AH137" s="152">
        <f>IF(Master20[[#This Row],[Status]]="Active",Master20[[#This Row],[Status_Score]],IF(D137="","",R137+H137+T137+V137+AG137+AE137+Master20[[#This Row],[Risk Mitigation]]+Master20[[#This Row],[Master Plan]]+Master20[[#This Row],[Community Request]]+Master20[[#This Row],[Community need]]+Master20[[#This Row],[Offset Aging Inf.]]+Master20[[#This Row],[Energy Savings]]+Master20[[#This Row],[Gen Revenue]]-5))</f>
        <v>71</v>
      </c>
      <c r="AI137" s="8"/>
      <c r="AJ137" s="8"/>
      <c r="AK137" s="8"/>
      <c r="AL137" s="8">
        <v>2023</v>
      </c>
      <c r="AM137" s="8">
        <v>2025</v>
      </c>
      <c r="AN137" s="10"/>
    </row>
    <row r="138" spans="1:40" ht="60" hidden="1" x14ac:dyDescent="0.25">
      <c r="A138" s="103">
        <f t="shared" si="28"/>
        <v>137</v>
      </c>
      <c r="B138" s="8" t="s">
        <v>65</v>
      </c>
      <c r="C138" s="10" t="s">
        <v>1045</v>
      </c>
      <c r="D138" s="10" t="s">
        <v>567</v>
      </c>
      <c r="E138" s="10" t="s">
        <v>911</v>
      </c>
      <c r="F138" s="10" t="s">
        <v>569</v>
      </c>
      <c r="G138" s="10" t="s">
        <v>29</v>
      </c>
      <c r="H138" s="10">
        <f t="shared" si="26"/>
        <v>0</v>
      </c>
      <c r="I138" s="49"/>
      <c r="J138" s="49"/>
      <c r="K138" s="49">
        <f>Master20[[#This Row],[Initial Budget]]-Master20[[#This Row],[Previously Committed Funds]]</f>
        <v>0</v>
      </c>
      <c r="L138" s="49"/>
      <c r="M138" s="49"/>
      <c r="N138" s="97">
        <f>Master20[[#This Row],[Design $ (Add/Deduct)]]+Master20[[#This Row],[Construction $ (Add/Ded)]]</f>
        <v>0</v>
      </c>
      <c r="O138" s="32">
        <v>5000000</v>
      </c>
      <c r="P138" s="8">
        <v>2018</v>
      </c>
      <c r="Q138" s="10" t="s">
        <v>46</v>
      </c>
      <c r="R138" s="8">
        <f t="shared" si="27"/>
        <v>50</v>
      </c>
      <c r="S138" s="8">
        <v>5</v>
      </c>
      <c r="T138" s="8">
        <f t="shared" si="25"/>
        <v>15</v>
      </c>
      <c r="U138" s="8" t="s">
        <v>45</v>
      </c>
      <c r="V138" s="8">
        <f t="shared" si="24"/>
        <v>32</v>
      </c>
      <c r="W138" s="8" t="s">
        <v>34</v>
      </c>
      <c r="X138" s="8">
        <v>-9</v>
      </c>
      <c r="Y138" s="8">
        <v>0</v>
      </c>
      <c r="Z138" s="8">
        <v>0</v>
      </c>
      <c r="AA138" s="8">
        <v>-3</v>
      </c>
      <c r="AB138" s="8">
        <v>-2</v>
      </c>
      <c r="AC138" s="8">
        <v>-7</v>
      </c>
      <c r="AD138" s="8">
        <v>0</v>
      </c>
      <c r="AF138" s="17" t="s">
        <v>29</v>
      </c>
      <c r="AG138" s="8">
        <f>VLOOKUP(Master20[[#This Row],[Elevated Priority]],Epriority,2,)</f>
        <v>0</v>
      </c>
      <c r="AH138" s="152">
        <f>IF(Master20[[#This Row],[Status]]="Active",Master20[[#This Row],[Status_Score]],IF(D138="","",R138+H138+T138+V138+AG138+AE138+Master20[[#This Row],[Risk Mitigation]]+Master20[[#This Row],[Master Plan]]+Master20[[#This Row],[Community Request]]+Master20[[#This Row],[Community need]]+Master20[[#This Row],[Offset Aging Inf.]]+Master20[[#This Row],[Energy Savings]]+Master20[[#This Row],[Gen Revenue]]-5))</f>
        <v>71</v>
      </c>
      <c r="AI138" s="8"/>
      <c r="AJ138" s="8"/>
      <c r="AK138" s="8"/>
      <c r="AL138" s="8">
        <v>2023</v>
      </c>
      <c r="AM138" s="8">
        <v>2025</v>
      </c>
      <c r="AN138" s="10"/>
    </row>
    <row r="139" spans="1:40" ht="46.5" hidden="1" customHeight="1" x14ac:dyDescent="0.25">
      <c r="A139" s="103">
        <f t="shared" si="28"/>
        <v>138</v>
      </c>
      <c r="B139" s="8" t="s">
        <v>67</v>
      </c>
      <c r="C139" s="10" t="s">
        <v>1045</v>
      </c>
      <c r="D139" s="10" t="s">
        <v>992</v>
      </c>
      <c r="E139" s="10" t="s">
        <v>993</v>
      </c>
      <c r="F139" s="10" t="s">
        <v>994</v>
      </c>
      <c r="G139" s="10" t="s">
        <v>29</v>
      </c>
      <c r="H139" s="10">
        <f t="shared" si="26"/>
        <v>0</v>
      </c>
      <c r="I139" s="49"/>
      <c r="J139" s="49"/>
      <c r="K139" s="49">
        <f>Master20[[#This Row],[Initial Budget]]-Master20[[#This Row],[Previously Committed Funds]]</f>
        <v>0</v>
      </c>
      <c r="L139" s="49"/>
      <c r="M139" s="49"/>
      <c r="N139" s="97">
        <f>Master20[[#This Row],[Design $ (Add/Deduct)]]+Master20[[#This Row],[Construction $ (Add/Ded)]]</f>
        <v>0</v>
      </c>
      <c r="O139" s="32">
        <v>1600000</v>
      </c>
      <c r="P139" s="8">
        <v>2021</v>
      </c>
      <c r="Q139" s="10" t="s">
        <v>46</v>
      </c>
      <c r="R139" s="8">
        <f t="shared" si="27"/>
        <v>50</v>
      </c>
      <c r="S139" s="8">
        <v>4</v>
      </c>
      <c r="T139" s="8">
        <f t="shared" si="25"/>
        <v>12</v>
      </c>
      <c r="U139" s="8" t="s">
        <v>43</v>
      </c>
      <c r="V139" s="8">
        <f t="shared" si="24"/>
        <v>16</v>
      </c>
      <c r="W139" s="8" t="s">
        <v>34</v>
      </c>
      <c r="X139" s="8">
        <v>0</v>
      </c>
      <c r="Y139" s="8">
        <v>0</v>
      </c>
      <c r="Z139" s="8">
        <v>0</v>
      </c>
      <c r="AA139" s="8">
        <v>0</v>
      </c>
      <c r="AB139" s="8">
        <v>0</v>
      </c>
      <c r="AC139" s="8">
        <v>-1</v>
      </c>
      <c r="AD139" s="8">
        <v>0</v>
      </c>
      <c r="AF139" s="17" t="s">
        <v>29</v>
      </c>
      <c r="AG139" s="8">
        <f>VLOOKUP(Master20[[#This Row],[Elevated Priority]],Epriority,2,)</f>
        <v>0</v>
      </c>
      <c r="AH139" s="152">
        <f>IF(Master20[[#This Row],[Status]]="Active",Master20[[#This Row],[Status_Score]],IF(D139="","",R139+H139+T139+V139+AG139+AE139+Master20[[#This Row],[Risk Mitigation]]+Master20[[#This Row],[Master Plan]]+Master20[[#This Row],[Community Request]]+Master20[[#This Row],[Community need]]+Master20[[#This Row],[Offset Aging Inf.]]+Master20[[#This Row],[Energy Savings]]+Master20[[#This Row],[Gen Revenue]]-5))</f>
        <v>72</v>
      </c>
      <c r="AI139" s="8"/>
      <c r="AJ139" s="8">
        <v>2024</v>
      </c>
      <c r="AK139" s="8">
        <v>2025</v>
      </c>
      <c r="AL139" s="8">
        <v>2024</v>
      </c>
      <c r="AM139" s="8">
        <v>2025</v>
      </c>
      <c r="AN139" s="10"/>
    </row>
    <row r="140" spans="1:40" ht="30" hidden="1" x14ac:dyDescent="0.25">
      <c r="A140" s="103">
        <f t="shared" si="28"/>
        <v>139</v>
      </c>
      <c r="B140" s="8" t="s">
        <v>67</v>
      </c>
      <c r="C140" s="10" t="s">
        <v>995</v>
      </c>
      <c r="D140" s="10" t="s">
        <v>996</v>
      </c>
      <c r="E140" s="10" t="s">
        <v>997</v>
      </c>
      <c r="F140" s="10" t="s">
        <v>994</v>
      </c>
      <c r="G140" s="10" t="s">
        <v>29</v>
      </c>
      <c r="H140" s="10">
        <f t="shared" si="26"/>
        <v>0</v>
      </c>
      <c r="I140" s="49"/>
      <c r="J140" s="49"/>
      <c r="K140" s="49">
        <f>Master20[[#This Row],[Initial Budget]]-Master20[[#This Row],[Previously Committed Funds]]</f>
        <v>0</v>
      </c>
      <c r="L140" s="49"/>
      <c r="M140" s="49"/>
      <c r="N140" s="97">
        <f>Master20[[#This Row],[Design $ (Add/Deduct)]]+Master20[[#This Row],[Construction $ (Add/Ded)]]</f>
        <v>0</v>
      </c>
      <c r="O140" s="32">
        <v>20000</v>
      </c>
      <c r="P140" s="8">
        <v>2021</v>
      </c>
      <c r="Q140" s="10" t="s">
        <v>686</v>
      </c>
      <c r="R140" s="8">
        <f t="shared" si="27"/>
        <v>60</v>
      </c>
      <c r="S140" s="8">
        <v>6</v>
      </c>
      <c r="T140" s="8">
        <f t="shared" si="25"/>
        <v>18</v>
      </c>
      <c r="U140" s="8" t="s">
        <v>37</v>
      </c>
      <c r="V140" s="8">
        <f t="shared" si="24"/>
        <v>3</v>
      </c>
      <c r="W140" s="8" t="s">
        <v>34</v>
      </c>
      <c r="X140" s="8">
        <v>0</v>
      </c>
      <c r="Y140" s="8">
        <v>0</v>
      </c>
      <c r="Z140" s="8">
        <v>0</v>
      </c>
      <c r="AA140" s="8">
        <v>0</v>
      </c>
      <c r="AB140" s="8">
        <v>0</v>
      </c>
      <c r="AC140" s="8">
        <v>-3</v>
      </c>
      <c r="AD140" s="8">
        <v>0</v>
      </c>
      <c r="AF140" s="17" t="s">
        <v>29</v>
      </c>
      <c r="AG140" s="8">
        <f>VLOOKUP(Master20[[#This Row],[Elevated Priority]],Epriority,2,)</f>
        <v>0</v>
      </c>
      <c r="AH140" s="152">
        <f>IF(Master20[[#This Row],[Status]]="Active",Master20[[#This Row],[Status_Score]],IF(D140="","",R140+H140+T140+V140+AG140+AE140+Master20[[#This Row],[Risk Mitigation]]+Master20[[#This Row],[Master Plan]]+Master20[[#This Row],[Community Request]]+Master20[[#This Row],[Community need]]+Master20[[#This Row],[Offset Aging Inf.]]+Master20[[#This Row],[Energy Savings]]+Master20[[#This Row],[Gen Revenue]]-5))</f>
        <v>73</v>
      </c>
      <c r="AI140" s="8"/>
      <c r="AJ140" s="8"/>
      <c r="AK140" s="8"/>
      <c r="AL140" s="8"/>
      <c r="AM140" s="8"/>
      <c r="AN140" s="10"/>
    </row>
    <row r="141" spans="1:40" ht="41.25" hidden="1" customHeight="1" x14ac:dyDescent="0.25">
      <c r="A141" s="103">
        <f t="shared" si="28"/>
        <v>140</v>
      </c>
      <c r="B141" s="153" t="s">
        <v>923</v>
      </c>
      <c r="C141" s="153" t="s">
        <v>79</v>
      </c>
      <c r="D141" s="153" t="s">
        <v>513</v>
      </c>
      <c r="E141" s="153" t="s">
        <v>514</v>
      </c>
      <c r="F141" s="153" t="s">
        <v>515</v>
      </c>
      <c r="G141" s="153" t="s">
        <v>29</v>
      </c>
      <c r="H141" s="153">
        <f t="shared" si="26"/>
        <v>0</v>
      </c>
      <c r="I141" s="153"/>
      <c r="J141" s="153"/>
      <c r="K141" s="153">
        <f>Master20[[#This Row],[Initial Budget]]-Master20[[#This Row],[Previously Committed Funds]]</f>
        <v>0</v>
      </c>
      <c r="L141" s="153"/>
      <c r="M141" s="153"/>
      <c r="N141" s="153">
        <f>Master20[[#This Row],[Design $ (Add/Deduct)]]+Master20[[#This Row],[Construction $ (Add/Ded)]]</f>
        <v>0</v>
      </c>
      <c r="O141" s="153">
        <v>50000</v>
      </c>
      <c r="P141" s="153">
        <v>2018</v>
      </c>
      <c r="Q141" s="153" t="s">
        <v>686</v>
      </c>
      <c r="R141" s="153">
        <f t="shared" si="27"/>
        <v>60</v>
      </c>
      <c r="S141" s="153">
        <v>1</v>
      </c>
      <c r="T141" s="153">
        <f t="shared" si="25"/>
        <v>3</v>
      </c>
      <c r="U141" s="153" t="s">
        <v>43</v>
      </c>
      <c r="V141" s="153">
        <f t="shared" si="24"/>
        <v>16</v>
      </c>
      <c r="W141" s="153" t="s">
        <v>34</v>
      </c>
      <c r="X141" s="153">
        <v>0</v>
      </c>
      <c r="Y141" s="153">
        <v>0</v>
      </c>
      <c r="Z141" s="153">
        <v>0</v>
      </c>
      <c r="AA141" s="153">
        <v>0</v>
      </c>
      <c r="AB141" s="153">
        <v>0</v>
      </c>
      <c r="AC141" s="153">
        <v>0</v>
      </c>
      <c r="AD141" s="153">
        <v>0</v>
      </c>
      <c r="AE141" s="153"/>
      <c r="AF141" s="153" t="s">
        <v>29</v>
      </c>
      <c r="AG141" s="153">
        <f>VLOOKUP(Master20[[#This Row],[Elevated Priority]],Epriority,2,)</f>
        <v>0</v>
      </c>
      <c r="AH141" s="153">
        <f>IF(Master20[[#This Row],[Status]]="Active",Master20[[#This Row],[Status_Score]],IF(D141="","",R141+H141+T141+V141+AG141+AE141+Master20[[#This Row],[Risk Mitigation]]+Master20[[#This Row],[Master Plan]]+Master20[[#This Row],[Community Request]]+Master20[[#This Row],[Community need]]+Master20[[#This Row],[Offset Aging Inf.]]+Master20[[#This Row],[Energy Savings]]+Master20[[#This Row],[Gen Revenue]]-5))</f>
        <v>74</v>
      </c>
      <c r="AI141" s="8"/>
      <c r="AJ141" s="8"/>
      <c r="AK141" s="8"/>
      <c r="AL141" s="8"/>
      <c r="AM141" s="8"/>
      <c r="AN141" s="10"/>
    </row>
    <row r="142" spans="1:40" ht="60" x14ac:dyDescent="0.25">
      <c r="A142" s="103">
        <f t="shared" si="28"/>
        <v>141</v>
      </c>
      <c r="B142" s="8" t="s">
        <v>214</v>
      </c>
      <c r="C142" s="10" t="s">
        <v>1045</v>
      </c>
      <c r="D142" s="10" t="s">
        <v>1236</v>
      </c>
      <c r="E142" s="10" t="s">
        <v>1237</v>
      </c>
      <c r="F142" s="10" t="s">
        <v>1238</v>
      </c>
      <c r="G142" s="10" t="s">
        <v>29</v>
      </c>
      <c r="H142" s="10">
        <f t="shared" si="26"/>
        <v>0</v>
      </c>
      <c r="I142" s="49"/>
      <c r="J142" s="49"/>
      <c r="K142" s="49">
        <f>Master20[[#This Row],[Initial Budget]]-Master20[[#This Row],[Previously Committed Funds]]</f>
        <v>0</v>
      </c>
      <c r="L142" s="49"/>
      <c r="M142" s="49"/>
      <c r="N142" s="97">
        <f>Master20[[#This Row],[Design $ (Add/Deduct)]]+Master20[[#This Row],[Construction $ (Add/Ded)]]</f>
        <v>0</v>
      </c>
      <c r="O142" s="32">
        <v>8000000</v>
      </c>
      <c r="P142" s="8">
        <v>2023</v>
      </c>
      <c r="Q142" s="10" t="s">
        <v>686</v>
      </c>
      <c r="R142" s="8">
        <f t="shared" si="27"/>
        <v>60</v>
      </c>
      <c r="S142" s="8">
        <v>1</v>
      </c>
      <c r="T142" s="8">
        <f t="shared" si="25"/>
        <v>3</v>
      </c>
      <c r="U142" s="8" t="s">
        <v>43</v>
      </c>
      <c r="V142" s="8">
        <f t="shared" si="24"/>
        <v>16</v>
      </c>
      <c r="W142" s="8" t="s">
        <v>29</v>
      </c>
      <c r="Y142" s="8">
        <v>0</v>
      </c>
      <c r="Z142" s="8">
        <v>0</v>
      </c>
      <c r="AA142" s="8">
        <v>0</v>
      </c>
      <c r="AB142" s="8">
        <v>0</v>
      </c>
      <c r="AC142" s="8">
        <v>0</v>
      </c>
      <c r="AD142" s="8">
        <v>0</v>
      </c>
      <c r="AF142" s="17" t="s">
        <v>29</v>
      </c>
      <c r="AG142" s="8">
        <f>VLOOKUP(Master20[[#This Row],[Elevated Priority]],Epriority,2,)</f>
        <v>0</v>
      </c>
      <c r="AH142" s="152">
        <f>IF(Master20[[#This Row],[Status]]="Active",Master20[[#This Row],[Status_Score]],IF(D142="","",R142+H142+T142+V142+AG142+AE142+Master20[[#This Row],[Risk Mitigation]]+Master20[[#This Row],[Master Plan]]+Master20[[#This Row],[Community Request]]+Master20[[#This Row],[Community need]]+Master20[[#This Row],[Offset Aging Inf.]]+Master20[[#This Row],[Energy Savings]]+Master20[[#This Row],[Gen Revenue]]-5))</f>
        <v>74</v>
      </c>
      <c r="AI142" s="166"/>
      <c r="AJ142" s="166"/>
      <c r="AK142" s="166"/>
      <c r="AL142" s="166"/>
      <c r="AM142" s="166"/>
      <c r="AN142" s="165"/>
    </row>
    <row r="143" spans="1:40" ht="45" hidden="1" x14ac:dyDescent="0.25">
      <c r="A143" s="103">
        <f t="shared" si="28"/>
        <v>142</v>
      </c>
      <c r="B143" s="8" t="s">
        <v>61</v>
      </c>
      <c r="C143" s="10" t="s">
        <v>1045</v>
      </c>
      <c r="D143" s="10" t="s">
        <v>1306</v>
      </c>
      <c r="E143" s="10" t="s">
        <v>1257</v>
      </c>
      <c r="F143" s="10" t="s">
        <v>1258</v>
      </c>
      <c r="G143" s="10" t="s">
        <v>29</v>
      </c>
      <c r="H143" s="10">
        <f t="shared" si="26"/>
        <v>0</v>
      </c>
      <c r="I143" s="49"/>
      <c r="J143" s="49"/>
      <c r="K143" s="49">
        <f>Master20[[#This Row],[Initial Budget]]-Master20[[#This Row],[Previously Committed Funds]]</f>
        <v>0</v>
      </c>
      <c r="L143" s="49"/>
      <c r="M143" s="49"/>
      <c r="N143" s="97">
        <f>Master20[[#This Row],[Design $ (Add/Deduct)]]+Master20[[#This Row],[Construction $ (Add/Ded)]]</f>
        <v>0</v>
      </c>
      <c r="O143" s="32">
        <v>3000000</v>
      </c>
      <c r="P143" s="8">
        <v>2023</v>
      </c>
      <c r="Q143" s="10" t="s">
        <v>686</v>
      </c>
      <c r="R143" s="8">
        <f t="shared" si="27"/>
        <v>60</v>
      </c>
      <c r="S143" s="8">
        <v>3</v>
      </c>
      <c r="T143" s="8">
        <f t="shared" si="25"/>
        <v>9</v>
      </c>
      <c r="U143" s="8" t="s">
        <v>43</v>
      </c>
      <c r="V143" s="8">
        <f t="shared" si="24"/>
        <v>16</v>
      </c>
      <c r="W143" s="8" t="s">
        <v>29</v>
      </c>
      <c r="X143" s="8">
        <v>-1</v>
      </c>
      <c r="Y143" s="8">
        <v>0</v>
      </c>
      <c r="Z143" s="8">
        <v>0</v>
      </c>
      <c r="AA143" s="8">
        <v>0</v>
      </c>
      <c r="AB143" s="8">
        <v>-2</v>
      </c>
      <c r="AC143" s="8">
        <v>-3</v>
      </c>
      <c r="AD143" s="8">
        <v>0</v>
      </c>
      <c r="AF143" s="17" t="s">
        <v>29</v>
      </c>
      <c r="AG143" s="8">
        <f>VLOOKUP(Master20[[#This Row],[Elevated Priority]],Epriority,2,)</f>
        <v>0</v>
      </c>
      <c r="AH143" s="152">
        <f>IF(Master20[[#This Row],[Status]]="Active",Master20[[#This Row],[Status_Score]],IF(D143="","",R143+H143+T143+V143+AG143+AE143+Master20[[#This Row],[Risk Mitigation]]+Master20[[#This Row],[Master Plan]]+Master20[[#This Row],[Community Request]]+Master20[[#This Row],[Community need]]+Master20[[#This Row],[Offset Aging Inf.]]+Master20[[#This Row],[Energy Savings]]+Master20[[#This Row],[Gen Revenue]]-5))</f>
        <v>74</v>
      </c>
      <c r="AI143" s="166"/>
      <c r="AJ143" s="166"/>
      <c r="AK143" s="166"/>
      <c r="AL143" s="166"/>
      <c r="AM143" s="166"/>
      <c r="AN143" s="165"/>
    </row>
    <row r="144" spans="1:40" ht="30" hidden="1" x14ac:dyDescent="0.25">
      <c r="A144" s="103">
        <f t="shared" si="28"/>
        <v>143</v>
      </c>
      <c r="B144" s="8" t="s">
        <v>72</v>
      </c>
      <c r="C144" s="10" t="s">
        <v>1045</v>
      </c>
      <c r="D144" s="10" t="s">
        <v>1324</v>
      </c>
      <c r="E144" s="10" t="s">
        <v>1325</v>
      </c>
      <c r="F144" s="10" t="s">
        <v>1326</v>
      </c>
      <c r="G144" s="10" t="s">
        <v>29</v>
      </c>
      <c r="H144" s="10">
        <f t="shared" si="26"/>
        <v>0</v>
      </c>
      <c r="I144" s="49"/>
      <c r="J144" s="49"/>
      <c r="K144" s="49">
        <f>Master20[[#This Row],[Initial Budget]]-Master20[[#This Row],[Previously Committed Funds]]</f>
        <v>0</v>
      </c>
      <c r="L144" s="49"/>
      <c r="M144" s="49"/>
      <c r="N144" s="97">
        <f>Master20[[#This Row],[Design $ (Add/Deduct)]]+Master20[[#This Row],[Construction $ (Add/Ded)]]</f>
        <v>0</v>
      </c>
      <c r="O144" s="32">
        <v>80000</v>
      </c>
      <c r="P144" s="8">
        <v>2023</v>
      </c>
      <c r="Q144" s="10" t="s">
        <v>686</v>
      </c>
      <c r="R144" s="8">
        <f t="shared" si="27"/>
        <v>60</v>
      </c>
      <c r="S144" s="8">
        <v>1</v>
      </c>
      <c r="T144" s="8">
        <f t="shared" si="25"/>
        <v>3</v>
      </c>
      <c r="U144" s="8" t="s">
        <v>43</v>
      </c>
      <c r="V144" s="8">
        <f t="shared" si="24"/>
        <v>16</v>
      </c>
      <c r="W144" s="8" t="s">
        <v>29</v>
      </c>
      <c r="Y144" s="8">
        <v>0</v>
      </c>
      <c r="Z144" s="8">
        <v>0</v>
      </c>
      <c r="AA144" s="8">
        <v>0</v>
      </c>
      <c r="AB144" s="8">
        <v>0</v>
      </c>
      <c r="AC144" s="8">
        <v>0</v>
      </c>
      <c r="AD144" s="8">
        <v>0</v>
      </c>
      <c r="AF144" s="17" t="s">
        <v>29</v>
      </c>
      <c r="AG144" s="8">
        <f>VLOOKUP(Master20[[#This Row],[Elevated Priority]],Epriority,2,)</f>
        <v>0</v>
      </c>
      <c r="AH144" s="152">
        <f>IF(Master20[[#This Row],[Status]]="Active",Master20[[#This Row],[Status_Score]],IF(D144="","",R144+H144+T144+V144+AG144+AE144+Master20[[#This Row],[Risk Mitigation]]+Master20[[#This Row],[Master Plan]]+Master20[[#This Row],[Community Request]]+Master20[[#This Row],[Community need]]+Master20[[#This Row],[Offset Aging Inf.]]+Master20[[#This Row],[Energy Savings]]+Master20[[#This Row],[Gen Revenue]]-5))</f>
        <v>74</v>
      </c>
      <c r="AI144" s="166"/>
      <c r="AJ144" s="166"/>
      <c r="AK144" s="166"/>
      <c r="AL144" s="166"/>
      <c r="AM144" s="166"/>
      <c r="AN144" s="165"/>
    </row>
    <row r="145" spans="1:40" ht="30" hidden="1" x14ac:dyDescent="0.25">
      <c r="A145" s="103">
        <f t="shared" si="28"/>
        <v>144</v>
      </c>
      <c r="B145" s="8" t="s">
        <v>1195</v>
      </c>
      <c r="C145" s="10" t="s">
        <v>1045</v>
      </c>
      <c r="D145" s="10" t="s">
        <v>473</v>
      </c>
      <c r="E145" s="10" t="s">
        <v>474</v>
      </c>
      <c r="F145" s="10" t="s">
        <v>475</v>
      </c>
      <c r="G145" s="10" t="s">
        <v>29</v>
      </c>
      <c r="H145" s="10">
        <f t="shared" si="26"/>
        <v>0</v>
      </c>
      <c r="I145" s="49"/>
      <c r="J145" s="49"/>
      <c r="K145" s="49">
        <f>Master20[[#This Row],[Initial Budget]]-Master20[[#This Row],[Previously Committed Funds]]</f>
        <v>0</v>
      </c>
      <c r="L145" s="49"/>
      <c r="M145" s="49"/>
      <c r="N145" s="97">
        <f>Master20[[#This Row],[Design $ (Add/Deduct)]]+Master20[[#This Row],[Construction $ (Add/Ded)]]</f>
        <v>0</v>
      </c>
      <c r="O145" s="32">
        <v>150000</v>
      </c>
      <c r="P145" s="8">
        <v>2018</v>
      </c>
      <c r="Q145" s="10" t="s">
        <v>686</v>
      </c>
      <c r="R145" s="8">
        <f t="shared" si="27"/>
        <v>60</v>
      </c>
      <c r="S145" s="8">
        <v>4</v>
      </c>
      <c r="T145" s="8">
        <f t="shared" si="25"/>
        <v>12</v>
      </c>
      <c r="U145" s="8" t="s">
        <v>43</v>
      </c>
      <c r="V145" s="8">
        <f t="shared" si="24"/>
        <v>16</v>
      </c>
      <c r="W145" s="8" t="s">
        <v>34</v>
      </c>
      <c r="X145" s="8">
        <v>0</v>
      </c>
      <c r="Y145" s="8">
        <v>0</v>
      </c>
      <c r="Z145" s="8">
        <v>0</v>
      </c>
      <c r="AA145" s="8">
        <v>0</v>
      </c>
      <c r="AB145" s="8">
        <v>0</v>
      </c>
      <c r="AC145" s="8">
        <v>-5</v>
      </c>
      <c r="AD145" s="8">
        <v>-3</v>
      </c>
      <c r="AF145" s="17" t="s">
        <v>29</v>
      </c>
      <c r="AG145" s="8">
        <f>VLOOKUP(Master20[[#This Row],[Elevated Priority]],Epriority,2,)</f>
        <v>0</v>
      </c>
      <c r="AH145" s="152">
        <f>IF(Master20[[#This Row],[Status]]="Active",Master20[[#This Row],[Status_Score]],IF(D145="","",R145+H145+T145+V145+AG145+AE145+Master20[[#This Row],[Risk Mitigation]]+Master20[[#This Row],[Master Plan]]+Master20[[#This Row],[Community Request]]+Master20[[#This Row],[Community need]]+Master20[[#This Row],[Offset Aging Inf.]]+Master20[[#This Row],[Energy Savings]]+Master20[[#This Row],[Gen Revenue]]-5))</f>
        <v>75</v>
      </c>
      <c r="AI145" s="8"/>
      <c r="AJ145" s="8"/>
      <c r="AK145" s="8"/>
      <c r="AL145" s="8"/>
      <c r="AM145" s="8"/>
      <c r="AN145" s="10" t="s">
        <v>984</v>
      </c>
    </row>
    <row r="146" spans="1:40" ht="60" hidden="1" x14ac:dyDescent="0.25">
      <c r="A146" s="103">
        <f t="shared" si="28"/>
        <v>145</v>
      </c>
      <c r="B146" s="8" t="s">
        <v>1195</v>
      </c>
      <c r="C146" s="10" t="s">
        <v>1045</v>
      </c>
      <c r="D146" s="10" t="s">
        <v>1036</v>
      </c>
      <c r="E146" s="10" t="s">
        <v>499</v>
      </c>
      <c r="F146" s="10" t="s">
        <v>458</v>
      </c>
      <c r="G146" s="10" t="s">
        <v>29</v>
      </c>
      <c r="H146" s="10">
        <f t="shared" si="26"/>
        <v>0</v>
      </c>
      <c r="I146" s="49"/>
      <c r="J146" s="49"/>
      <c r="K146" s="49">
        <f>Master20[[#This Row],[Initial Budget]]-Master20[[#This Row],[Previously Committed Funds]]</f>
        <v>0</v>
      </c>
      <c r="L146" s="49"/>
      <c r="M146" s="49"/>
      <c r="N146" s="97">
        <f>Master20[[#This Row],[Design $ (Add/Deduct)]]+Master20[[#This Row],[Construction $ (Add/Ded)]]</f>
        <v>0</v>
      </c>
      <c r="O146" s="32">
        <v>6000000</v>
      </c>
      <c r="P146" s="8">
        <v>2018</v>
      </c>
      <c r="Q146" s="10" t="s">
        <v>46</v>
      </c>
      <c r="R146" s="8">
        <f t="shared" si="27"/>
        <v>50</v>
      </c>
      <c r="S146" s="8">
        <v>2</v>
      </c>
      <c r="T146" s="8">
        <f t="shared" si="25"/>
        <v>6</v>
      </c>
      <c r="U146" s="8" t="s">
        <v>45</v>
      </c>
      <c r="V146" s="8">
        <f t="shared" si="24"/>
        <v>32</v>
      </c>
      <c r="W146" s="8" t="s">
        <v>34</v>
      </c>
      <c r="X146" s="8">
        <v>0</v>
      </c>
      <c r="Y146" s="8">
        <v>0</v>
      </c>
      <c r="Z146" s="8">
        <v>-3</v>
      </c>
      <c r="AA146" s="8">
        <v>0</v>
      </c>
      <c r="AB146" s="8">
        <v>-2</v>
      </c>
      <c r="AC146" s="8">
        <v>-3</v>
      </c>
      <c r="AD146" s="8">
        <v>0</v>
      </c>
      <c r="AF146" s="17" t="s">
        <v>29</v>
      </c>
      <c r="AG146" s="8">
        <f>VLOOKUP(Master20[[#This Row],[Elevated Priority]],Epriority,2,)</f>
        <v>0</v>
      </c>
      <c r="AH146" s="152">
        <f>IF(Master20[[#This Row],[Status]]="Active",Master20[[#This Row],[Status_Score]],IF(D146="","",R146+H146+T146+V146+AG146+AE146+Master20[[#This Row],[Risk Mitigation]]+Master20[[#This Row],[Master Plan]]+Master20[[#This Row],[Community Request]]+Master20[[#This Row],[Community need]]+Master20[[#This Row],[Offset Aging Inf.]]+Master20[[#This Row],[Energy Savings]]+Master20[[#This Row],[Gen Revenue]]-5))</f>
        <v>75</v>
      </c>
      <c r="AI146" s="8"/>
      <c r="AJ146" s="8"/>
      <c r="AK146" s="8"/>
      <c r="AL146" s="8"/>
      <c r="AM146" s="8"/>
      <c r="AN146" s="10" t="s">
        <v>722</v>
      </c>
    </row>
    <row r="147" spans="1:40" ht="30" hidden="1" x14ac:dyDescent="0.25">
      <c r="A147" s="103">
        <f t="shared" si="28"/>
        <v>146</v>
      </c>
      <c r="B147" s="8" t="s">
        <v>1191</v>
      </c>
      <c r="C147" s="10" t="s">
        <v>1045</v>
      </c>
      <c r="D147" s="10" t="s">
        <v>926</v>
      </c>
      <c r="E147" s="10" t="s">
        <v>927</v>
      </c>
      <c r="F147" s="10" t="s">
        <v>928</v>
      </c>
      <c r="G147" s="10" t="s">
        <v>832</v>
      </c>
      <c r="H147" s="10">
        <f t="shared" si="26"/>
        <v>100</v>
      </c>
      <c r="I147" s="49"/>
      <c r="J147" s="49"/>
      <c r="K147" s="49">
        <f>Master20[[#This Row],[Initial Budget]]-Master20[[#This Row],[Previously Committed Funds]]</f>
        <v>0</v>
      </c>
      <c r="L147" s="49"/>
      <c r="M147" s="49"/>
      <c r="N147" s="97">
        <f>Master20[[#This Row],[Design $ (Add/Deduct)]]+Master20[[#This Row],[Construction $ (Add/Ded)]]</f>
        <v>0</v>
      </c>
      <c r="O147" s="32">
        <v>5000000</v>
      </c>
      <c r="P147" s="8">
        <v>2020</v>
      </c>
      <c r="Q147" s="10" t="s">
        <v>46</v>
      </c>
      <c r="R147" s="8">
        <f t="shared" si="27"/>
        <v>50</v>
      </c>
      <c r="S147" s="8">
        <v>1</v>
      </c>
      <c r="T147" s="8">
        <f t="shared" si="25"/>
        <v>3</v>
      </c>
      <c r="U147" s="8" t="s">
        <v>41</v>
      </c>
      <c r="V147" s="8">
        <f t="shared" si="24"/>
        <v>4</v>
      </c>
      <c r="W147" s="8" t="s">
        <v>34</v>
      </c>
      <c r="X147" s="8">
        <v>-9</v>
      </c>
      <c r="Y147" s="8">
        <v>0</v>
      </c>
      <c r="Z147" s="8">
        <v>-3</v>
      </c>
      <c r="AA147" s="8">
        <v>-3</v>
      </c>
      <c r="AB147" s="8">
        <v>-2</v>
      </c>
      <c r="AC147" s="8">
        <v>-9</v>
      </c>
      <c r="AD147" s="8">
        <v>0</v>
      </c>
      <c r="AF147" s="17" t="s">
        <v>35</v>
      </c>
      <c r="AG147" s="8">
        <f>VLOOKUP(Master20[[#This Row],[Elevated Priority]],Epriority,2,)</f>
        <v>-50</v>
      </c>
      <c r="AH147" s="152">
        <f>IF(Master20[[#This Row],[Status]]="Active",Master20[[#This Row],[Status_Score]],IF(D147="","",R147+H147+T147+V147+AG147+AE147+Master20[[#This Row],[Risk Mitigation]]+Master20[[#This Row],[Master Plan]]+Master20[[#This Row],[Community Request]]+Master20[[#This Row],[Community need]]+Master20[[#This Row],[Offset Aging Inf.]]+Master20[[#This Row],[Energy Savings]]+Master20[[#This Row],[Gen Revenue]]-5))</f>
        <v>76</v>
      </c>
      <c r="AI147" s="8" t="s">
        <v>717</v>
      </c>
      <c r="AJ147" s="8">
        <v>2021</v>
      </c>
      <c r="AK147" s="8">
        <v>2023</v>
      </c>
      <c r="AL147" s="8">
        <v>2021</v>
      </c>
      <c r="AM147" s="8">
        <v>2023</v>
      </c>
      <c r="AN147" s="10" t="s">
        <v>983</v>
      </c>
    </row>
    <row r="148" spans="1:40" ht="75" hidden="1" x14ac:dyDescent="0.25">
      <c r="A148" s="103">
        <f t="shared" si="28"/>
        <v>147</v>
      </c>
      <c r="B148" s="8" t="s">
        <v>61</v>
      </c>
      <c r="C148" s="10" t="s">
        <v>1045</v>
      </c>
      <c r="D148" s="10" t="s">
        <v>1298</v>
      </c>
      <c r="E148" s="10" t="s">
        <v>1248</v>
      </c>
      <c r="F148" s="10" t="s">
        <v>1265</v>
      </c>
      <c r="G148" s="10" t="s">
        <v>29</v>
      </c>
      <c r="H148" s="10">
        <f t="shared" si="26"/>
        <v>0</v>
      </c>
      <c r="I148" s="49"/>
      <c r="J148" s="49"/>
      <c r="K148" s="49">
        <f>Master20[[#This Row],[Initial Budget]]-Master20[[#This Row],[Previously Committed Funds]]</f>
        <v>0</v>
      </c>
      <c r="L148" s="49"/>
      <c r="M148" s="49"/>
      <c r="N148" s="97">
        <f>Master20[[#This Row],[Design $ (Add/Deduct)]]+Master20[[#This Row],[Construction $ (Add/Ded)]]</f>
        <v>0</v>
      </c>
      <c r="O148" s="32">
        <v>120000</v>
      </c>
      <c r="P148" s="8">
        <v>2023</v>
      </c>
      <c r="Q148" s="10" t="s">
        <v>686</v>
      </c>
      <c r="R148" s="8">
        <f t="shared" si="27"/>
        <v>60</v>
      </c>
      <c r="S148" s="8">
        <v>3</v>
      </c>
      <c r="T148" s="8">
        <f t="shared" si="25"/>
        <v>9</v>
      </c>
      <c r="U148" s="8" t="s">
        <v>43</v>
      </c>
      <c r="V148" s="8">
        <f t="shared" si="24"/>
        <v>16</v>
      </c>
      <c r="W148" s="8" t="s">
        <v>29</v>
      </c>
      <c r="Y148" s="8">
        <v>-1</v>
      </c>
      <c r="Z148" s="8">
        <v>-3</v>
      </c>
      <c r="AA148" s="8">
        <v>0</v>
      </c>
      <c r="AB148" s="8">
        <v>0</v>
      </c>
      <c r="AC148" s="8">
        <v>0</v>
      </c>
      <c r="AD148" s="8">
        <v>0</v>
      </c>
      <c r="AF148" s="17" t="s">
        <v>29</v>
      </c>
      <c r="AG148" s="8">
        <f>VLOOKUP(Master20[[#This Row],[Elevated Priority]],Epriority,2,)</f>
        <v>0</v>
      </c>
      <c r="AH148" s="152">
        <f>IF(Master20[[#This Row],[Status]]="Active",Master20[[#This Row],[Status_Score]],IF(D148="","",R148+H148+T148+V148+AG148+AE148+Master20[[#This Row],[Risk Mitigation]]+Master20[[#This Row],[Master Plan]]+Master20[[#This Row],[Community Request]]+Master20[[#This Row],[Community need]]+Master20[[#This Row],[Offset Aging Inf.]]+Master20[[#This Row],[Energy Savings]]+Master20[[#This Row],[Gen Revenue]]-5))</f>
        <v>76</v>
      </c>
      <c r="AI148" s="166"/>
      <c r="AJ148" s="166"/>
      <c r="AK148" s="166"/>
      <c r="AL148" s="166"/>
      <c r="AM148" s="166"/>
      <c r="AN148" s="165"/>
    </row>
    <row r="149" spans="1:40" ht="105" hidden="1" x14ac:dyDescent="0.25">
      <c r="A149" s="103">
        <f t="shared" si="28"/>
        <v>148</v>
      </c>
      <c r="B149" s="8" t="s">
        <v>143</v>
      </c>
      <c r="C149" s="10" t="s">
        <v>1045</v>
      </c>
      <c r="D149" s="10" t="s">
        <v>378</v>
      </c>
      <c r="E149" s="10" t="s">
        <v>379</v>
      </c>
      <c r="F149" s="10" t="s">
        <v>380</v>
      </c>
      <c r="G149" s="10" t="s">
        <v>29</v>
      </c>
      <c r="H149" s="10">
        <f t="shared" si="26"/>
        <v>0</v>
      </c>
      <c r="I149" s="49"/>
      <c r="J149" s="49"/>
      <c r="K149" s="49">
        <f>Master20[[#This Row],[Initial Budget]]-Master20[[#This Row],[Previously Committed Funds]]</f>
        <v>0</v>
      </c>
      <c r="L149" s="49"/>
      <c r="M149" s="49"/>
      <c r="N149" s="97">
        <f>Master20[[#This Row],[Design $ (Add/Deduct)]]+Master20[[#This Row],[Construction $ (Add/Ded)]]</f>
        <v>0</v>
      </c>
      <c r="O149" s="32">
        <v>20000</v>
      </c>
      <c r="P149" s="8">
        <v>2018</v>
      </c>
      <c r="Q149" s="10" t="s">
        <v>686</v>
      </c>
      <c r="R149" s="8">
        <f t="shared" si="27"/>
        <v>60</v>
      </c>
      <c r="S149" s="8">
        <v>2</v>
      </c>
      <c r="T149" s="8">
        <f t="shared" si="25"/>
        <v>6</v>
      </c>
      <c r="U149" s="8" t="s">
        <v>43</v>
      </c>
      <c r="V149" s="8">
        <f t="shared" si="24"/>
        <v>16</v>
      </c>
      <c r="W149" s="8" t="s">
        <v>34</v>
      </c>
      <c r="X149" s="8">
        <v>0</v>
      </c>
      <c r="Y149" s="8">
        <v>0</v>
      </c>
      <c r="Z149" s="8">
        <v>0</v>
      </c>
      <c r="AA149" s="8">
        <v>0</v>
      </c>
      <c r="AB149" s="8">
        <v>0</v>
      </c>
      <c r="AC149" s="8">
        <v>0</v>
      </c>
      <c r="AD149" s="8">
        <v>0</v>
      </c>
      <c r="AF149" s="17" t="s">
        <v>29</v>
      </c>
      <c r="AG149" s="8">
        <f>VLOOKUP(Master20[[#This Row],[Elevated Priority]],Epriority,2,)</f>
        <v>0</v>
      </c>
      <c r="AH149" s="152">
        <f>IF(Master20[[#This Row],[Status]]="Active",Master20[[#This Row],[Status_Score]],IF(D149="","",R149+H149+T149+V149+AG149+AE149+Master20[[#This Row],[Risk Mitigation]]+Master20[[#This Row],[Master Plan]]+Master20[[#This Row],[Community Request]]+Master20[[#This Row],[Community need]]+Master20[[#This Row],[Offset Aging Inf.]]+Master20[[#This Row],[Energy Savings]]+Master20[[#This Row],[Gen Revenue]]-5))</f>
        <v>77</v>
      </c>
      <c r="AI149" s="8"/>
      <c r="AJ149" s="8"/>
      <c r="AK149" s="8"/>
      <c r="AL149" s="8"/>
      <c r="AM149" s="8"/>
      <c r="AN149" s="10"/>
    </row>
    <row r="150" spans="1:40" hidden="1" x14ac:dyDescent="0.25">
      <c r="A150" s="103">
        <f t="shared" si="28"/>
        <v>149</v>
      </c>
      <c r="B150" s="8" t="s">
        <v>94</v>
      </c>
      <c r="C150" s="10" t="s">
        <v>1045</v>
      </c>
      <c r="D150" s="10" t="s">
        <v>465</v>
      </c>
      <c r="E150" s="10" t="s">
        <v>466</v>
      </c>
      <c r="F150" s="10" t="s">
        <v>467</v>
      </c>
      <c r="G150" s="10" t="s">
        <v>29</v>
      </c>
      <c r="H150" s="10">
        <f t="shared" si="26"/>
        <v>0</v>
      </c>
      <c r="I150" s="49"/>
      <c r="J150" s="49"/>
      <c r="K150" s="49">
        <f>Master20[[#This Row],[Initial Budget]]-Master20[[#This Row],[Previously Committed Funds]]</f>
        <v>0</v>
      </c>
      <c r="L150" s="49"/>
      <c r="M150" s="49"/>
      <c r="N150" s="97">
        <f>Master20[[#This Row],[Design $ (Add/Deduct)]]+Master20[[#This Row],[Construction $ (Add/Ded)]]</f>
        <v>0</v>
      </c>
      <c r="O150" s="32">
        <v>200000</v>
      </c>
      <c r="P150" s="8">
        <v>2018</v>
      </c>
      <c r="Q150" s="10" t="s">
        <v>46</v>
      </c>
      <c r="R150" s="8">
        <f t="shared" si="27"/>
        <v>50</v>
      </c>
      <c r="S150" s="8">
        <v>30</v>
      </c>
      <c r="T150" s="8">
        <f t="shared" si="25"/>
        <v>31</v>
      </c>
      <c r="U150" s="8" t="s">
        <v>37</v>
      </c>
      <c r="V150" s="8">
        <f t="shared" si="24"/>
        <v>3</v>
      </c>
      <c r="W150" s="8" t="s">
        <v>34</v>
      </c>
      <c r="X150" s="8">
        <v>0</v>
      </c>
      <c r="Y150" s="8">
        <v>0</v>
      </c>
      <c r="Z150" s="8">
        <v>0</v>
      </c>
      <c r="AA150" s="8">
        <v>0</v>
      </c>
      <c r="AB150" s="8">
        <v>-2</v>
      </c>
      <c r="AC150" s="8">
        <v>0</v>
      </c>
      <c r="AD150" s="8">
        <v>0</v>
      </c>
      <c r="AF150" s="17" t="s">
        <v>29</v>
      </c>
      <c r="AG150" s="8">
        <f>VLOOKUP(Master20[[#This Row],[Elevated Priority]],Epriority,2,)</f>
        <v>0</v>
      </c>
      <c r="AH150" s="152">
        <f>IF(Master20[[#This Row],[Status]]="Active",Master20[[#This Row],[Status_Score]],IF(D150="","",R150+H150+T150+V150+AG150+AE150+Master20[[#This Row],[Risk Mitigation]]+Master20[[#This Row],[Master Plan]]+Master20[[#This Row],[Community Request]]+Master20[[#This Row],[Community need]]+Master20[[#This Row],[Offset Aging Inf.]]+Master20[[#This Row],[Energy Savings]]+Master20[[#This Row],[Gen Revenue]]-5))</f>
        <v>77</v>
      </c>
      <c r="AI150" s="8"/>
      <c r="AJ150" s="8"/>
      <c r="AK150" s="8"/>
      <c r="AL150" s="8"/>
      <c r="AM150" s="8"/>
      <c r="AN150" s="10"/>
    </row>
    <row r="151" spans="1:40" ht="90" hidden="1" x14ac:dyDescent="0.25">
      <c r="A151" s="103">
        <f t="shared" si="28"/>
        <v>150</v>
      </c>
      <c r="B151" s="8" t="s">
        <v>1195</v>
      </c>
      <c r="C151" s="10" t="s">
        <v>1045</v>
      </c>
      <c r="D151" s="10" t="s">
        <v>476</v>
      </c>
      <c r="F151" s="10" t="s">
        <v>906</v>
      </c>
      <c r="G151" s="10" t="s">
        <v>29</v>
      </c>
      <c r="H151" s="10">
        <f t="shared" si="26"/>
        <v>0</v>
      </c>
      <c r="I151" s="49"/>
      <c r="J151" s="49"/>
      <c r="K151" s="49">
        <f>Master20[[#This Row],[Initial Budget]]-Master20[[#This Row],[Previously Committed Funds]]</f>
        <v>0</v>
      </c>
      <c r="L151" s="49"/>
      <c r="M151" s="49"/>
      <c r="N151" s="97">
        <f>Master20[[#This Row],[Design $ (Add/Deduct)]]+Master20[[#This Row],[Construction $ (Add/Ded)]]</f>
        <v>0</v>
      </c>
      <c r="O151" s="32">
        <v>350000</v>
      </c>
      <c r="P151" s="8">
        <v>2018</v>
      </c>
      <c r="Q151" s="10" t="s">
        <v>686</v>
      </c>
      <c r="R151" s="8">
        <f t="shared" si="27"/>
        <v>60</v>
      </c>
      <c r="S151" s="8">
        <v>4</v>
      </c>
      <c r="T151" s="8">
        <f t="shared" si="25"/>
        <v>12</v>
      </c>
      <c r="U151" s="8" t="s">
        <v>43</v>
      </c>
      <c r="V151" s="8">
        <f t="shared" si="24"/>
        <v>16</v>
      </c>
      <c r="W151" s="8" t="s">
        <v>34</v>
      </c>
      <c r="X151" s="8">
        <v>-5</v>
      </c>
      <c r="Y151" s="8">
        <v>0</v>
      </c>
      <c r="Z151" s="8">
        <v>0</v>
      </c>
      <c r="AA151" s="8">
        <v>0</v>
      </c>
      <c r="AB151" s="8">
        <v>0</v>
      </c>
      <c r="AC151" s="8">
        <v>0</v>
      </c>
      <c r="AD151" s="8">
        <v>0</v>
      </c>
      <c r="AF151" s="17" t="s">
        <v>29</v>
      </c>
      <c r="AG151" s="8">
        <f>VLOOKUP(Master20[[#This Row],[Elevated Priority]],Epriority,2,)</f>
        <v>0</v>
      </c>
      <c r="AH151" s="152">
        <f>IF(Master20[[#This Row],[Status]]="Active",Master20[[#This Row],[Status_Score]],IF(D151="","",R151+H151+T151+V151+AG151+AE151+Master20[[#This Row],[Risk Mitigation]]+Master20[[#This Row],[Master Plan]]+Master20[[#This Row],[Community Request]]+Master20[[#This Row],[Community need]]+Master20[[#This Row],[Offset Aging Inf.]]+Master20[[#This Row],[Energy Savings]]+Master20[[#This Row],[Gen Revenue]]-5))</f>
        <v>78</v>
      </c>
      <c r="AI151" s="8"/>
      <c r="AJ151" s="8"/>
      <c r="AK151" s="8"/>
      <c r="AL151" s="8"/>
      <c r="AM151" s="8"/>
      <c r="AN151" s="10"/>
    </row>
    <row r="152" spans="1:40" ht="45" hidden="1" x14ac:dyDescent="0.25">
      <c r="A152" s="103">
        <f t="shared" si="28"/>
        <v>151</v>
      </c>
      <c r="B152" s="8" t="s">
        <v>732</v>
      </c>
      <c r="C152" s="10" t="s">
        <v>1045</v>
      </c>
      <c r="D152" s="10" t="s">
        <v>1358</v>
      </c>
      <c r="E152" s="10" t="s">
        <v>1359</v>
      </c>
      <c r="F152" s="10" t="s">
        <v>1360</v>
      </c>
      <c r="G152" s="10" t="s">
        <v>29</v>
      </c>
      <c r="H152" s="10">
        <f t="shared" si="26"/>
        <v>0</v>
      </c>
      <c r="I152" s="49"/>
      <c r="J152" s="49"/>
      <c r="K152" s="49">
        <f>Master20[[#This Row],[Initial Budget]]-Master20[[#This Row],[Previously Committed Funds]]</f>
        <v>0</v>
      </c>
      <c r="L152" s="49"/>
      <c r="M152" s="49"/>
      <c r="N152" s="97">
        <f>Master20[[#This Row],[Design $ (Add/Deduct)]]+Master20[[#This Row],[Construction $ (Add/Ded)]]</f>
        <v>0</v>
      </c>
      <c r="O152" s="32">
        <v>9000000</v>
      </c>
      <c r="P152" s="8">
        <v>2023</v>
      </c>
      <c r="Q152" s="10" t="s">
        <v>46</v>
      </c>
      <c r="R152" s="8">
        <f t="shared" si="27"/>
        <v>50</v>
      </c>
      <c r="S152" s="8">
        <v>3</v>
      </c>
      <c r="T152" s="8">
        <f t="shared" si="25"/>
        <v>9</v>
      </c>
      <c r="U152" s="8" t="s">
        <v>45</v>
      </c>
      <c r="V152" s="8">
        <f t="shared" si="24"/>
        <v>32</v>
      </c>
      <c r="W152" s="8" t="s">
        <v>29</v>
      </c>
      <c r="X152" s="8">
        <v>-5</v>
      </c>
      <c r="Y152" s="8">
        <v>0</v>
      </c>
      <c r="Z152" s="8">
        <v>0</v>
      </c>
      <c r="AA152" s="8">
        <v>0</v>
      </c>
      <c r="AB152" s="8">
        <v>0</v>
      </c>
      <c r="AC152" s="8">
        <v>-3</v>
      </c>
      <c r="AD152" s="8">
        <v>0</v>
      </c>
      <c r="AF152" s="17" t="s">
        <v>29</v>
      </c>
      <c r="AG152" s="8">
        <f>VLOOKUP(Master20[[#This Row],[Elevated Priority]],Epriority,2,)</f>
        <v>0</v>
      </c>
      <c r="AH152" s="152">
        <f>IF(Master20[[#This Row],[Status]]="Active",Master20[[#This Row],[Status_Score]],IF(D152="","",R152+H152+T152+V152+AG152+AE152+Master20[[#This Row],[Risk Mitigation]]+Master20[[#This Row],[Master Plan]]+Master20[[#This Row],[Community Request]]+Master20[[#This Row],[Community need]]+Master20[[#This Row],[Offset Aging Inf.]]+Master20[[#This Row],[Energy Savings]]+Master20[[#This Row],[Gen Revenue]]-5))</f>
        <v>78</v>
      </c>
      <c r="AI152" s="166"/>
      <c r="AJ152" s="166"/>
      <c r="AK152" s="166"/>
      <c r="AL152" s="166"/>
      <c r="AM152" s="166"/>
      <c r="AN152" s="165"/>
    </row>
    <row r="153" spans="1:40" ht="30" hidden="1" x14ac:dyDescent="0.25">
      <c r="A153" s="103">
        <f t="shared" si="28"/>
        <v>152</v>
      </c>
      <c r="B153" s="8" t="s">
        <v>61</v>
      </c>
      <c r="C153" s="10" t="s">
        <v>1045</v>
      </c>
      <c r="D153" s="10" t="s">
        <v>1305</v>
      </c>
      <c r="E153" s="10" t="s">
        <v>1255</v>
      </c>
      <c r="F153" s="10" t="s">
        <v>1256</v>
      </c>
      <c r="G153" s="10" t="s">
        <v>29</v>
      </c>
      <c r="H153" s="10">
        <f t="shared" si="26"/>
        <v>0</v>
      </c>
      <c r="I153" s="49"/>
      <c r="J153" s="49"/>
      <c r="K153" s="49">
        <f>Master20[[#This Row],[Initial Budget]]-Master20[[#This Row],[Previously Committed Funds]]</f>
        <v>0</v>
      </c>
      <c r="L153" s="49"/>
      <c r="M153" s="49"/>
      <c r="N153" s="97">
        <f>Master20[[#This Row],[Design $ (Add/Deduct)]]+Master20[[#This Row],[Construction $ (Add/Ded)]]</f>
        <v>0</v>
      </c>
      <c r="O153" s="32">
        <v>350000</v>
      </c>
      <c r="P153" s="8">
        <v>2023</v>
      </c>
      <c r="Q153" s="10" t="s">
        <v>686</v>
      </c>
      <c r="R153" s="8">
        <f t="shared" si="27"/>
        <v>60</v>
      </c>
      <c r="S153" s="8">
        <v>3</v>
      </c>
      <c r="T153" s="8">
        <f t="shared" si="25"/>
        <v>9</v>
      </c>
      <c r="U153" s="8" t="s">
        <v>43</v>
      </c>
      <c r="V153" s="8">
        <f t="shared" si="24"/>
        <v>16</v>
      </c>
      <c r="W153" s="8" t="s">
        <v>29</v>
      </c>
      <c r="Y153" s="8">
        <v>0</v>
      </c>
      <c r="Z153" s="8">
        <v>0</v>
      </c>
      <c r="AA153" s="8">
        <v>0</v>
      </c>
      <c r="AB153" s="8">
        <v>0</v>
      </c>
      <c r="AC153" s="8">
        <v>0</v>
      </c>
      <c r="AD153" s="8">
        <v>0</v>
      </c>
      <c r="AF153" s="17" t="s">
        <v>29</v>
      </c>
      <c r="AG153" s="8">
        <f>VLOOKUP(Master20[[#This Row],[Elevated Priority]],Epriority,2,)</f>
        <v>0</v>
      </c>
      <c r="AH153" s="152">
        <f>IF(Master20[[#This Row],[Status]]="Active",Master20[[#This Row],[Status_Score]],IF(D153="","",R153+H153+T153+V153+AG153+AE153+Master20[[#This Row],[Risk Mitigation]]+Master20[[#This Row],[Master Plan]]+Master20[[#This Row],[Community Request]]+Master20[[#This Row],[Community need]]+Master20[[#This Row],[Offset Aging Inf.]]+Master20[[#This Row],[Energy Savings]]+Master20[[#This Row],[Gen Revenue]]-5))</f>
        <v>80</v>
      </c>
      <c r="AI153" s="166"/>
      <c r="AJ153" s="166"/>
      <c r="AK153" s="166"/>
      <c r="AL153" s="166"/>
      <c r="AM153" s="166"/>
      <c r="AN153" s="165"/>
    </row>
    <row r="154" spans="1:40" ht="30" hidden="1" x14ac:dyDescent="0.25">
      <c r="A154" s="103">
        <f t="shared" si="28"/>
        <v>153</v>
      </c>
      <c r="B154" s="8" t="s">
        <v>94</v>
      </c>
      <c r="C154" s="10" t="s">
        <v>1045</v>
      </c>
      <c r="D154" s="10" t="s">
        <v>462</v>
      </c>
      <c r="E154" s="10" t="s">
        <v>463</v>
      </c>
      <c r="F154" s="10" t="s">
        <v>464</v>
      </c>
      <c r="G154" s="10" t="s">
        <v>29</v>
      </c>
      <c r="H154" s="10">
        <f t="shared" si="26"/>
        <v>0</v>
      </c>
      <c r="I154" s="49"/>
      <c r="J154" s="49"/>
      <c r="K154" s="49">
        <f>Master20[[#This Row],[Initial Budget]]-Master20[[#This Row],[Previously Committed Funds]]</f>
        <v>0</v>
      </c>
      <c r="L154" s="49"/>
      <c r="M154" s="49"/>
      <c r="N154" s="97">
        <f>Master20[[#This Row],[Design $ (Add/Deduct)]]+Master20[[#This Row],[Construction $ (Add/Ded)]]</f>
        <v>0</v>
      </c>
      <c r="O154" s="32">
        <v>400000</v>
      </c>
      <c r="P154" s="8">
        <v>2018</v>
      </c>
      <c r="Q154" s="10" t="s">
        <v>46</v>
      </c>
      <c r="R154" s="8">
        <f t="shared" si="27"/>
        <v>50</v>
      </c>
      <c r="S154" s="8">
        <v>33</v>
      </c>
      <c r="T154" s="8">
        <f t="shared" si="25"/>
        <v>33</v>
      </c>
      <c r="U154" s="8" t="s">
        <v>37</v>
      </c>
      <c r="V154" s="8">
        <f t="shared" si="24"/>
        <v>3</v>
      </c>
      <c r="W154" s="8" t="s">
        <v>34</v>
      </c>
      <c r="X154" s="8">
        <v>0</v>
      </c>
      <c r="Y154" s="8">
        <v>0</v>
      </c>
      <c r="Z154" s="8">
        <v>0</v>
      </c>
      <c r="AA154" s="8">
        <v>0</v>
      </c>
      <c r="AB154" s="8">
        <v>0</v>
      </c>
      <c r="AC154" s="8">
        <v>0</v>
      </c>
      <c r="AD154" s="8">
        <v>0</v>
      </c>
      <c r="AF154" s="17" t="s">
        <v>29</v>
      </c>
      <c r="AG154" s="8">
        <f>VLOOKUP(Master20[[#This Row],[Elevated Priority]],Epriority,2,)</f>
        <v>0</v>
      </c>
      <c r="AH154" s="152">
        <f>IF(Master20[[#This Row],[Status]]="Active",Master20[[#This Row],[Status_Score]],IF(D154="","",R154+H154+T154+V154+AG154+AE154+Master20[[#This Row],[Risk Mitigation]]+Master20[[#This Row],[Master Plan]]+Master20[[#This Row],[Community Request]]+Master20[[#This Row],[Community need]]+Master20[[#This Row],[Offset Aging Inf.]]+Master20[[#This Row],[Energy Savings]]+Master20[[#This Row],[Gen Revenue]]-5))</f>
        <v>81</v>
      </c>
      <c r="AI154" s="8"/>
      <c r="AJ154" s="8"/>
      <c r="AK154" s="8"/>
      <c r="AL154" s="8"/>
      <c r="AM154" s="8"/>
      <c r="AN154" s="10" t="s">
        <v>672</v>
      </c>
    </row>
    <row r="155" spans="1:40" ht="45" hidden="1" x14ac:dyDescent="0.25">
      <c r="A155" s="103">
        <f t="shared" si="28"/>
        <v>154</v>
      </c>
      <c r="B155" s="8" t="s">
        <v>65</v>
      </c>
      <c r="C155" s="10" t="s">
        <v>1045</v>
      </c>
      <c r="D155" s="10" t="s">
        <v>509</v>
      </c>
      <c r="E155" s="10" t="s">
        <v>922</v>
      </c>
      <c r="F155" s="10" t="s">
        <v>921</v>
      </c>
      <c r="G155" s="10" t="s">
        <v>29</v>
      </c>
      <c r="H155" s="10">
        <f t="shared" si="26"/>
        <v>0</v>
      </c>
      <c r="I155" s="49"/>
      <c r="J155" s="49"/>
      <c r="K155" s="49">
        <f>Master20[[#This Row],[Initial Budget]]-Master20[[#This Row],[Previously Committed Funds]]</f>
        <v>0</v>
      </c>
      <c r="L155" s="49"/>
      <c r="M155" s="49"/>
      <c r="N155" s="97">
        <f>Master20[[#This Row],[Design $ (Add/Deduct)]]+Master20[[#This Row],[Construction $ (Add/Ded)]]</f>
        <v>0</v>
      </c>
      <c r="O155" s="32">
        <v>3500000</v>
      </c>
      <c r="P155" s="8">
        <v>2018</v>
      </c>
      <c r="Q155" s="10" t="s">
        <v>46</v>
      </c>
      <c r="R155" s="8">
        <f t="shared" si="27"/>
        <v>50</v>
      </c>
      <c r="S155" s="8">
        <v>7</v>
      </c>
      <c r="T155" s="8">
        <f t="shared" si="25"/>
        <v>20</v>
      </c>
      <c r="U155" s="8" t="s">
        <v>43</v>
      </c>
      <c r="V155" s="8">
        <f t="shared" ref="V155:V186" si="29">VLOOKUP(U155,Urgency,2,FALSE)</f>
        <v>16</v>
      </c>
      <c r="W155" s="8" t="s">
        <v>34</v>
      </c>
      <c r="X155" s="8">
        <v>0</v>
      </c>
      <c r="Y155" s="8">
        <v>0</v>
      </c>
      <c r="Z155" s="8">
        <v>0</v>
      </c>
      <c r="AA155" s="8">
        <v>0</v>
      </c>
      <c r="AB155" s="8">
        <v>0</v>
      </c>
      <c r="AC155" s="8">
        <v>0</v>
      </c>
      <c r="AD155" s="8">
        <v>0</v>
      </c>
      <c r="AF155" s="17" t="s">
        <v>29</v>
      </c>
      <c r="AG155" s="8">
        <f>VLOOKUP(Master20[[#This Row],[Elevated Priority]],Epriority,2,)</f>
        <v>0</v>
      </c>
      <c r="AH155" s="152">
        <f>IF(Master20[[#This Row],[Status]]="Active",Master20[[#This Row],[Status_Score]],IF(D155="","",R155+H155+T155+V155+AG155+AE155+Master20[[#This Row],[Risk Mitigation]]+Master20[[#This Row],[Master Plan]]+Master20[[#This Row],[Community Request]]+Master20[[#This Row],[Community need]]+Master20[[#This Row],[Offset Aging Inf.]]+Master20[[#This Row],[Energy Savings]]+Master20[[#This Row],[Gen Revenue]]-5))</f>
        <v>81</v>
      </c>
      <c r="AI155" s="8"/>
      <c r="AJ155" s="8"/>
      <c r="AK155" s="8"/>
      <c r="AL155" s="8"/>
      <c r="AM155" s="8"/>
      <c r="AN155" s="10"/>
    </row>
    <row r="156" spans="1:40" ht="30" hidden="1" x14ac:dyDescent="0.25">
      <c r="A156" s="103">
        <f t="shared" si="28"/>
        <v>155</v>
      </c>
      <c r="B156" s="8" t="s">
        <v>94</v>
      </c>
      <c r="C156" s="10" t="s">
        <v>1045</v>
      </c>
      <c r="D156" s="10" t="s">
        <v>503</v>
      </c>
      <c r="E156" s="10" t="s">
        <v>504</v>
      </c>
      <c r="F156" s="10" t="s">
        <v>505</v>
      </c>
      <c r="G156" s="10" t="s">
        <v>29</v>
      </c>
      <c r="H156" s="10">
        <f t="shared" si="26"/>
        <v>0</v>
      </c>
      <c r="I156" s="49"/>
      <c r="J156" s="49"/>
      <c r="K156" s="49">
        <f>Master20[[#This Row],[Initial Budget]]-Master20[[#This Row],[Previously Committed Funds]]</f>
        <v>0</v>
      </c>
      <c r="L156" s="49"/>
      <c r="M156" s="49"/>
      <c r="N156" s="97">
        <f>Master20[[#This Row],[Design $ (Add/Deduct)]]+Master20[[#This Row],[Construction $ (Add/Ded)]]</f>
        <v>0</v>
      </c>
      <c r="O156" s="32">
        <v>75000</v>
      </c>
      <c r="P156" s="8">
        <v>2018</v>
      </c>
      <c r="Q156" s="10" t="s">
        <v>46</v>
      </c>
      <c r="R156" s="8">
        <f t="shared" si="27"/>
        <v>50</v>
      </c>
      <c r="S156" s="8">
        <v>31</v>
      </c>
      <c r="T156" s="8">
        <f t="shared" ref="T156:T187" si="30">VLOOKUP(S156,Department,2,FALSE)</f>
        <v>32</v>
      </c>
      <c r="U156" s="8" t="s">
        <v>41</v>
      </c>
      <c r="V156" s="8">
        <f t="shared" si="29"/>
        <v>4</v>
      </c>
      <c r="W156" s="8" t="s">
        <v>34</v>
      </c>
      <c r="X156" s="8">
        <v>0</v>
      </c>
      <c r="Y156" s="8">
        <v>0</v>
      </c>
      <c r="Z156" s="8">
        <v>0</v>
      </c>
      <c r="AA156" s="8">
        <v>0</v>
      </c>
      <c r="AB156" s="8">
        <v>0</v>
      </c>
      <c r="AC156" s="8">
        <v>0</v>
      </c>
      <c r="AD156" s="8">
        <v>0</v>
      </c>
      <c r="AF156" s="17" t="s">
        <v>29</v>
      </c>
      <c r="AG156" s="8">
        <f>VLOOKUP(Master20[[#This Row],[Elevated Priority]],Epriority,2,)</f>
        <v>0</v>
      </c>
      <c r="AH156" s="152">
        <f>IF(Master20[[#This Row],[Status]]="Active",Master20[[#This Row],[Status_Score]],IF(D156="","",R156+H156+T156+V156+AG156+AE156+Master20[[#This Row],[Risk Mitigation]]+Master20[[#This Row],[Master Plan]]+Master20[[#This Row],[Community Request]]+Master20[[#This Row],[Community need]]+Master20[[#This Row],[Offset Aging Inf.]]+Master20[[#This Row],[Energy Savings]]+Master20[[#This Row],[Gen Revenue]]-5))</f>
        <v>81</v>
      </c>
      <c r="AI156" s="8"/>
      <c r="AJ156" s="8"/>
      <c r="AK156" s="8"/>
      <c r="AL156" s="8"/>
      <c r="AM156" s="8"/>
      <c r="AN156" s="10" t="s">
        <v>672</v>
      </c>
    </row>
    <row r="157" spans="1:40" ht="45" hidden="1" x14ac:dyDescent="0.25">
      <c r="A157" s="103">
        <f t="shared" si="28"/>
        <v>156</v>
      </c>
      <c r="B157" s="8" t="s">
        <v>65</v>
      </c>
      <c r="C157" s="10" t="s">
        <v>1045</v>
      </c>
      <c r="D157" s="10" t="s">
        <v>468</v>
      </c>
      <c r="E157" s="10" t="s">
        <v>671</v>
      </c>
      <c r="F157" s="10" t="s">
        <v>469</v>
      </c>
      <c r="G157" s="10" t="s">
        <v>29</v>
      </c>
      <c r="H157" s="10">
        <f t="shared" si="26"/>
        <v>0</v>
      </c>
      <c r="I157" s="49"/>
      <c r="J157" s="49"/>
      <c r="K157" s="49">
        <f>Master20[[#This Row],[Initial Budget]]-Master20[[#This Row],[Previously Committed Funds]]</f>
        <v>0</v>
      </c>
      <c r="L157" s="49"/>
      <c r="M157" s="49"/>
      <c r="N157" s="97">
        <f>Master20[[#This Row],[Design $ (Add/Deduct)]]+Master20[[#This Row],[Construction $ (Add/Ded)]]</f>
        <v>0</v>
      </c>
      <c r="O157" s="32">
        <v>250000</v>
      </c>
      <c r="P157" s="8">
        <v>2018</v>
      </c>
      <c r="Q157" s="10" t="s">
        <v>686</v>
      </c>
      <c r="R157" s="8">
        <f t="shared" si="27"/>
        <v>60</v>
      </c>
      <c r="S157" s="8">
        <v>4</v>
      </c>
      <c r="T157" s="8">
        <f t="shared" si="30"/>
        <v>12</v>
      </c>
      <c r="U157" s="8" t="s">
        <v>43</v>
      </c>
      <c r="V157" s="8">
        <f t="shared" si="29"/>
        <v>16</v>
      </c>
      <c r="W157" s="8" t="s">
        <v>34</v>
      </c>
      <c r="X157" s="8">
        <v>0</v>
      </c>
      <c r="Y157" s="8">
        <v>0</v>
      </c>
      <c r="Z157" s="8">
        <v>0</v>
      </c>
      <c r="AA157" s="8">
        <v>0</v>
      </c>
      <c r="AB157" s="8">
        <v>0</v>
      </c>
      <c r="AC157" s="8">
        <v>0</v>
      </c>
      <c r="AD157" s="8">
        <v>0</v>
      </c>
      <c r="AF157" s="17" t="s">
        <v>29</v>
      </c>
      <c r="AG157" s="8">
        <f>VLOOKUP(Master20[[#This Row],[Elevated Priority]],Epriority,2,)</f>
        <v>0</v>
      </c>
      <c r="AH157" s="152">
        <f>IF(Master20[[#This Row],[Status]]="Active",Master20[[#This Row],[Status_Score]],IF(D157="","",R157+H157+T157+V157+AG157+AE157+Master20[[#This Row],[Risk Mitigation]]+Master20[[#This Row],[Master Plan]]+Master20[[#This Row],[Community Request]]+Master20[[#This Row],[Community need]]+Master20[[#This Row],[Offset Aging Inf.]]+Master20[[#This Row],[Energy Savings]]+Master20[[#This Row],[Gen Revenue]]-5))</f>
        <v>83</v>
      </c>
      <c r="AI157" s="8"/>
      <c r="AJ157" s="8"/>
      <c r="AK157" s="8"/>
      <c r="AL157" s="8"/>
      <c r="AM157" s="8"/>
      <c r="AN157" s="10"/>
    </row>
    <row r="158" spans="1:40" ht="120" hidden="1" x14ac:dyDescent="0.25">
      <c r="A158" s="103">
        <f t="shared" si="28"/>
        <v>157</v>
      </c>
      <c r="B158" s="8" t="s">
        <v>70</v>
      </c>
      <c r="C158" s="10" t="s">
        <v>1045</v>
      </c>
      <c r="D158" s="10" t="s">
        <v>408</v>
      </c>
      <c r="E158" s="10" t="s">
        <v>409</v>
      </c>
      <c r="F158" s="10" t="s">
        <v>1317</v>
      </c>
      <c r="G158" s="10" t="s">
        <v>29</v>
      </c>
      <c r="H158" s="10">
        <f t="shared" si="26"/>
        <v>0</v>
      </c>
      <c r="I158" s="49"/>
      <c r="J158" s="49"/>
      <c r="K158" s="49">
        <f>Master20[[#This Row],[Initial Budget]]-Master20[[#This Row],[Previously Committed Funds]]</f>
        <v>0</v>
      </c>
      <c r="L158" s="49"/>
      <c r="M158" s="49"/>
      <c r="N158" s="97">
        <f>Master20[[#This Row],[Design $ (Add/Deduct)]]+Master20[[#This Row],[Construction $ (Add/Ded)]]</f>
        <v>0</v>
      </c>
      <c r="O158" s="32">
        <v>750000</v>
      </c>
      <c r="P158" s="8">
        <v>2018</v>
      </c>
      <c r="Q158" s="10" t="s">
        <v>686</v>
      </c>
      <c r="R158" s="8">
        <f t="shared" si="27"/>
        <v>60</v>
      </c>
      <c r="S158" s="8">
        <v>5</v>
      </c>
      <c r="T158" s="8">
        <f t="shared" si="30"/>
        <v>15</v>
      </c>
      <c r="U158" s="8" t="s">
        <v>43</v>
      </c>
      <c r="V158" s="8">
        <f t="shared" si="29"/>
        <v>16</v>
      </c>
      <c r="W158" s="8" t="s">
        <v>34</v>
      </c>
      <c r="X158" s="8">
        <v>0</v>
      </c>
      <c r="Y158" s="8">
        <v>0</v>
      </c>
      <c r="Z158" s="8">
        <v>0</v>
      </c>
      <c r="AA158" s="8">
        <v>0</v>
      </c>
      <c r="AB158" s="8">
        <v>0</v>
      </c>
      <c r="AC158" s="8">
        <v>0</v>
      </c>
      <c r="AD158" s="8">
        <v>-1</v>
      </c>
      <c r="AF158" s="17" t="s">
        <v>29</v>
      </c>
      <c r="AG158" s="8">
        <f>VLOOKUP(Master20[[#This Row],[Elevated Priority]],Epriority,2,)</f>
        <v>0</v>
      </c>
      <c r="AH158" s="152">
        <f>IF(Master20[[#This Row],[Status]]="Active",Master20[[#This Row],[Status_Score]],IF(D158="","",R158+H158+T158+V158+AG158+AE158+Master20[[#This Row],[Risk Mitigation]]+Master20[[#This Row],[Master Plan]]+Master20[[#This Row],[Community Request]]+Master20[[#This Row],[Community need]]+Master20[[#This Row],[Offset Aging Inf.]]+Master20[[#This Row],[Energy Savings]]+Master20[[#This Row],[Gen Revenue]]-5))</f>
        <v>85</v>
      </c>
      <c r="AI158" s="8"/>
      <c r="AJ158" s="8"/>
      <c r="AK158" s="8"/>
      <c r="AL158" s="8"/>
      <c r="AM158" s="8"/>
      <c r="AN158" s="10"/>
    </row>
    <row r="159" spans="1:40" ht="240" hidden="1" x14ac:dyDescent="0.25">
      <c r="A159" s="103">
        <f t="shared" si="28"/>
        <v>158</v>
      </c>
      <c r="B159" s="8" t="s">
        <v>1195</v>
      </c>
      <c r="C159" s="10" t="s">
        <v>1045</v>
      </c>
      <c r="D159" s="10" t="s">
        <v>1092</v>
      </c>
      <c r="E159" s="10" t="s">
        <v>1103</v>
      </c>
      <c r="F159" s="10" t="s">
        <v>1093</v>
      </c>
      <c r="G159" s="10" t="s">
        <v>29</v>
      </c>
      <c r="H159" s="10">
        <f t="shared" si="26"/>
        <v>0</v>
      </c>
      <c r="I159" s="49"/>
      <c r="J159" s="49"/>
      <c r="K159" s="49">
        <f>Master20[[#This Row],[Initial Budget]]-Master20[[#This Row],[Previously Committed Funds]]</f>
        <v>0</v>
      </c>
      <c r="L159" s="49"/>
      <c r="M159" s="49"/>
      <c r="N159" s="97">
        <f>Master20[[#This Row],[Design $ (Add/Deduct)]]+Master20[[#This Row],[Construction $ (Add/Ded)]]</f>
        <v>0</v>
      </c>
      <c r="O159" s="32">
        <v>85000</v>
      </c>
      <c r="P159" s="8">
        <v>2022</v>
      </c>
      <c r="Q159" s="10" t="s">
        <v>686</v>
      </c>
      <c r="R159" s="8">
        <f t="shared" si="27"/>
        <v>60</v>
      </c>
      <c r="S159" s="8">
        <v>5</v>
      </c>
      <c r="T159" s="8">
        <f t="shared" si="30"/>
        <v>15</v>
      </c>
      <c r="U159" s="8" t="s">
        <v>43</v>
      </c>
      <c r="V159" s="8">
        <f t="shared" si="29"/>
        <v>16</v>
      </c>
      <c r="W159" s="8" t="s">
        <v>30</v>
      </c>
      <c r="X159" s="8">
        <v>0</v>
      </c>
      <c r="Y159" s="8">
        <v>0</v>
      </c>
      <c r="Z159" s="8">
        <v>0</v>
      </c>
      <c r="AA159" s="8">
        <v>0</v>
      </c>
      <c r="AB159" s="8">
        <v>0</v>
      </c>
      <c r="AC159" s="8">
        <v>0</v>
      </c>
      <c r="AD159" s="8">
        <v>0</v>
      </c>
      <c r="AF159" s="17" t="s">
        <v>29</v>
      </c>
      <c r="AG159" s="8">
        <f>VLOOKUP(Master20[[#This Row],[Elevated Priority]],Epriority,2,)</f>
        <v>0</v>
      </c>
      <c r="AH159" s="152">
        <f>IF(Master20[[#This Row],[Status]]="Active",Master20[[#This Row],[Status_Score]],IF(D159="","",R159+H159+T159+V159+AG159+AE159+Master20[[#This Row],[Risk Mitigation]]+Master20[[#This Row],[Master Plan]]+Master20[[#This Row],[Community Request]]+Master20[[#This Row],[Community need]]+Master20[[#This Row],[Offset Aging Inf.]]+Master20[[#This Row],[Energy Savings]]+Master20[[#This Row],[Gen Revenue]]-5))</f>
        <v>86</v>
      </c>
      <c r="AI159" s="8"/>
      <c r="AJ159" s="8"/>
      <c r="AK159" s="8"/>
      <c r="AL159" s="8"/>
      <c r="AM159" s="8"/>
      <c r="AN159" s="10"/>
    </row>
    <row r="160" spans="1:40" ht="75" hidden="1" x14ac:dyDescent="0.25">
      <c r="A160" s="103">
        <f t="shared" si="28"/>
        <v>159</v>
      </c>
      <c r="B160" s="8" t="s">
        <v>1208</v>
      </c>
      <c r="C160" s="10" t="s">
        <v>70</v>
      </c>
      <c r="D160" s="10" t="s">
        <v>562</v>
      </c>
      <c r="E160" s="10" t="s">
        <v>563</v>
      </c>
      <c r="F160" s="10" t="s">
        <v>1323</v>
      </c>
      <c r="G160" s="10" t="s">
        <v>29</v>
      </c>
      <c r="H160" s="10">
        <f t="shared" si="26"/>
        <v>0</v>
      </c>
      <c r="I160" s="49"/>
      <c r="J160" s="49"/>
      <c r="K160" s="49">
        <f>Master20[[#This Row],[Initial Budget]]-Master20[[#This Row],[Previously Committed Funds]]</f>
        <v>0</v>
      </c>
      <c r="L160" s="49"/>
      <c r="M160" s="49"/>
      <c r="N160" s="97">
        <f>Master20[[#This Row],[Design $ (Add/Deduct)]]+Master20[[#This Row],[Construction $ (Add/Ded)]]</f>
        <v>0</v>
      </c>
      <c r="O160" s="32">
        <v>850000</v>
      </c>
      <c r="P160" s="8">
        <v>2018</v>
      </c>
      <c r="Q160" s="10" t="s">
        <v>46</v>
      </c>
      <c r="R160" s="8">
        <f t="shared" si="27"/>
        <v>50</v>
      </c>
      <c r="S160" s="8">
        <v>4</v>
      </c>
      <c r="T160" s="8">
        <f t="shared" si="30"/>
        <v>12</v>
      </c>
      <c r="U160" s="8" t="s">
        <v>45</v>
      </c>
      <c r="V160" s="8">
        <f t="shared" si="29"/>
        <v>32</v>
      </c>
      <c r="W160" s="8" t="s">
        <v>34</v>
      </c>
      <c r="X160" s="8">
        <v>0</v>
      </c>
      <c r="Y160" s="8">
        <v>0</v>
      </c>
      <c r="Z160" s="8">
        <v>0</v>
      </c>
      <c r="AA160" s="8">
        <v>0</v>
      </c>
      <c r="AB160" s="8">
        <v>-2</v>
      </c>
      <c r="AC160" s="8">
        <v>0</v>
      </c>
      <c r="AD160" s="8">
        <v>-1</v>
      </c>
      <c r="AF160" s="17" t="s">
        <v>29</v>
      </c>
      <c r="AG160" s="8">
        <f>VLOOKUP(Master20[[#This Row],[Elevated Priority]],Epriority,2,)</f>
        <v>0</v>
      </c>
      <c r="AH160" s="152">
        <f>IF(Master20[[#This Row],[Status]]="Active",Master20[[#This Row],[Status_Score]],IF(D160="","",R160+H160+T160+V160+AG160+AE160+Master20[[#This Row],[Risk Mitigation]]+Master20[[#This Row],[Master Plan]]+Master20[[#This Row],[Community Request]]+Master20[[#This Row],[Community need]]+Master20[[#This Row],[Offset Aging Inf.]]+Master20[[#This Row],[Energy Savings]]+Master20[[#This Row],[Gen Revenue]]-5))</f>
        <v>86</v>
      </c>
      <c r="AI160" s="8"/>
      <c r="AJ160" s="8"/>
      <c r="AK160" s="8"/>
      <c r="AL160" s="8"/>
      <c r="AM160" s="8"/>
      <c r="AN160" s="10"/>
    </row>
    <row r="161" spans="1:40" ht="30" hidden="1" x14ac:dyDescent="0.25">
      <c r="A161" s="103">
        <f t="shared" si="28"/>
        <v>160</v>
      </c>
      <c r="B161" s="8" t="s">
        <v>67</v>
      </c>
      <c r="C161" s="10" t="s">
        <v>1045</v>
      </c>
      <c r="D161" s="10" t="s">
        <v>1033</v>
      </c>
      <c r="E161" s="10" t="s">
        <v>1034</v>
      </c>
      <c r="F161" s="10" t="s">
        <v>1318</v>
      </c>
      <c r="G161" s="10" t="s">
        <v>29</v>
      </c>
      <c r="H161" s="10">
        <f t="shared" si="26"/>
        <v>0</v>
      </c>
      <c r="I161" s="49"/>
      <c r="J161" s="49"/>
      <c r="K161" s="49">
        <f>Master20[[#This Row],[Initial Budget]]-Master20[[#This Row],[Previously Committed Funds]]</f>
        <v>0</v>
      </c>
      <c r="L161" s="49"/>
      <c r="M161" s="49"/>
      <c r="N161" s="97">
        <f>Master20[[#This Row],[Design $ (Add/Deduct)]]+Master20[[#This Row],[Construction $ (Add/Ded)]]</f>
        <v>0</v>
      </c>
      <c r="O161" s="32">
        <v>3000000</v>
      </c>
      <c r="P161" s="8">
        <v>2018</v>
      </c>
      <c r="Q161" s="10" t="s">
        <v>46</v>
      </c>
      <c r="R161" s="8">
        <f t="shared" ref="R161:R192" si="31">VLOOKUP(Q161,Importance,2,FALSE)</f>
        <v>50</v>
      </c>
      <c r="S161" s="8">
        <v>4</v>
      </c>
      <c r="T161" s="8">
        <f t="shared" si="30"/>
        <v>12</v>
      </c>
      <c r="U161" s="8" t="s">
        <v>45</v>
      </c>
      <c r="V161" s="8">
        <f t="shared" si="29"/>
        <v>32</v>
      </c>
      <c r="W161" s="8" t="s">
        <v>34</v>
      </c>
      <c r="X161" s="8">
        <v>-1</v>
      </c>
      <c r="Y161" s="8">
        <v>0</v>
      </c>
      <c r="Z161" s="8">
        <v>0</v>
      </c>
      <c r="AA161" s="8">
        <v>0</v>
      </c>
      <c r="AB161" s="8">
        <v>-2</v>
      </c>
      <c r="AC161" s="8">
        <v>0</v>
      </c>
      <c r="AD161" s="8">
        <v>0</v>
      </c>
      <c r="AF161" s="17" t="s">
        <v>29</v>
      </c>
      <c r="AG161" s="8">
        <f>VLOOKUP(Master20[[#This Row],[Elevated Priority]],Epriority,2,)</f>
        <v>0</v>
      </c>
      <c r="AH161" s="152">
        <f>IF(Master20[[#This Row],[Status]]="Active",Master20[[#This Row],[Status_Score]],IF(D161="","",R161+H161+T161+V161+AG161+AE161+Master20[[#This Row],[Risk Mitigation]]+Master20[[#This Row],[Master Plan]]+Master20[[#This Row],[Community Request]]+Master20[[#This Row],[Community need]]+Master20[[#This Row],[Offset Aging Inf.]]+Master20[[#This Row],[Energy Savings]]+Master20[[#This Row],[Gen Revenue]]-5))</f>
        <v>86</v>
      </c>
      <c r="AI161" s="8"/>
      <c r="AJ161" s="8"/>
      <c r="AK161" s="8"/>
      <c r="AL161" s="8"/>
      <c r="AM161" s="8"/>
      <c r="AN161" s="10"/>
    </row>
    <row r="162" spans="1:40" ht="30" hidden="1" x14ac:dyDescent="0.25">
      <c r="A162" s="103">
        <f t="shared" si="28"/>
        <v>161</v>
      </c>
      <c r="B162" s="8" t="s">
        <v>70</v>
      </c>
      <c r="C162" s="10" t="s">
        <v>1045</v>
      </c>
      <c r="D162" s="10" t="s">
        <v>1198</v>
      </c>
      <c r="E162" s="10" t="s">
        <v>391</v>
      </c>
      <c r="F162" s="10" t="s">
        <v>392</v>
      </c>
      <c r="G162" s="10" t="s">
        <v>29</v>
      </c>
      <c r="H162" s="10">
        <f t="shared" si="26"/>
        <v>0</v>
      </c>
      <c r="I162" s="49"/>
      <c r="J162" s="49"/>
      <c r="K162" s="49">
        <f>Master20[[#This Row],[Initial Budget]]-Master20[[#This Row],[Previously Committed Funds]]</f>
        <v>0</v>
      </c>
      <c r="L162" s="49"/>
      <c r="M162" s="49"/>
      <c r="N162" s="97">
        <f>Master20[[#This Row],[Design $ (Add/Deduct)]]+Master20[[#This Row],[Construction $ (Add/Ded)]]</f>
        <v>0</v>
      </c>
      <c r="O162" s="32">
        <v>150000</v>
      </c>
      <c r="P162" s="8">
        <v>2018</v>
      </c>
      <c r="Q162" s="10" t="s">
        <v>686</v>
      </c>
      <c r="R162" s="8">
        <f t="shared" si="31"/>
        <v>60</v>
      </c>
      <c r="S162" s="8">
        <v>5</v>
      </c>
      <c r="T162" s="8">
        <f t="shared" si="30"/>
        <v>15</v>
      </c>
      <c r="U162" s="8" t="s">
        <v>43</v>
      </c>
      <c r="V162" s="8">
        <f t="shared" si="29"/>
        <v>16</v>
      </c>
      <c r="W162" s="8" t="s">
        <v>34</v>
      </c>
      <c r="X162" s="8">
        <v>0</v>
      </c>
      <c r="Y162" s="8">
        <v>0</v>
      </c>
      <c r="Z162" s="8">
        <v>0</v>
      </c>
      <c r="AA162" s="8">
        <v>0</v>
      </c>
      <c r="AB162" s="8">
        <v>0</v>
      </c>
      <c r="AC162" s="8">
        <v>0</v>
      </c>
      <c r="AD162" s="8">
        <v>0</v>
      </c>
      <c r="AF162" s="17" t="s">
        <v>29</v>
      </c>
      <c r="AG162" s="8">
        <f>VLOOKUP(Master20[[#This Row],[Elevated Priority]],Epriority,2,)</f>
        <v>0</v>
      </c>
      <c r="AH162" s="152">
        <f>IF(Master20[[#This Row],[Status]]="Active",Master20[[#This Row],[Status_Score]],IF(D162="","",R162+H162+T162+V162+AG162+AE162+Master20[[#This Row],[Risk Mitigation]]+Master20[[#This Row],[Master Plan]]+Master20[[#This Row],[Community Request]]+Master20[[#This Row],[Community need]]+Master20[[#This Row],[Offset Aging Inf.]]+Master20[[#This Row],[Energy Savings]]+Master20[[#This Row],[Gen Revenue]]-5))</f>
        <v>86</v>
      </c>
      <c r="AI162" s="8"/>
      <c r="AJ162" s="8"/>
      <c r="AK162" s="8"/>
      <c r="AL162" s="8"/>
      <c r="AM162" s="8"/>
      <c r="AN162" s="10"/>
    </row>
    <row r="163" spans="1:40" ht="135" hidden="1" x14ac:dyDescent="0.25">
      <c r="A163" s="103">
        <f t="shared" si="28"/>
        <v>162</v>
      </c>
      <c r="B163" s="8" t="s">
        <v>1210</v>
      </c>
      <c r="C163" s="10" t="s">
        <v>1189</v>
      </c>
      <c r="D163" s="10" t="s">
        <v>912</v>
      </c>
      <c r="E163" s="10" t="s">
        <v>913</v>
      </c>
      <c r="F163" s="10" t="s">
        <v>914</v>
      </c>
      <c r="G163" s="10" t="s">
        <v>29</v>
      </c>
      <c r="H163" s="10">
        <f t="shared" si="26"/>
        <v>0</v>
      </c>
      <c r="I163" s="49"/>
      <c r="J163" s="49"/>
      <c r="K163" s="49">
        <f>Master20[[#This Row],[Initial Budget]]-Master20[[#This Row],[Previously Committed Funds]]</f>
        <v>0</v>
      </c>
      <c r="L163" s="49"/>
      <c r="M163" s="49"/>
      <c r="N163" s="97">
        <f>Master20[[#This Row],[Design $ (Add/Deduct)]]+Master20[[#This Row],[Construction $ (Add/Ded)]]</f>
        <v>0</v>
      </c>
      <c r="O163" s="32">
        <v>30000000</v>
      </c>
      <c r="P163" s="8">
        <v>2018</v>
      </c>
      <c r="Q163" s="10" t="s">
        <v>46</v>
      </c>
      <c r="R163" s="8">
        <f t="shared" si="31"/>
        <v>50</v>
      </c>
      <c r="S163" s="8">
        <v>6</v>
      </c>
      <c r="T163" s="8">
        <f t="shared" si="30"/>
        <v>18</v>
      </c>
      <c r="U163" s="8" t="s">
        <v>45</v>
      </c>
      <c r="V163" s="8">
        <f t="shared" si="29"/>
        <v>32</v>
      </c>
      <c r="W163" s="8" t="s">
        <v>34</v>
      </c>
      <c r="X163" s="8">
        <v>-3</v>
      </c>
      <c r="Y163" s="8">
        <v>0</v>
      </c>
      <c r="Z163" s="8">
        <v>0</v>
      </c>
      <c r="AA163" s="8">
        <v>0</v>
      </c>
      <c r="AB163" s="8">
        <v>-2</v>
      </c>
      <c r="AC163" s="8">
        <v>-3</v>
      </c>
      <c r="AD163" s="8">
        <v>0</v>
      </c>
      <c r="AF163" s="17" t="s">
        <v>29</v>
      </c>
      <c r="AG163" s="8">
        <f>VLOOKUP(Master20[[#This Row],[Elevated Priority]],Epriority,2,)</f>
        <v>0</v>
      </c>
      <c r="AH163" s="152">
        <f>IF(Master20[[#This Row],[Status]]="Active",Master20[[#This Row],[Status_Score]],IF(D163="","",R163+H163+T163+V163+AG163+AE163+Master20[[#This Row],[Risk Mitigation]]+Master20[[#This Row],[Master Plan]]+Master20[[#This Row],[Community Request]]+Master20[[#This Row],[Community need]]+Master20[[#This Row],[Offset Aging Inf.]]+Master20[[#This Row],[Energy Savings]]+Master20[[#This Row],[Gen Revenue]]-5))</f>
        <v>87</v>
      </c>
      <c r="AI163" s="8"/>
      <c r="AJ163" s="8"/>
      <c r="AK163" s="8"/>
      <c r="AL163" s="8"/>
      <c r="AM163" s="8"/>
      <c r="AN163" s="10"/>
    </row>
    <row r="164" spans="1:40" ht="90" hidden="1" x14ac:dyDescent="0.25">
      <c r="A164" s="103">
        <f t="shared" si="28"/>
        <v>163</v>
      </c>
      <c r="B164" s="8" t="s">
        <v>67</v>
      </c>
      <c r="C164" s="10" t="s">
        <v>159</v>
      </c>
      <c r="D164" s="10" t="s">
        <v>575</v>
      </c>
      <c r="E164" s="10" t="s">
        <v>576</v>
      </c>
      <c r="F164" s="10" t="s">
        <v>1319</v>
      </c>
      <c r="G164" s="10" t="s">
        <v>29</v>
      </c>
      <c r="H164" s="10">
        <f t="shared" si="26"/>
        <v>0</v>
      </c>
      <c r="I164" s="49"/>
      <c r="J164" s="49"/>
      <c r="K164" s="49">
        <f>Master20[[#This Row],[Initial Budget]]-Master20[[#This Row],[Previously Committed Funds]]</f>
        <v>0</v>
      </c>
      <c r="L164" s="49"/>
      <c r="M164" s="49"/>
      <c r="N164" s="97">
        <f>Master20[[#This Row],[Design $ (Add/Deduct)]]+Master20[[#This Row],[Construction $ (Add/Ded)]]</f>
        <v>0</v>
      </c>
      <c r="O164" s="32">
        <v>350000</v>
      </c>
      <c r="P164" s="8">
        <v>2018</v>
      </c>
      <c r="Q164" s="10" t="s">
        <v>830</v>
      </c>
      <c r="R164" s="8">
        <f t="shared" si="31"/>
        <v>10</v>
      </c>
      <c r="S164" s="8">
        <v>8</v>
      </c>
      <c r="T164" s="8">
        <f t="shared" si="30"/>
        <v>20</v>
      </c>
      <c r="U164" s="8" t="s">
        <v>47</v>
      </c>
      <c r="V164" s="8">
        <f t="shared" si="29"/>
        <v>64</v>
      </c>
      <c r="W164" s="8" t="s">
        <v>34</v>
      </c>
      <c r="X164" s="8">
        <v>0</v>
      </c>
      <c r="Y164" s="8">
        <v>0</v>
      </c>
      <c r="Z164" s="8">
        <v>0</v>
      </c>
      <c r="AA164" s="8">
        <v>0</v>
      </c>
      <c r="AB164" s="8">
        <v>-2</v>
      </c>
      <c r="AC164" s="8">
        <v>0</v>
      </c>
      <c r="AD164" s="8">
        <v>0</v>
      </c>
      <c r="AF164" s="17" t="s">
        <v>29</v>
      </c>
      <c r="AG164" s="8">
        <f>VLOOKUP(Master20[[#This Row],[Elevated Priority]],Epriority,2,)</f>
        <v>0</v>
      </c>
      <c r="AH164" s="152">
        <f>IF(Master20[[#This Row],[Status]]="Active",Master20[[#This Row],[Status_Score]],IF(D164="","",R164+H164+T164+V164+AG164+AE164+Master20[[#This Row],[Risk Mitigation]]+Master20[[#This Row],[Master Plan]]+Master20[[#This Row],[Community Request]]+Master20[[#This Row],[Community need]]+Master20[[#This Row],[Offset Aging Inf.]]+Master20[[#This Row],[Energy Savings]]+Master20[[#This Row],[Gen Revenue]]-5))</f>
        <v>87</v>
      </c>
      <c r="AI164" s="8"/>
      <c r="AJ164" s="8"/>
      <c r="AK164" s="8"/>
      <c r="AL164" s="8"/>
      <c r="AM164" s="8"/>
      <c r="AN164" s="10"/>
    </row>
    <row r="165" spans="1:40" ht="60" hidden="1" x14ac:dyDescent="0.25">
      <c r="A165" s="103">
        <f t="shared" si="28"/>
        <v>164</v>
      </c>
      <c r="B165" s="8" t="s">
        <v>1195</v>
      </c>
      <c r="C165" s="10" t="s">
        <v>1045</v>
      </c>
      <c r="D165" s="10" t="s">
        <v>1217</v>
      </c>
      <c r="E165" s="10" t="s">
        <v>1099</v>
      </c>
      <c r="F165" s="10"/>
      <c r="G165" s="10" t="s">
        <v>29</v>
      </c>
      <c r="H165" s="10">
        <f t="shared" si="26"/>
        <v>0</v>
      </c>
      <c r="I165" s="49"/>
      <c r="J165" s="49"/>
      <c r="K165" s="49">
        <f>Master20[[#This Row],[Initial Budget]]-Master20[[#This Row],[Previously Committed Funds]]</f>
        <v>0</v>
      </c>
      <c r="L165" s="49"/>
      <c r="M165" s="49"/>
      <c r="N165" s="97">
        <f>Master20[[#This Row],[Design $ (Add/Deduct)]]+Master20[[#This Row],[Construction $ (Add/Ded)]]</f>
        <v>0</v>
      </c>
      <c r="O165" s="32">
        <v>975740</v>
      </c>
      <c r="P165" s="8">
        <v>2022</v>
      </c>
      <c r="Q165" s="10" t="s">
        <v>46</v>
      </c>
      <c r="R165" s="8">
        <f t="shared" si="31"/>
        <v>50</v>
      </c>
      <c r="S165" s="8">
        <v>4</v>
      </c>
      <c r="T165" s="8">
        <f t="shared" si="30"/>
        <v>12</v>
      </c>
      <c r="U165" s="8" t="s">
        <v>45</v>
      </c>
      <c r="V165" s="8">
        <f t="shared" si="29"/>
        <v>32</v>
      </c>
      <c r="W165" s="8" t="s">
        <v>34</v>
      </c>
      <c r="X165" s="8">
        <v>0</v>
      </c>
      <c r="Y165" s="8">
        <v>0</v>
      </c>
      <c r="Z165" s="8">
        <v>0</v>
      </c>
      <c r="AA165" s="8">
        <v>0</v>
      </c>
      <c r="AB165" s="8">
        <v>0</v>
      </c>
      <c r="AC165" s="8">
        <v>0</v>
      </c>
      <c r="AD165" s="8">
        <v>-1</v>
      </c>
      <c r="AF165" s="17" t="s">
        <v>29</v>
      </c>
      <c r="AG165" s="8">
        <f>VLOOKUP(Master20[[#This Row],[Elevated Priority]],Epriority,2,)</f>
        <v>0</v>
      </c>
      <c r="AH165" s="152">
        <f>IF(Master20[[#This Row],[Status]]="Active",Master20[[#This Row],[Status_Score]],IF(D165="","",R165+H165+T165+V165+AG165+AE165+Master20[[#This Row],[Risk Mitigation]]+Master20[[#This Row],[Master Plan]]+Master20[[#This Row],[Community Request]]+Master20[[#This Row],[Community need]]+Master20[[#This Row],[Offset Aging Inf.]]+Master20[[#This Row],[Energy Savings]]+Master20[[#This Row],[Gen Revenue]]-5))</f>
        <v>88</v>
      </c>
      <c r="AI165" s="8"/>
      <c r="AJ165" s="8"/>
      <c r="AK165" s="8"/>
      <c r="AL165" s="8"/>
      <c r="AM165" s="8"/>
      <c r="AN165" s="10"/>
    </row>
    <row r="166" spans="1:40" ht="45" hidden="1" x14ac:dyDescent="0.25">
      <c r="A166" s="103">
        <f t="shared" si="28"/>
        <v>165</v>
      </c>
      <c r="B166" s="8" t="s">
        <v>94</v>
      </c>
      <c r="C166" s="10" t="s">
        <v>1045</v>
      </c>
      <c r="D166" s="10" t="s">
        <v>535</v>
      </c>
      <c r="E166" s="10" t="s">
        <v>536</v>
      </c>
      <c r="F166" s="10" t="s">
        <v>537</v>
      </c>
      <c r="G166" s="10" t="s">
        <v>29</v>
      </c>
      <c r="H166" s="10">
        <f t="shared" si="26"/>
        <v>0</v>
      </c>
      <c r="I166" s="49"/>
      <c r="J166" s="49"/>
      <c r="K166" s="49">
        <f>Master20[[#This Row],[Initial Budget]]-Master20[[#This Row],[Previously Committed Funds]]</f>
        <v>0</v>
      </c>
      <c r="L166" s="49"/>
      <c r="M166" s="49"/>
      <c r="N166" s="97">
        <f>Master20[[#This Row],[Design $ (Add/Deduct)]]+Master20[[#This Row],[Construction $ (Add/Ded)]]</f>
        <v>0</v>
      </c>
      <c r="O166" s="32">
        <v>500000</v>
      </c>
      <c r="P166" s="8">
        <v>2018</v>
      </c>
      <c r="Q166" s="10" t="s">
        <v>46</v>
      </c>
      <c r="R166" s="8">
        <f t="shared" si="31"/>
        <v>50</v>
      </c>
      <c r="S166" s="8">
        <v>24</v>
      </c>
      <c r="T166" s="8">
        <f t="shared" si="30"/>
        <v>28</v>
      </c>
      <c r="U166" s="8" t="s">
        <v>43</v>
      </c>
      <c r="V166" s="8">
        <f t="shared" si="29"/>
        <v>16</v>
      </c>
      <c r="W166" s="8" t="s">
        <v>34</v>
      </c>
      <c r="X166" s="8">
        <v>-1</v>
      </c>
      <c r="Y166" s="8">
        <v>0</v>
      </c>
      <c r="Z166" s="8">
        <v>0</v>
      </c>
      <c r="AA166" s="8">
        <v>0</v>
      </c>
      <c r="AB166" s="8">
        <v>0</v>
      </c>
      <c r="AC166" s="8">
        <v>0</v>
      </c>
      <c r="AD166" s="8">
        <v>0</v>
      </c>
      <c r="AF166" s="17" t="s">
        <v>29</v>
      </c>
      <c r="AG166" s="8">
        <f>VLOOKUP(Master20[[#This Row],[Elevated Priority]],Epriority,2,)</f>
        <v>0</v>
      </c>
      <c r="AH166" s="152">
        <f>IF(Master20[[#This Row],[Status]]="Active",Master20[[#This Row],[Status_Score]],IF(D166="","",R166+H166+T166+V166+AG166+AE166+Master20[[#This Row],[Risk Mitigation]]+Master20[[#This Row],[Master Plan]]+Master20[[#This Row],[Community Request]]+Master20[[#This Row],[Community need]]+Master20[[#This Row],[Offset Aging Inf.]]+Master20[[#This Row],[Energy Savings]]+Master20[[#This Row],[Gen Revenue]]-5))</f>
        <v>88</v>
      </c>
      <c r="AI166" s="8"/>
      <c r="AJ166" s="8"/>
      <c r="AK166" s="8"/>
      <c r="AL166" s="8"/>
      <c r="AM166" s="8"/>
      <c r="AN166" s="10"/>
    </row>
    <row r="167" spans="1:40" ht="30" hidden="1" x14ac:dyDescent="0.25">
      <c r="A167" s="103">
        <f t="shared" si="28"/>
        <v>166</v>
      </c>
      <c r="B167" s="8" t="s">
        <v>65</v>
      </c>
      <c r="C167" s="10" t="s">
        <v>1045</v>
      </c>
      <c r="D167" s="10" t="s">
        <v>550</v>
      </c>
      <c r="E167" s="10" t="s">
        <v>551</v>
      </c>
      <c r="F167" s="10"/>
      <c r="G167" s="10" t="s">
        <v>29</v>
      </c>
      <c r="H167" s="10">
        <f t="shared" si="26"/>
        <v>0</v>
      </c>
      <c r="I167" s="49"/>
      <c r="J167" s="49"/>
      <c r="K167" s="49">
        <f>Master20[[#This Row],[Initial Budget]]-Master20[[#This Row],[Previously Committed Funds]]</f>
        <v>0</v>
      </c>
      <c r="L167" s="49"/>
      <c r="M167" s="49"/>
      <c r="N167" s="97">
        <f>Master20[[#This Row],[Design $ (Add/Deduct)]]+Master20[[#This Row],[Construction $ (Add/Ded)]]</f>
        <v>0</v>
      </c>
      <c r="O167" s="32">
        <v>3000000</v>
      </c>
      <c r="P167" s="8">
        <v>2018</v>
      </c>
      <c r="Q167" s="10" t="s">
        <v>46</v>
      </c>
      <c r="R167" s="8">
        <f t="shared" si="31"/>
        <v>50</v>
      </c>
      <c r="S167" s="8">
        <v>10</v>
      </c>
      <c r="T167" s="8">
        <f t="shared" si="30"/>
        <v>21</v>
      </c>
      <c r="U167" s="8" t="s">
        <v>45</v>
      </c>
      <c r="V167" s="8">
        <f t="shared" si="29"/>
        <v>32</v>
      </c>
      <c r="W167" s="8" t="s">
        <v>34</v>
      </c>
      <c r="X167" s="8">
        <v>-3</v>
      </c>
      <c r="Y167" s="8">
        <v>0</v>
      </c>
      <c r="Z167" s="8">
        <v>0</v>
      </c>
      <c r="AA167" s="8">
        <v>-3</v>
      </c>
      <c r="AB167" s="8">
        <v>-2</v>
      </c>
      <c r="AC167" s="8">
        <v>-1</v>
      </c>
      <c r="AD167" s="8">
        <v>0</v>
      </c>
      <c r="AF167" s="17" t="s">
        <v>29</v>
      </c>
      <c r="AG167" s="8">
        <f>VLOOKUP(Master20[[#This Row],[Elevated Priority]],Epriority,2,)</f>
        <v>0</v>
      </c>
      <c r="AH167" s="152">
        <f>IF(Master20[[#This Row],[Status]]="Active",Master20[[#This Row],[Status_Score]],IF(D167="","",R167+H167+T167+V167+AG167+AE167+Master20[[#This Row],[Risk Mitigation]]+Master20[[#This Row],[Master Plan]]+Master20[[#This Row],[Community Request]]+Master20[[#This Row],[Community need]]+Master20[[#This Row],[Offset Aging Inf.]]+Master20[[#This Row],[Energy Savings]]+Master20[[#This Row],[Gen Revenue]]-5))</f>
        <v>89</v>
      </c>
      <c r="AI167" s="8"/>
      <c r="AJ167" s="8"/>
      <c r="AK167" s="8"/>
      <c r="AL167" s="8"/>
      <c r="AM167" s="8"/>
      <c r="AN167" s="10"/>
    </row>
    <row r="168" spans="1:40" ht="45" hidden="1" x14ac:dyDescent="0.25">
      <c r="A168" s="103">
        <f t="shared" si="28"/>
        <v>167</v>
      </c>
      <c r="B168" s="8" t="s">
        <v>65</v>
      </c>
      <c r="C168" s="10" t="s">
        <v>1045</v>
      </c>
      <c r="D168" s="10" t="s">
        <v>842</v>
      </c>
      <c r="E168" s="10" t="s">
        <v>388</v>
      </c>
      <c r="F168" s="10" t="s">
        <v>389</v>
      </c>
      <c r="G168" s="10" t="s">
        <v>29</v>
      </c>
      <c r="H168" s="10">
        <f t="shared" si="26"/>
        <v>0</v>
      </c>
      <c r="I168" s="49"/>
      <c r="J168" s="49"/>
      <c r="K168" s="49">
        <f>Master20[[#This Row],[Initial Budget]]-Master20[[#This Row],[Previously Committed Funds]]</f>
        <v>0</v>
      </c>
      <c r="L168" s="49"/>
      <c r="M168" s="49"/>
      <c r="N168" s="97">
        <f>Master20[[#This Row],[Design $ (Add/Deduct)]]+Master20[[#This Row],[Construction $ (Add/Ded)]]</f>
        <v>0</v>
      </c>
      <c r="O168" s="32">
        <v>375000</v>
      </c>
      <c r="P168" s="8">
        <v>2018</v>
      </c>
      <c r="Q168" s="10" t="s">
        <v>686</v>
      </c>
      <c r="R168" s="8">
        <f t="shared" si="31"/>
        <v>60</v>
      </c>
      <c r="S168" s="8">
        <v>10</v>
      </c>
      <c r="T168" s="8">
        <f t="shared" si="30"/>
        <v>21</v>
      </c>
      <c r="U168" s="8" t="s">
        <v>43</v>
      </c>
      <c r="V168" s="8">
        <f t="shared" si="29"/>
        <v>16</v>
      </c>
      <c r="W168" s="8" t="s">
        <v>34</v>
      </c>
      <c r="X168" s="8">
        <v>0</v>
      </c>
      <c r="Y168" s="8">
        <v>0</v>
      </c>
      <c r="Z168" s="8">
        <v>0</v>
      </c>
      <c r="AA168" s="8">
        <v>0</v>
      </c>
      <c r="AB168" s="8">
        <v>0</v>
      </c>
      <c r="AC168" s="8">
        <v>0</v>
      </c>
      <c r="AD168" s="8">
        <v>0</v>
      </c>
      <c r="AF168" s="17" t="s">
        <v>29</v>
      </c>
      <c r="AG168" s="8">
        <f>VLOOKUP(Master20[[#This Row],[Elevated Priority]],Epriority,2,)</f>
        <v>0</v>
      </c>
      <c r="AH168" s="152">
        <f>IF(Master20[[#This Row],[Status]]="Active",Master20[[#This Row],[Status_Score]],IF(D168="","",R168+H168+T168+V168+AG168+AE168+Master20[[#This Row],[Risk Mitigation]]+Master20[[#This Row],[Master Plan]]+Master20[[#This Row],[Community Request]]+Master20[[#This Row],[Community need]]+Master20[[#This Row],[Offset Aging Inf.]]+Master20[[#This Row],[Energy Savings]]+Master20[[#This Row],[Gen Revenue]]-5))</f>
        <v>92</v>
      </c>
      <c r="AI168" s="8"/>
      <c r="AJ168" s="8"/>
      <c r="AK168" s="8"/>
      <c r="AL168" s="8"/>
      <c r="AM168" s="8"/>
      <c r="AN168" s="10"/>
    </row>
    <row r="169" spans="1:40" hidden="1" x14ac:dyDescent="0.25">
      <c r="A169" s="103">
        <f t="shared" si="28"/>
        <v>168</v>
      </c>
      <c r="B169" s="8" t="s">
        <v>67</v>
      </c>
      <c r="C169" s="10" t="s">
        <v>995</v>
      </c>
      <c r="D169" s="10" t="s">
        <v>573</v>
      </c>
      <c r="F169" s="10" t="s">
        <v>574</v>
      </c>
      <c r="G169" s="10" t="s">
        <v>29</v>
      </c>
      <c r="H169" s="10">
        <f t="shared" si="26"/>
        <v>0</v>
      </c>
      <c r="I169" s="49"/>
      <c r="J169" s="49"/>
      <c r="K169" s="49">
        <f>Master20[[#This Row],[Initial Budget]]-Master20[[#This Row],[Previously Committed Funds]]</f>
        <v>0</v>
      </c>
      <c r="L169" s="49"/>
      <c r="M169" s="49"/>
      <c r="N169" s="97">
        <f>Master20[[#This Row],[Design $ (Add/Deduct)]]+Master20[[#This Row],[Construction $ (Add/Ded)]]</f>
        <v>0</v>
      </c>
      <c r="O169" s="32">
        <v>50000</v>
      </c>
      <c r="P169" s="8">
        <v>2018</v>
      </c>
      <c r="Q169" s="10" t="s">
        <v>46</v>
      </c>
      <c r="R169" s="8">
        <f t="shared" si="31"/>
        <v>50</v>
      </c>
      <c r="S169" s="8">
        <v>5</v>
      </c>
      <c r="T169" s="8">
        <f t="shared" si="30"/>
        <v>15</v>
      </c>
      <c r="U169" s="8" t="s">
        <v>45</v>
      </c>
      <c r="V169" s="8">
        <f t="shared" si="29"/>
        <v>32</v>
      </c>
      <c r="W169" s="8" t="s">
        <v>30</v>
      </c>
      <c r="X169" s="8">
        <v>0</v>
      </c>
      <c r="Y169" s="8">
        <v>0</v>
      </c>
      <c r="Z169" s="8">
        <v>0</v>
      </c>
      <c r="AA169" s="8">
        <v>0</v>
      </c>
      <c r="AB169" s="8">
        <v>0</v>
      </c>
      <c r="AC169" s="8">
        <v>0</v>
      </c>
      <c r="AD169" s="8">
        <v>0</v>
      </c>
      <c r="AF169" s="17" t="s">
        <v>29</v>
      </c>
      <c r="AG169" s="8">
        <f>VLOOKUP(Master20[[#This Row],[Elevated Priority]],Epriority,2,)</f>
        <v>0</v>
      </c>
      <c r="AH169" s="152">
        <f>IF(Master20[[#This Row],[Status]]="Active",Master20[[#This Row],[Status_Score]],IF(D169="","",R169+H169+T169+V169+AG169+AE169+Master20[[#This Row],[Risk Mitigation]]+Master20[[#This Row],[Master Plan]]+Master20[[#This Row],[Community Request]]+Master20[[#This Row],[Community need]]+Master20[[#This Row],[Offset Aging Inf.]]+Master20[[#This Row],[Energy Savings]]+Master20[[#This Row],[Gen Revenue]]-5))</f>
        <v>92</v>
      </c>
      <c r="AI169" s="8"/>
      <c r="AJ169" s="8"/>
      <c r="AK169" s="8"/>
      <c r="AL169" s="8"/>
      <c r="AM169" s="8"/>
      <c r="AN169" s="10"/>
    </row>
    <row r="170" spans="1:40" ht="165" hidden="1" x14ac:dyDescent="0.25">
      <c r="A170" s="103">
        <f t="shared" si="28"/>
        <v>169</v>
      </c>
      <c r="B170" s="8" t="s">
        <v>143</v>
      </c>
      <c r="C170" s="10" t="s">
        <v>299</v>
      </c>
      <c r="D170" s="10" t="s">
        <v>450</v>
      </c>
      <c r="E170" s="10" t="s">
        <v>451</v>
      </c>
      <c r="F170" s="10" t="s">
        <v>1275</v>
      </c>
      <c r="G170" s="10" t="s">
        <v>29</v>
      </c>
      <c r="H170" s="10">
        <f t="shared" si="26"/>
        <v>0</v>
      </c>
      <c r="I170" s="49"/>
      <c r="J170" s="49"/>
      <c r="K170" s="49">
        <f>Master20[[#This Row],[Initial Budget]]-Master20[[#This Row],[Previously Committed Funds]]</f>
        <v>0</v>
      </c>
      <c r="L170" s="49"/>
      <c r="M170" s="49"/>
      <c r="N170" s="97">
        <f>Master20[[#This Row],[Design $ (Add/Deduct)]]+Master20[[#This Row],[Construction $ (Add/Ded)]]</f>
        <v>0</v>
      </c>
      <c r="O170" s="32">
        <v>50000</v>
      </c>
      <c r="P170" s="8">
        <v>2018</v>
      </c>
      <c r="Q170" s="10" t="s">
        <v>686</v>
      </c>
      <c r="R170" s="8">
        <f t="shared" si="31"/>
        <v>60</v>
      </c>
      <c r="S170" s="8">
        <v>3</v>
      </c>
      <c r="T170" s="8">
        <f t="shared" si="30"/>
        <v>9</v>
      </c>
      <c r="U170" s="8" t="s">
        <v>45</v>
      </c>
      <c r="V170" s="8">
        <f t="shared" si="29"/>
        <v>32</v>
      </c>
      <c r="W170" s="8" t="s">
        <v>34</v>
      </c>
      <c r="X170" s="8">
        <v>0</v>
      </c>
      <c r="Y170" s="8">
        <v>0</v>
      </c>
      <c r="Z170" s="8">
        <v>0</v>
      </c>
      <c r="AA170" s="8">
        <v>0</v>
      </c>
      <c r="AB170" s="8">
        <v>-2</v>
      </c>
      <c r="AC170" s="8">
        <v>0</v>
      </c>
      <c r="AD170" s="8">
        <v>0</v>
      </c>
      <c r="AF170" s="17" t="s">
        <v>29</v>
      </c>
      <c r="AG170" s="8">
        <f>VLOOKUP(Master20[[#This Row],[Elevated Priority]],Epriority,2,)</f>
        <v>0</v>
      </c>
      <c r="AH170" s="152">
        <f>IF(Master20[[#This Row],[Status]]="Active",Master20[[#This Row],[Status_Score]],IF(D170="","",R170+H170+T170+V170+AG170+AE170+Master20[[#This Row],[Risk Mitigation]]+Master20[[#This Row],[Master Plan]]+Master20[[#This Row],[Community Request]]+Master20[[#This Row],[Community need]]+Master20[[#This Row],[Offset Aging Inf.]]+Master20[[#This Row],[Energy Savings]]+Master20[[#This Row],[Gen Revenue]]-5))</f>
        <v>94</v>
      </c>
      <c r="AI170" s="8"/>
      <c r="AJ170" s="8"/>
      <c r="AK170" s="8"/>
      <c r="AL170" s="8"/>
      <c r="AM170" s="8"/>
      <c r="AN170" s="10"/>
    </row>
    <row r="171" spans="1:40" ht="45" hidden="1" x14ac:dyDescent="0.25">
      <c r="A171" s="103">
        <f t="shared" si="28"/>
        <v>170</v>
      </c>
      <c r="B171" s="8" t="s">
        <v>1195</v>
      </c>
      <c r="C171" s="10" t="s">
        <v>1045</v>
      </c>
      <c r="D171" s="10" t="s">
        <v>1094</v>
      </c>
      <c r="F171" s="10" t="s">
        <v>1095</v>
      </c>
      <c r="G171" s="10" t="s">
        <v>29</v>
      </c>
      <c r="H171" s="10">
        <f t="shared" si="26"/>
        <v>0</v>
      </c>
      <c r="I171" s="49"/>
      <c r="J171" s="49"/>
      <c r="K171" s="49">
        <f>Master20[[#This Row],[Initial Budget]]-Master20[[#This Row],[Previously Committed Funds]]</f>
        <v>0</v>
      </c>
      <c r="L171" s="49"/>
      <c r="M171" s="49"/>
      <c r="N171" s="97">
        <f>Master20[[#This Row],[Design $ (Add/Deduct)]]+Master20[[#This Row],[Construction $ (Add/Ded)]]</f>
        <v>0</v>
      </c>
      <c r="O171" s="32">
        <v>65000</v>
      </c>
      <c r="P171" s="8">
        <v>2022</v>
      </c>
      <c r="Q171" s="10" t="s">
        <v>46</v>
      </c>
      <c r="R171" s="8">
        <f t="shared" si="31"/>
        <v>50</v>
      </c>
      <c r="S171" s="8">
        <v>6</v>
      </c>
      <c r="T171" s="8">
        <f t="shared" si="30"/>
        <v>18</v>
      </c>
      <c r="U171" s="8" t="s">
        <v>45</v>
      </c>
      <c r="V171" s="8">
        <f t="shared" si="29"/>
        <v>32</v>
      </c>
      <c r="W171" s="8" t="s">
        <v>34</v>
      </c>
      <c r="X171" s="8">
        <v>0</v>
      </c>
      <c r="Y171" s="8">
        <v>0</v>
      </c>
      <c r="Z171" s="8">
        <v>0</v>
      </c>
      <c r="AA171" s="8">
        <v>0</v>
      </c>
      <c r="AB171" s="8">
        <v>0</v>
      </c>
      <c r="AC171" s="8">
        <v>0</v>
      </c>
      <c r="AD171" s="8">
        <v>0</v>
      </c>
      <c r="AF171" s="17" t="s">
        <v>29</v>
      </c>
      <c r="AG171" s="8">
        <f>VLOOKUP(Master20[[#This Row],[Elevated Priority]],Epriority,2,)</f>
        <v>0</v>
      </c>
      <c r="AH171" s="152">
        <f>IF(Master20[[#This Row],[Status]]="Active",Master20[[#This Row],[Status_Score]],IF(D171="","",R171+H171+T171+V171+AG171+AE171+Master20[[#This Row],[Risk Mitigation]]+Master20[[#This Row],[Master Plan]]+Master20[[#This Row],[Community Request]]+Master20[[#This Row],[Community need]]+Master20[[#This Row],[Offset Aging Inf.]]+Master20[[#This Row],[Energy Savings]]+Master20[[#This Row],[Gen Revenue]]-5))</f>
        <v>95</v>
      </c>
      <c r="AI171" s="8"/>
      <c r="AJ171" s="8"/>
      <c r="AK171" s="8"/>
      <c r="AL171" s="8"/>
      <c r="AM171" s="8"/>
      <c r="AN171" s="10"/>
    </row>
    <row r="172" spans="1:40" hidden="1" x14ac:dyDescent="0.25">
      <c r="A172" s="103">
        <f t="shared" si="28"/>
        <v>171</v>
      </c>
      <c r="B172" s="8" t="s">
        <v>94</v>
      </c>
      <c r="C172" s="10" t="s">
        <v>1045</v>
      </c>
      <c r="D172" s="10" t="s">
        <v>586</v>
      </c>
      <c r="E172" s="10" t="s">
        <v>587</v>
      </c>
      <c r="F172" s="10"/>
      <c r="G172" s="10" t="s">
        <v>29</v>
      </c>
      <c r="H172" s="10">
        <f t="shared" si="26"/>
        <v>0</v>
      </c>
      <c r="I172" s="49"/>
      <c r="J172" s="49"/>
      <c r="K172" s="49">
        <f>Master20[[#This Row],[Initial Budget]]-Master20[[#This Row],[Previously Committed Funds]]</f>
        <v>0</v>
      </c>
      <c r="L172" s="49"/>
      <c r="M172" s="49"/>
      <c r="N172" s="97">
        <f>Master20[[#This Row],[Design $ (Add/Deduct)]]+Master20[[#This Row],[Construction $ (Add/Ded)]]</f>
        <v>0</v>
      </c>
      <c r="O172" s="32">
        <v>50000</v>
      </c>
      <c r="P172" s="8">
        <v>2019</v>
      </c>
      <c r="Q172" s="10" t="s">
        <v>686</v>
      </c>
      <c r="R172" s="8">
        <f t="shared" si="31"/>
        <v>60</v>
      </c>
      <c r="S172" s="8">
        <v>15</v>
      </c>
      <c r="T172" s="8">
        <f t="shared" si="30"/>
        <v>24</v>
      </c>
      <c r="U172" s="8" t="s">
        <v>43</v>
      </c>
      <c r="V172" s="8">
        <f t="shared" si="29"/>
        <v>16</v>
      </c>
      <c r="W172" s="8" t="s">
        <v>30</v>
      </c>
      <c r="X172" s="8">
        <v>0</v>
      </c>
      <c r="Y172" s="8">
        <v>0</v>
      </c>
      <c r="Z172" s="8">
        <v>0</v>
      </c>
      <c r="AA172" s="8">
        <v>0</v>
      </c>
      <c r="AB172" s="8">
        <v>0</v>
      </c>
      <c r="AC172" s="8">
        <v>0</v>
      </c>
      <c r="AD172" s="8">
        <v>0</v>
      </c>
      <c r="AF172" s="17" t="s">
        <v>29</v>
      </c>
      <c r="AG172" s="8">
        <f>VLOOKUP(Master20[[#This Row],[Elevated Priority]],Epriority,2,)</f>
        <v>0</v>
      </c>
      <c r="AH172" s="152">
        <f>IF(Master20[[#This Row],[Status]]="Active",Master20[[#This Row],[Status_Score]],IF(D172="","",R172+H172+T172+V172+AG172+AE172+Master20[[#This Row],[Risk Mitigation]]+Master20[[#This Row],[Master Plan]]+Master20[[#This Row],[Community Request]]+Master20[[#This Row],[Community need]]+Master20[[#This Row],[Offset Aging Inf.]]+Master20[[#This Row],[Energy Savings]]+Master20[[#This Row],[Gen Revenue]]-5))</f>
        <v>95</v>
      </c>
      <c r="AI172" s="8"/>
      <c r="AJ172" s="8"/>
      <c r="AK172" s="8"/>
      <c r="AL172" s="8"/>
      <c r="AM172" s="8"/>
      <c r="AN172" s="10"/>
    </row>
    <row r="173" spans="1:40" ht="45" hidden="1" x14ac:dyDescent="0.25">
      <c r="A173" s="103">
        <f t="shared" si="28"/>
        <v>172</v>
      </c>
      <c r="B173" s="8" t="s">
        <v>67</v>
      </c>
      <c r="C173" s="10" t="s">
        <v>1045</v>
      </c>
      <c r="D173" s="10" t="s">
        <v>615</v>
      </c>
      <c r="E173" s="10" t="s">
        <v>917</v>
      </c>
      <c r="F173" s="10" t="s">
        <v>617</v>
      </c>
      <c r="G173" s="10" t="s">
        <v>29</v>
      </c>
      <c r="H173" s="10">
        <f t="shared" si="26"/>
        <v>0</v>
      </c>
      <c r="I173" s="49"/>
      <c r="J173" s="49"/>
      <c r="K173" s="49">
        <f>Master20[[#This Row],[Initial Budget]]-Master20[[#This Row],[Previously Committed Funds]]</f>
        <v>0</v>
      </c>
      <c r="L173" s="49"/>
      <c r="M173" s="49"/>
      <c r="N173" s="97">
        <f>Master20[[#This Row],[Design $ (Add/Deduct)]]+Master20[[#This Row],[Construction $ (Add/Ded)]]</f>
        <v>0</v>
      </c>
      <c r="O173" s="32">
        <v>1500000</v>
      </c>
      <c r="P173" s="8">
        <v>2019</v>
      </c>
      <c r="Q173" s="10" t="s">
        <v>46</v>
      </c>
      <c r="R173" s="8">
        <f t="shared" si="31"/>
        <v>50</v>
      </c>
      <c r="S173" s="8">
        <v>9</v>
      </c>
      <c r="T173" s="8">
        <f t="shared" si="30"/>
        <v>21</v>
      </c>
      <c r="U173" s="8" t="s">
        <v>45</v>
      </c>
      <c r="V173" s="8">
        <f t="shared" si="29"/>
        <v>32</v>
      </c>
      <c r="W173" s="8" t="s">
        <v>34</v>
      </c>
      <c r="X173" s="8">
        <v>0</v>
      </c>
      <c r="Y173" s="8">
        <v>0</v>
      </c>
      <c r="Z173" s="8">
        <v>0</v>
      </c>
      <c r="AA173" s="8">
        <v>0</v>
      </c>
      <c r="AB173" s="8">
        <v>0</v>
      </c>
      <c r="AC173" s="8">
        <v>0</v>
      </c>
      <c r="AD173" s="8">
        <v>0</v>
      </c>
      <c r="AF173" s="17" t="s">
        <v>29</v>
      </c>
      <c r="AG173" s="8">
        <f>VLOOKUP(Master20[[#This Row],[Elevated Priority]],Epriority,2,)</f>
        <v>0</v>
      </c>
      <c r="AH173" s="152">
        <f>IF(Master20[[#This Row],[Status]]="Active",Master20[[#This Row],[Status_Score]],IF(D173="","",R173+H173+T173+V173+AG173+AE173+Master20[[#This Row],[Risk Mitigation]]+Master20[[#This Row],[Master Plan]]+Master20[[#This Row],[Community Request]]+Master20[[#This Row],[Community need]]+Master20[[#This Row],[Offset Aging Inf.]]+Master20[[#This Row],[Energy Savings]]+Master20[[#This Row],[Gen Revenue]]-5))</f>
        <v>98</v>
      </c>
      <c r="AI173" s="8"/>
      <c r="AJ173" s="8"/>
      <c r="AK173" s="8"/>
      <c r="AL173" s="8"/>
      <c r="AM173" s="8"/>
      <c r="AN173" s="10"/>
    </row>
    <row r="174" spans="1:40" ht="30" hidden="1" x14ac:dyDescent="0.25">
      <c r="A174" s="103">
        <f t="shared" si="28"/>
        <v>173</v>
      </c>
      <c r="B174" s="8" t="s">
        <v>1195</v>
      </c>
      <c r="C174" s="10" t="s">
        <v>646</v>
      </c>
      <c r="D174" s="10" t="s">
        <v>1142</v>
      </c>
      <c r="E174" s="10" t="s">
        <v>1141</v>
      </c>
      <c r="F174" s="10" t="s">
        <v>958</v>
      </c>
      <c r="G174" s="10" t="s">
        <v>832</v>
      </c>
      <c r="H174" s="10">
        <f t="shared" si="26"/>
        <v>100</v>
      </c>
      <c r="I174" s="49"/>
      <c r="J174" s="49"/>
      <c r="K174" s="49">
        <f>Master20[[#This Row],[Initial Budget]]-Master20[[#This Row],[Previously Committed Funds]]</f>
        <v>0</v>
      </c>
      <c r="L174" s="49"/>
      <c r="M174" s="49"/>
      <c r="N174" s="97">
        <f>Master20[[#This Row],[Design $ (Add/Deduct)]]+Master20[[#This Row],[Construction $ (Add/Ded)]]</f>
        <v>0</v>
      </c>
      <c r="O174" s="32">
        <v>80000</v>
      </c>
      <c r="P174" s="8">
        <v>2022</v>
      </c>
      <c r="Q174" s="10" t="s">
        <v>32</v>
      </c>
      <c r="R174" s="8">
        <f t="shared" si="31"/>
        <v>1</v>
      </c>
      <c r="S174" s="8">
        <v>1</v>
      </c>
      <c r="T174" s="8">
        <f t="shared" si="30"/>
        <v>3</v>
      </c>
      <c r="U174" s="8" t="s">
        <v>33</v>
      </c>
      <c r="V174" s="8">
        <f t="shared" si="29"/>
        <v>1</v>
      </c>
      <c r="W174" s="8" t="s">
        <v>30</v>
      </c>
      <c r="X174" s="8">
        <v>0</v>
      </c>
      <c r="Y174" s="8">
        <v>0</v>
      </c>
      <c r="Z174" s="8">
        <v>0</v>
      </c>
      <c r="AA174" s="8">
        <v>0</v>
      </c>
      <c r="AB174" s="8">
        <v>0</v>
      </c>
      <c r="AC174" s="8">
        <v>0</v>
      </c>
      <c r="AD174" s="8">
        <v>0</v>
      </c>
      <c r="AF174" s="17" t="s">
        <v>29</v>
      </c>
      <c r="AG174" s="8">
        <f>VLOOKUP(Master20[[#This Row],[Elevated Priority]],Epriority,2,)</f>
        <v>0</v>
      </c>
      <c r="AH174" s="152">
        <f>IF(Master20[[#This Row],[Status]]="Active",Master20[[#This Row],[Status_Score]],IF(D174="","",R174+H174+T174+V174+AG174+AE174+Master20[[#This Row],[Risk Mitigation]]+Master20[[#This Row],[Master Plan]]+Master20[[#This Row],[Community Request]]+Master20[[#This Row],[Community need]]+Master20[[#This Row],[Offset Aging Inf.]]+Master20[[#This Row],[Energy Savings]]+Master20[[#This Row],[Gen Revenue]]-5))</f>
        <v>100</v>
      </c>
      <c r="AI174" s="114" t="s">
        <v>754</v>
      </c>
      <c r="AJ174" s="114">
        <v>2020</v>
      </c>
      <c r="AK174" s="114">
        <v>2021</v>
      </c>
      <c r="AL174" s="114">
        <v>2020</v>
      </c>
      <c r="AM174" s="114">
        <v>2021</v>
      </c>
      <c r="AN174" s="111" t="s">
        <v>1166</v>
      </c>
    </row>
    <row r="175" spans="1:40" hidden="1" x14ac:dyDescent="0.25">
      <c r="A175" s="103">
        <f t="shared" si="28"/>
        <v>174</v>
      </c>
      <c r="B175" s="8" t="s">
        <v>67</v>
      </c>
      <c r="C175" s="10" t="s">
        <v>995</v>
      </c>
      <c r="D175" s="10" t="s">
        <v>566</v>
      </c>
      <c r="F175" s="10"/>
      <c r="G175" s="10" t="s">
        <v>29</v>
      </c>
      <c r="H175" s="10">
        <f t="shared" si="26"/>
        <v>0</v>
      </c>
      <c r="I175" s="49"/>
      <c r="J175" s="49"/>
      <c r="K175" s="49">
        <f>Master20[[#This Row],[Initial Budget]]-Master20[[#This Row],[Previously Committed Funds]]</f>
        <v>0</v>
      </c>
      <c r="L175" s="49"/>
      <c r="M175" s="49"/>
      <c r="N175" s="97">
        <f>Master20[[#This Row],[Design $ (Add/Deduct)]]+Master20[[#This Row],[Construction $ (Add/Ded)]]</f>
        <v>0</v>
      </c>
      <c r="O175" s="32">
        <v>400000</v>
      </c>
      <c r="P175" s="8">
        <v>2018</v>
      </c>
      <c r="Q175" s="10" t="s">
        <v>688</v>
      </c>
      <c r="R175" s="8">
        <f t="shared" si="31"/>
        <v>20</v>
      </c>
      <c r="S175" s="8">
        <v>10</v>
      </c>
      <c r="T175" s="8">
        <f t="shared" si="30"/>
        <v>21</v>
      </c>
      <c r="U175" s="8" t="s">
        <v>47</v>
      </c>
      <c r="V175" s="8">
        <f t="shared" si="29"/>
        <v>64</v>
      </c>
      <c r="W175" s="8" t="s">
        <v>30</v>
      </c>
      <c r="X175" s="8">
        <v>0</v>
      </c>
      <c r="Y175" s="8">
        <v>0</v>
      </c>
      <c r="Z175" s="8">
        <v>0</v>
      </c>
      <c r="AA175" s="8">
        <v>0</v>
      </c>
      <c r="AB175" s="8">
        <v>0</v>
      </c>
      <c r="AC175" s="8">
        <v>0</v>
      </c>
      <c r="AD175" s="8">
        <v>0</v>
      </c>
      <c r="AF175" s="17" t="s">
        <v>29</v>
      </c>
      <c r="AG175" s="8">
        <f>VLOOKUP(Master20[[#This Row],[Elevated Priority]],Epriority,2,)</f>
        <v>0</v>
      </c>
      <c r="AH175" s="152">
        <f>IF(Master20[[#This Row],[Status]]="Active",Master20[[#This Row],[Status_Score]],IF(D175="","",R175+H175+T175+V175+AG175+AE175+Master20[[#This Row],[Risk Mitigation]]+Master20[[#This Row],[Master Plan]]+Master20[[#This Row],[Community Request]]+Master20[[#This Row],[Community need]]+Master20[[#This Row],[Offset Aging Inf.]]+Master20[[#This Row],[Energy Savings]]+Master20[[#This Row],[Gen Revenue]]-5))</f>
        <v>100</v>
      </c>
      <c r="AI175" s="8"/>
      <c r="AJ175" s="8"/>
      <c r="AK175" s="8"/>
      <c r="AL175" s="8"/>
      <c r="AM175" s="8"/>
      <c r="AN175" s="10"/>
    </row>
    <row r="176" spans="1:40" ht="60" hidden="1" x14ac:dyDescent="0.25">
      <c r="A176" s="103">
        <f t="shared" si="28"/>
        <v>175</v>
      </c>
      <c r="B176" s="8" t="s">
        <v>70</v>
      </c>
      <c r="C176" s="10" t="s">
        <v>1045</v>
      </c>
      <c r="D176" s="10" t="s">
        <v>486</v>
      </c>
      <c r="E176" s="10" t="s">
        <v>487</v>
      </c>
      <c r="F176" s="10" t="s">
        <v>488</v>
      </c>
      <c r="G176" s="10" t="s">
        <v>29</v>
      </c>
      <c r="H176" s="10">
        <f t="shared" si="26"/>
        <v>0</v>
      </c>
      <c r="I176" s="49"/>
      <c r="J176" s="49"/>
      <c r="K176" s="49">
        <f>Master20[[#This Row],[Initial Budget]]-Master20[[#This Row],[Previously Committed Funds]]</f>
        <v>0</v>
      </c>
      <c r="L176" s="49"/>
      <c r="M176" s="49"/>
      <c r="N176" s="97">
        <f>Master20[[#This Row],[Design $ (Add/Deduct)]]+Master20[[#This Row],[Construction $ (Add/Ded)]]</f>
        <v>0</v>
      </c>
      <c r="O176" s="32">
        <v>1000000</v>
      </c>
      <c r="P176" s="8">
        <v>2018</v>
      </c>
      <c r="Q176" s="10" t="s">
        <v>686</v>
      </c>
      <c r="R176" s="8">
        <f t="shared" si="31"/>
        <v>60</v>
      </c>
      <c r="S176" s="8">
        <v>6</v>
      </c>
      <c r="T176" s="8">
        <f t="shared" si="30"/>
        <v>18</v>
      </c>
      <c r="U176" s="8" t="s">
        <v>45</v>
      </c>
      <c r="V176" s="8">
        <f t="shared" si="29"/>
        <v>32</v>
      </c>
      <c r="W176" s="8" t="s">
        <v>34</v>
      </c>
      <c r="X176" s="8">
        <v>0</v>
      </c>
      <c r="Y176" s="8">
        <v>0</v>
      </c>
      <c r="Z176" s="8">
        <v>0</v>
      </c>
      <c r="AA176" s="8">
        <v>0</v>
      </c>
      <c r="AB176" s="8">
        <v>0</v>
      </c>
      <c r="AC176" s="8">
        <v>0</v>
      </c>
      <c r="AD176" s="8">
        <v>-2</v>
      </c>
      <c r="AF176" s="17" t="s">
        <v>29</v>
      </c>
      <c r="AG176" s="8">
        <f>VLOOKUP(Master20[[#This Row],[Elevated Priority]],Epriority,2,)</f>
        <v>0</v>
      </c>
      <c r="AH176" s="152">
        <f>IF(Master20[[#This Row],[Status]]="Active",Master20[[#This Row],[Status_Score]],IF(D176="","",R176+H176+T176+V176+AG176+AE176+Master20[[#This Row],[Risk Mitigation]]+Master20[[#This Row],[Master Plan]]+Master20[[#This Row],[Community Request]]+Master20[[#This Row],[Community need]]+Master20[[#This Row],[Offset Aging Inf.]]+Master20[[#This Row],[Energy Savings]]+Master20[[#This Row],[Gen Revenue]]-5))</f>
        <v>103</v>
      </c>
      <c r="AI176" s="8"/>
      <c r="AJ176" s="8"/>
      <c r="AK176" s="8"/>
      <c r="AL176" s="8"/>
      <c r="AM176" s="8"/>
      <c r="AN176" s="10"/>
    </row>
    <row r="177" spans="1:40" ht="75" hidden="1" x14ac:dyDescent="0.25">
      <c r="A177" s="103">
        <f t="shared" si="28"/>
        <v>176</v>
      </c>
      <c r="B177" s="8" t="s">
        <v>67</v>
      </c>
      <c r="C177" s="10" t="s">
        <v>995</v>
      </c>
      <c r="D177" s="10" t="s">
        <v>1023</v>
      </c>
      <c r="E177" s="10" t="s">
        <v>93</v>
      </c>
      <c r="F177" s="10" t="s">
        <v>1310</v>
      </c>
      <c r="G177" s="10" t="s">
        <v>832</v>
      </c>
      <c r="H177" s="10">
        <f t="shared" si="26"/>
        <v>100</v>
      </c>
      <c r="I177" s="49">
        <v>200000</v>
      </c>
      <c r="J177" s="49">
        <v>24310</v>
      </c>
      <c r="K177" s="49">
        <f>Master20[[#This Row],[Initial Budget]]-Master20[[#This Row],[Previously Committed Funds]]</f>
        <v>175690</v>
      </c>
      <c r="L177" s="49"/>
      <c r="M177" s="49"/>
      <c r="N177" s="97">
        <f>Master20[[#This Row],[Design $ (Add/Deduct)]]+Master20[[#This Row],[Construction $ (Add/Ded)]]</f>
        <v>0</v>
      </c>
      <c r="O177" s="32">
        <v>200000</v>
      </c>
      <c r="P177" s="8">
        <v>2018</v>
      </c>
      <c r="Q177" s="10" t="s">
        <v>32</v>
      </c>
      <c r="R177" s="8">
        <f t="shared" si="31"/>
        <v>1</v>
      </c>
      <c r="S177" s="8">
        <v>3</v>
      </c>
      <c r="T177" s="8">
        <f t="shared" si="30"/>
        <v>9</v>
      </c>
      <c r="U177" s="8" t="s">
        <v>33</v>
      </c>
      <c r="V177" s="8">
        <f t="shared" si="29"/>
        <v>1</v>
      </c>
      <c r="W177" s="8" t="s">
        <v>30</v>
      </c>
      <c r="X177" s="8">
        <v>0</v>
      </c>
      <c r="Y177" s="8">
        <v>0</v>
      </c>
      <c r="Z177" s="8">
        <v>0</v>
      </c>
      <c r="AA177" s="8">
        <v>0</v>
      </c>
      <c r="AB177" s="8">
        <v>0</v>
      </c>
      <c r="AC177" s="8">
        <v>0</v>
      </c>
      <c r="AD177" s="8">
        <v>0</v>
      </c>
      <c r="AF177" s="17" t="s">
        <v>29</v>
      </c>
      <c r="AG177" s="8">
        <f>VLOOKUP(Master20[[#This Row],[Elevated Priority]],Epriority,2,)</f>
        <v>0</v>
      </c>
      <c r="AH177" s="152">
        <f>IF(Master20[[#This Row],[Status]]="Active",Master20[[#This Row],[Status_Score]],IF(D177="","",R177+H177+T177+V177+AG177+AE177+Master20[[#This Row],[Risk Mitigation]]+Master20[[#This Row],[Master Plan]]+Master20[[#This Row],[Community Request]]+Master20[[#This Row],[Community need]]+Master20[[#This Row],[Offset Aging Inf.]]+Master20[[#This Row],[Energy Savings]]+Master20[[#This Row],[Gen Revenue]]-5))</f>
        <v>106</v>
      </c>
      <c r="AI177" s="8" t="s">
        <v>716</v>
      </c>
      <c r="AJ177" s="114">
        <v>2021</v>
      </c>
      <c r="AK177" s="114">
        <v>2021</v>
      </c>
      <c r="AL177" s="114">
        <v>2021</v>
      </c>
      <c r="AM177" s="114">
        <v>2024</v>
      </c>
      <c r="AN177" s="111" t="s">
        <v>1168</v>
      </c>
    </row>
    <row r="178" spans="1:40" ht="30" hidden="1" x14ac:dyDescent="0.25">
      <c r="A178" s="103">
        <f t="shared" si="28"/>
        <v>177</v>
      </c>
      <c r="B178" s="8" t="s">
        <v>79</v>
      </c>
      <c r="C178" s="10" t="s">
        <v>1045</v>
      </c>
      <c r="D178" s="10" t="s">
        <v>113</v>
      </c>
      <c r="E178" s="10" t="s">
        <v>114</v>
      </c>
      <c r="F178" s="10" t="s">
        <v>115</v>
      </c>
      <c r="G178" s="10" t="s">
        <v>832</v>
      </c>
      <c r="H178" s="10">
        <f t="shared" si="26"/>
        <v>100</v>
      </c>
      <c r="I178" s="49"/>
      <c r="J178" s="49"/>
      <c r="K178" s="49">
        <f>Master20[[#This Row],[Initial Budget]]-Master20[[#This Row],[Previously Committed Funds]]</f>
        <v>0</v>
      </c>
      <c r="L178" s="49"/>
      <c r="M178" s="49"/>
      <c r="N178" s="97">
        <f>Master20[[#This Row],[Design $ (Add/Deduct)]]+Master20[[#This Row],[Construction $ (Add/Ded)]]</f>
        <v>0</v>
      </c>
      <c r="O178" s="32">
        <v>25000</v>
      </c>
      <c r="P178" s="8">
        <v>2018</v>
      </c>
      <c r="Q178" s="10" t="s">
        <v>32</v>
      </c>
      <c r="R178" s="8">
        <f t="shared" si="31"/>
        <v>1</v>
      </c>
      <c r="S178" s="8">
        <v>2</v>
      </c>
      <c r="T178" s="8">
        <f t="shared" si="30"/>
        <v>6</v>
      </c>
      <c r="U178" s="8" t="s">
        <v>41</v>
      </c>
      <c r="V178" s="8">
        <f t="shared" si="29"/>
        <v>4</v>
      </c>
      <c r="W178" s="8" t="s">
        <v>30</v>
      </c>
      <c r="X178" s="8">
        <v>0</v>
      </c>
      <c r="Y178" s="8">
        <v>0</v>
      </c>
      <c r="Z178" s="8">
        <v>0</v>
      </c>
      <c r="AA178" s="8">
        <v>0</v>
      </c>
      <c r="AB178" s="8">
        <v>0</v>
      </c>
      <c r="AC178" s="8">
        <v>0</v>
      </c>
      <c r="AD178" s="8">
        <v>0</v>
      </c>
      <c r="AF178" s="17" t="s">
        <v>29</v>
      </c>
      <c r="AG178" s="8">
        <f>VLOOKUP(Master20[[#This Row],[Elevated Priority]],Epriority,2,)</f>
        <v>0</v>
      </c>
      <c r="AH178" s="152">
        <f>IF(Master20[[#This Row],[Status]]="Active",Master20[[#This Row],[Status_Score]],IF(D178="","",R178+H178+T178+V178+AG178+AE178+Master20[[#This Row],[Risk Mitigation]]+Master20[[#This Row],[Master Plan]]+Master20[[#This Row],[Community Request]]+Master20[[#This Row],[Community need]]+Master20[[#This Row],[Offset Aging Inf.]]+Master20[[#This Row],[Energy Savings]]+Master20[[#This Row],[Gen Revenue]]-5))</f>
        <v>106</v>
      </c>
      <c r="AI178" s="8" t="s">
        <v>1042</v>
      </c>
      <c r="AJ178" s="8"/>
      <c r="AK178" s="8">
        <v>2021</v>
      </c>
      <c r="AL178" s="8"/>
      <c r="AM178" s="8">
        <v>2021</v>
      </c>
      <c r="AN178" s="10" t="s">
        <v>723</v>
      </c>
    </row>
    <row r="179" spans="1:40" ht="75" hidden="1" x14ac:dyDescent="0.25">
      <c r="A179" s="103">
        <f t="shared" si="28"/>
        <v>178</v>
      </c>
      <c r="B179" s="8" t="s">
        <v>1195</v>
      </c>
      <c r="C179" s="10" t="s">
        <v>1045</v>
      </c>
      <c r="D179" s="10" t="s">
        <v>519</v>
      </c>
      <c r="E179" s="10" t="s">
        <v>520</v>
      </c>
      <c r="F179" s="10" t="s">
        <v>521</v>
      </c>
      <c r="G179" s="10" t="s">
        <v>29</v>
      </c>
      <c r="H179" s="10">
        <f t="shared" si="26"/>
        <v>0</v>
      </c>
      <c r="I179" s="49"/>
      <c r="J179" s="49"/>
      <c r="K179" s="49">
        <f>Master20[[#This Row],[Initial Budget]]-Master20[[#This Row],[Previously Committed Funds]]</f>
        <v>0</v>
      </c>
      <c r="L179" s="49"/>
      <c r="M179" s="49"/>
      <c r="N179" s="97">
        <f>Master20[[#This Row],[Design $ (Add/Deduct)]]+Master20[[#This Row],[Construction $ (Add/Ded)]]</f>
        <v>0</v>
      </c>
      <c r="O179" s="32">
        <v>22000000</v>
      </c>
      <c r="P179" s="8">
        <v>2018</v>
      </c>
      <c r="Q179" s="10" t="s">
        <v>46</v>
      </c>
      <c r="R179" s="8">
        <f t="shared" si="31"/>
        <v>50</v>
      </c>
      <c r="S179" s="8">
        <v>3</v>
      </c>
      <c r="T179" s="8">
        <f t="shared" si="30"/>
        <v>9</v>
      </c>
      <c r="U179" s="8" t="s">
        <v>47</v>
      </c>
      <c r="V179" s="8">
        <f t="shared" si="29"/>
        <v>64</v>
      </c>
      <c r="W179" s="8" t="s">
        <v>34</v>
      </c>
      <c r="X179" s="8">
        <v>-7</v>
      </c>
      <c r="Y179" s="8">
        <v>0</v>
      </c>
      <c r="Z179" s="8">
        <v>0</v>
      </c>
      <c r="AA179" s="8">
        <v>0</v>
      </c>
      <c r="AB179" s="8">
        <v>0</v>
      </c>
      <c r="AC179" s="8">
        <v>-3</v>
      </c>
      <c r="AD179" s="8">
        <v>0</v>
      </c>
      <c r="AF179" s="17" t="s">
        <v>29</v>
      </c>
      <c r="AG179" s="8">
        <f>VLOOKUP(Master20[[#This Row],[Elevated Priority]],Epriority,2,)</f>
        <v>0</v>
      </c>
      <c r="AH179" s="152">
        <f>IF(Master20[[#This Row],[Status]]="Active",Master20[[#This Row],[Status_Score]],IF(D179="","",R179+H179+T179+V179+AG179+AE179+Master20[[#This Row],[Risk Mitigation]]+Master20[[#This Row],[Master Plan]]+Master20[[#This Row],[Community Request]]+Master20[[#This Row],[Community need]]+Master20[[#This Row],[Offset Aging Inf.]]+Master20[[#This Row],[Energy Savings]]+Master20[[#This Row],[Gen Revenue]]-5))</f>
        <v>108</v>
      </c>
      <c r="AI179" s="8"/>
      <c r="AJ179" s="8"/>
      <c r="AK179" s="8"/>
      <c r="AL179" s="8"/>
      <c r="AM179" s="8"/>
      <c r="AN179" s="10"/>
    </row>
    <row r="180" spans="1:40" ht="45" hidden="1" x14ac:dyDescent="0.25">
      <c r="A180" s="103">
        <f t="shared" si="28"/>
        <v>179</v>
      </c>
      <c r="B180" s="8" t="s">
        <v>70</v>
      </c>
      <c r="C180" s="10" t="s">
        <v>1045</v>
      </c>
      <c r="D180" s="10" t="s">
        <v>821</v>
      </c>
      <c r="E180" s="10" t="s">
        <v>822</v>
      </c>
      <c r="F180" s="10" t="s">
        <v>823</v>
      </c>
      <c r="G180" s="10" t="s">
        <v>832</v>
      </c>
      <c r="H180" s="10">
        <f t="shared" si="26"/>
        <v>100</v>
      </c>
      <c r="I180" s="49"/>
      <c r="J180" s="49"/>
      <c r="K180" s="49">
        <f>Master20[[#This Row],[Initial Budget]]-Master20[[#This Row],[Previously Committed Funds]]</f>
        <v>0</v>
      </c>
      <c r="L180" s="49"/>
      <c r="M180" s="49"/>
      <c r="N180" s="97">
        <f>Master20[[#This Row],[Design $ (Add/Deduct)]]+Master20[[#This Row],[Construction $ (Add/Ded)]]</f>
        <v>0</v>
      </c>
      <c r="O180" s="32">
        <v>200000</v>
      </c>
      <c r="P180" s="8">
        <v>2018</v>
      </c>
      <c r="Q180" s="10" t="s">
        <v>36</v>
      </c>
      <c r="R180" s="8">
        <f t="shared" si="31"/>
        <v>10</v>
      </c>
      <c r="S180" s="8">
        <v>3</v>
      </c>
      <c r="T180" s="8">
        <f t="shared" si="30"/>
        <v>9</v>
      </c>
      <c r="U180" s="8" t="s">
        <v>41</v>
      </c>
      <c r="V180" s="8">
        <f t="shared" si="29"/>
        <v>4</v>
      </c>
      <c r="W180" s="8" t="s">
        <v>34</v>
      </c>
      <c r="X180" s="8">
        <v>0</v>
      </c>
      <c r="Y180" s="8">
        <v>0</v>
      </c>
      <c r="Z180" s="8">
        <v>-3</v>
      </c>
      <c r="AA180" s="8">
        <v>0</v>
      </c>
      <c r="AB180" s="8">
        <v>-2</v>
      </c>
      <c r="AC180" s="8">
        <v>0</v>
      </c>
      <c r="AD180" s="8">
        <v>-3</v>
      </c>
      <c r="AF180" s="17" t="s">
        <v>29</v>
      </c>
      <c r="AG180" s="8">
        <f>VLOOKUP(Master20[[#This Row],[Elevated Priority]],Epriority,2,)</f>
        <v>0</v>
      </c>
      <c r="AH180" s="152">
        <f>IF(Master20[[#This Row],[Status]]="Active",Master20[[#This Row],[Status_Score]],IF(D180="","",R180+H180+T180+V180+AG180+AE180+Master20[[#This Row],[Risk Mitigation]]+Master20[[#This Row],[Master Plan]]+Master20[[#This Row],[Community Request]]+Master20[[#This Row],[Community need]]+Master20[[#This Row],[Offset Aging Inf.]]+Master20[[#This Row],[Energy Savings]]+Master20[[#This Row],[Gen Revenue]]-5))</f>
        <v>110</v>
      </c>
      <c r="AI180" s="8" t="s">
        <v>716</v>
      </c>
      <c r="AJ180" s="8">
        <v>2021</v>
      </c>
      <c r="AK180" s="8">
        <v>2022</v>
      </c>
      <c r="AL180" s="8">
        <v>2021</v>
      </c>
      <c r="AM180" s="8">
        <v>2022</v>
      </c>
      <c r="AN180" s="10"/>
    </row>
    <row r="181" spans="1:40" ht="45" hidden="1" x14ac:dyDescent="0.25">
      <c r="A181" s="103">
        <f t="shared" si="28"/>
        <v>180</v>
      </c>
      <c r="B181" s="8" t="s">
        <v>1195</v>
      </c>
      <c r="C181" s="10" t="s">
        <v>1045</v>
      </c>
      <c r="D181" s="10" t="s">
        <v>1116</v>
      </c>
      <c r="E181" s="10" t="s">
        <v>1117</v>
      </c>
      <c r="F181" s="10" t="s">
        <v>1118</v>
      </c>
      <c r="G181" s="10" t="s">
        <v>832</v>
      </c>
      <c r="H181" s="10">
        <f t="shared" si="26"/>
        <v>100</v>
      </c>
      <c r="I181" s="49"/>
      <c r="J181" s="49"/>
      <c r="K181" s="49">
        <f>Master20[[#This Row],[Initial Budget]]-Master20[[#This Row],[Previously Committed Funds]]</f>
        <v>0</v>
      </c>
      <c r="L181" s="49"/>
      <c r="M181" s="49"/>
      <c r="N181" s="97">
        <f>Master20[[#This Row],[Design $ (Add/Deduct)]]+Master20[[#This Row],[Construction $ (Add/Ded)]]</f>
        <v>0</v>
      </c>
      <c r="O181" s="32">
        <v>350000</v>
      </c>
      <c r="P181" s="8">
        <v>2022</v>
      </c>
      <c r="Q181" s="10" t="s">
        <v>688</v>
      </c>
      <c r="R181" s="8">
        <f t="shared" si="31"/>
        <v>20</v>
      </c>
      <c r="S181" s="8">
        <v>2</v>
      </c>
      <c r="T181" s="8">
        <f t="shared" si="30"/>
        <v>6</v>
      </c>
      <c r="U181" s="8" t="s">
        <v>41</v>
      </c>
      <c r="V181" s="8">
        <f t="shared" si="29"/>
        <v>4</v>
      </c>
      <c r="W181" s="8" t="s">
        <v>30</v>
      </c>
      <c r="X181" s="8">
        <v>-3</v>
      </c>
      <c r="Y181" s="8">
        <v>0</v>
      </c>
      <c r="Z181" s="8">
        <v>-3</v>
      </c>
      <c r="AA181" s="8">
        <v>-3</v>
      </c>
      <c r="AB181" s="8">
        <v>0</v>
      </c>
      <c r="AC181" s="8">
        <v>-5</v>
      </c>
      <c r="AD181" s="8">
        <v>0</v>
      </c>
      <c r="AF181" s="17" t="s">
        <v>29</v>
      </c>
      <c r="AG181" s="8">
        <f>VLOOKUP(Master20[[#This Row],[Elevated Priority]],Epriority,2,)</f>
        <v>0</v>
      </c>
      <c r="AH181" s="152">
        <f>IF(Master20[[#This Row],[Status]]="Active",Master20[[#This Row],[Status_Score]],IF(D181="","",R181+H181+T181+V181+AG181+AE181+Master20[[#This Row],[Risk Mitigation]]+Master20[[#This Row],[Master Plan]]+Master20[[#This Row],[Community Request]]+Master20[[#This Row],[Community need]]+Master20[[#This Row],[Offset Aging Inf.]]+Master20[[#This Row],[Energy Savings]]+Master20[[#This Row],[Gen Revenue]]-5))</f>
        <v>111</v>
      </c>
      <c r="AI181" s="114"/>
      <c r="AJ181" s="114"/>
      <c r="AK181" s="114"/>
      <c r="AL181" s="114">
        <v>2022</v>
      </c>
      <c r="AM181" s="114">
        <v>2023</v>
      </c>
      <c r="AN181" s="10"/>
    </row>
    <row r="182" spans="1:40" ht="105" hidden="1" x14ac:dyDescent="0.25">
      <c r="A182" s="103">
        <f t="shared" si="28"/>
        <v>181</v>
      </c>
      <c r="B182" s="8" t="s">
        <v>1206</v>
      </c>
      <c r="C182" s="10" t="s">
        <v>1196</v>
      </c>
      <c r="D182" s="10" t="s">
        <v>141</v>
      </c>
      <c r="E182" s="10" t="s">
        <v>142</v>
      </c>
      <c r="F182" s="10"/>
      <c r="G182" s="10" t="s">
        <v>832</v>
      </c>
      <c r="H182" s="10">
        <f t="shared" si="26"/>
        <v>100</v>
      </c>
      <c r="I182" s="49"/>
      <c r="J182" s="49"/>
      <c r="K182" s="49">
        <f>Master20[[#This Row],[Initial Budget]]-Master20[[#This Row],[Previously Committed Funds]]</f>
        <v>0</v>
      </c>
      <c r="L182" s="49"/>
      <c r="M182" s="49"/>
      <c r="N182" s="97">
        <f>Master20[[#This Row],[Design $ (Add/Deduct)]]+Master20[[#This Row],[Construction $ (Add/Ded)]]</f>
        <v>0</v>
      </c>
      <c r="O182" s="32">
        <v>100000</v>
      </c>
      <c r="P182" s="8">
        <v>2018</v>
      </c>
      <c r="Q182" s="10" t="s">
        <v>36</v>
      </c>
      <c r="R182" s="8">
        <f t="shared" si="31"/>
        <v>10</v>
      </c>
      <c r="S182" s="8">
        <v>1</v>
      </c>
      <c r="T182" s="8">
        <f t="shared" si="30"/>
        <v>3</v>
      </c>
      <c r="U182" s="8" t="s">
        <v>37</v>
      </c>
      <c r="V182" s="8">
        <f t="shared" si="29"/>
        <v>3</v>
      </c>
      <c r="W182" s="8" t="s">
        <v>30</v>
      </c>
      <c r="X182" s="8">
        <v>0</v>
      </c>
      <c r="Y182" s="8">
        <v>0</v>
      </c>
      <c r="Z182" s="8">
        <v>0</v>
      </c>
      <c r="AA182" s="8">
        <v>0</v>
      </c>
      <c r="AB182" s="8">
        <v>0</v>
      </c>
      <c r="AC182" s="8">
        <v>0</v>
      </c>
      <c r="AD182" s="8">
        <v>0</v>
      </c>
      <c r="AF182" s="17" t="s">
        <v>29</v>
      </c>
      <c r="AG182" s="8">
        <f>VLOOKUP(Master20[[#This Row],[Elevated Priority]],Epriority,2,)</f>
        <v>0</v>
      </c>
      <c r="AH182" s="152">
        <f>IF(Master20[[#This Row],[Status]]="Active",Master20[[#This Row],[Status_Score]],IF(D182="","",R182+H182+T182+V182+AG182+AE182+Master20[[#This Row],[Risk Mitigation]]+Master20[[#This Row],[Master Plan]]+Master20[[#This Row],[Community Request]]+Master20[[#This Row],[Community need]]+Master20[[#This Row],[Offset Aging Inf.]]+Master20[[#This Row],[Energy Savings]]+Master20[[#This Row],[Gen Revenue]]-5))</f>
        <v>111</v>
      </c>
      <c r="AI182" s="8"/>
      <c r="AJ182" s="8">
        <v>2021</v>
      </c>
      <c r="AK182" s="8">
        <v>2021</v>
      </c>
      <c r="AL182" s="8">
        <v>2021</v>
      </c>
      <c r="AM182" s="8">
        <v>2021</v>
      </c>
      <c r="AN182" s="10"/>
    </row>
    <row r="183" spans="1:40" ht="165" hidden="1" x14ac:dyDescent="0.25">
      <c r="A183" s="103">
        <f t="shared" si="28"/>
        <v>182</v>
      </c>
      <c r="B183" s="8" t="s">
        <v>1195</v>
      </c>
      <c r="C183" s="10" t="s">
        <v>1045</v>
      </c>
      <c r="D183" s="10" t="s">
        <v>1097</v>
      </c>
      <c r="E183" s="10" t="s">
        <v>1098</v>
      </c>
      <c r="F183" s="10"/>
      <c r="G183" s="10" t="s">
        <v>29</v>
      </c>
      <c r="H183" s="10">
        <f t="shared" si="26"/>
        <v>0</v>
      </c>
      <c r="I183" s="49"/>
      <c r="J183" s="49"/>
      <c r="K183" s="49">
        <f>Master20[[#This Row],[Initial Budget]]-Master20[[#This Row],[Previously Committed Funds]]</f>
        <v>0</v>
      </c>
      <c r="L183" s="49"/>
      <c r="M183" s="49"/>
      <c r="N183" s="97">
        <f>Master20[[#This Row],[Design $ (Add/Deduct)]]+Master20[[#This Row],[Construction $ (Add/Ded)]]</f>
        <v>0</v>
      </c>
      <c r="O183" s="32">
        <v>966000</v>
      </c>
      <c r="P183" s="8">
        <v>2022</v>
      </c>
      <c r="Q183" s="10" t="s">
        <v>46</v>
      </c>
      <c r="R183" s="8">
        <f t="shared" si="31"/>
        <v>50</v>
      </c>
      <c r="S183" s="8">
        <v>2</v>
      </c>
      <c r="T183" s="8">
        <f t="shared" si="30"/>
        <v>6</v>
      </c>
      <c r="U183" s="8" t="s">
        <v>47</v>
      </c>
      <c r="V183" s="8">
        <f t="shared" si="29"/>
        <v>64</v>
      </c>
      <c r="W183" s="8" t="s">
        <v>34</v>
      </c>
      <c r="X183" s="8">
        <v>0</v>
      </c>
      <c r="Y183" s="8">
        <v>0</v>
      </c>
      <c r="Z183" s="8">
        <v>0</v>
      </c>
      <c r="AA183" s="8">
        <v>0</v>
      </c>
      <c r="AB183" s="8">
        <v>0</v>
      </c>
      <c r="AC183" s="8">
        <v>0</v>
      </c>
      <c r="AD183" s="8">
        <v>-1</v>
      </c>
      <c r="AF183" s="17" t="s">
        <v>29</v>
      </c>
      <c r="AG183" s="8">
        <f>VLOOKUP(Master20[[#This Row],[Elevated Priority]],Epriority,2,)</f>
        <v>0</v>
      </c>
      <c r="AH183" s="152">
        <f>IF(Master20[[#This Row],[Status]]="Active",Master20[[#This Row],[Status_Score]],IF(D183="","",R183+H183+T183+V183+AG183+AE183+Master20[[#This Row],[Risk Mitigation]]+Master20[[#This Row],[Master Plan]]+Master20[[#This Row],[Community Request]]+Master20[[#This Row],[Community need]]+Master20[[#This Row],[Offset Aging Inf.]]+Master20[[#This Row],[Energy Savings]]+Master20[[#This Row],[Gen Revenue]]-5))</f>
        <v>114</v>
      </c>
      <c r="AI183" s="8"/>
      <c r="AJ183" s="8"/>
      <c r="AK183" s="8"/>
      <c r="AL183" s="8"/>
      <c r="AM183" s="8"/>
      <c r="AN183" s="10"/>
    </row>
    <row r="184" spans="1:40" ht="30" x14ac:dyDescent="0.25">
      <c r="A184" s="103">
        <f t="shared" si="28"/>
        <v>183</v>
      </c>
      <c r="B184" s="8" t="s">
        <v>214</v>
      </c>
      <c r="C184" s="10" t="s">
        <v>1045</v>
      </c>
      <c r="D184" s="10" t="s">
        <v>215</v>
      </c>
      <c r="E184" s="10" t="s">
        <v>216</v>
      </c>
      <c r="F184" s="10" t="s">
        <v>658</v>
      </c>
      <c r="G184" s="10" t="s">
        <v>832</v>
      </c>
      <c r="H184" s="10">
        <f t="shared" si="26"/>
        <v>100</v>
      </c>
      <c r="I184" s="49"/>
      <c r="J184" s="49"/>
      <c r="K184" s="49">
        <f>Master20[[#This Row],[Initial Budget]]-Master20[[#This Row],[Previously Committed Funds]]</f>
        <v>0</v>
      </c>
      <c r="L184" s="49"/>
      <c r="M184" s="49"/>
      <c r="N184" s="97">
        <f>Master20[[#This Row],[Design $ (Add/Deduct)]]+Master20[[#This Row],[Construction $ (Add/Ded)]]</f>
        <v>0</v>
      </c>
      <c r="O184" s="32">
        <v>250000</v>
      </c>
      <c r="P184" s="8">
        <v>2018</v>
      </c>
      <c r="Q184" s="10" t="s">
        <v>688</v>
      </c>
      <c r="R184" s="8">
        <f t="shared" si="31"/>
        <v>20</v>
      </c>
      <c r="S184" s="8">
        <v>1</v>
      </c>
      <c r="T184" s="8">
        <f t="shared" si="30"/>
        <v>3</v>
      </c>
      <c r="U184" s="8" t="s">
        <v>41</v>
      </c>
      <c r="V184" s="8">
        <f t="shared" si="29"/>
        <v>4</v>
      </c>
      <c r="W184" s="8" t="s">
        <v>30</v>
      </c>
      <c r="X184" s="8">
        <v>0</v>
      </c>
      <c r="Y184" s="8">
        <v>0</v>
      </c>
      <c r="Z184" s="8">
        <v>0</v>
      </c>
      <c r="AA184" s="8">
        <v>0</v>
      </c>
      <c r="AB184" s="8">
        <v>0</v>
      </c>
      <c r="AC184" s="8">
        <v>0</v>
      </c>
      <c r="AD184" s="8">
        <v>0</v>
      </c>
      <c r="AF184" s="17" t="s">
        <v>29</v>
      </c>
      <c r="AG184" s="8">
        <f>VLOOKUP(Master20[[#This Row],[Elevated Priority]],Epriority,2,)</f>
        <v>0</v>
      </c>
      <c r="AH184" s="152">
        <f>IF(Master20[[#This Row],[Status]]="Active",Master20[[#This Row],[Status_Score]],IF(D184="","",R184+H184+T184+V184+AG184+AE184+Master20[[#This Row],[Risk Mitigation]]+Master20[[#This Row],[Master Plan]]+Master20[[#This Row],[Community Request]]+Master20[[#This Row],[Community need]]+Master20[[#This Row],[Offset Aging Inf.]]+Master20[[#This Row],[Energy Savings]]+Master20[[#This Row],[Gen Revenue]]-5))</f>
        <v>122</v>
      </c>
      <c r="AI184" s="8"/>
      <c r="AJ184" s="8"/>
      <c r="AK184" s="8"/>
      <c r="AL184" s="8"/>
      <c r="AM184" s="8"/>
      <c r="AN184" s="10"/>
    </row>
    <row r="185" spans="1:40" ht="45" hidden="1" x14ac:dyDescent="0.25">
      <c r="A185" s="103">
        <f t="shared" si="28"/>
        <v>184</v>
      </c>
      <c r="B185" s="8" t="s">
        <v>67</v>
      </c>
      <c r="C185" s="10" t="s">
        <v>1045</v>
      </c>
      <c r="D185" s="10" t="s">
        <v>428</v>
      </c>
      <c r="E185" s="10" t="s">
        <v>429</v>
      </c>
      <c r="F185" s="10" t="s">
        <v>430</v>
      </c>
      <c r="G185" s="10" t="s">
        <v>832</v>
      </c>
      <c r="H185" s="10">
        <f t="shared" si="26"/>
        <v>100</v>
      </c>
      <c r="I185" s="49"/>
      <c r="J185" s="49"/>
      <c r="K185" s="49">
        <f>Master20[[#This Row],[Initial Budget]]-Master20[[#This Row],[Previously Committed Funds]]</f>
        <v>0</v>
      </c>
      <c r="L185" s="49"/>
      <c r="M185" s="49"/>
      <c r="N185" s="97">
        <f>Master20[[#This Row],[Design $ (Add/Deduct)]]+Master20[[#This Row],[Construction $ (Add/Ded)]]</f>
        <v>0</v>
      </c>
      <c r="O185" s="32">
        <v>75000</v>
      </c>
      <c r="P185" s="8">
        <v>2018</v>
      </c>
      <c r="Q185" s="10" t="s">
        <v>688</v>
      </c>
      <c r="R185" s="8">
        <f t="shared" si="31"/>
        <v>20</v>
      </c>
      <c r="S185" s="8">
        <v>2</v>
      </c>
      <c r="T185" s="8">
        <f t="shared" si="30"/>
        <v>6</v>
      </c>
      <c r="U185" s="8" t="s">
        <v>41</v>
      </c>
      <c r="V185" s="8">
        <f t="shared" si="29"/>
        <v>4</v>
      </c>
      <c r="W185" s="8" t="s">
        <v>30</v>
      </c>
      <c r="X185" s="8">
        <v>0</v>
      </c>
      <c r="Y185" s="8">
        <v>0</v>
      </c>
      <c r="Z185" s="8">
        <v>0</v>
      </c>
      <c r="AA185" s="8">
        <v>0</v>
      </c>
      <c r="AB185" s="8">
        <v>0</v>
      </c>
      <c r="AC185" s="8">
        <v>0</v>
      </c>
      <c r="AD185" s="8">
        <v>0</v>
      </c>
      <c r="AF185" s="17" t="s">
        <v>29</v>
      </c>
      <c r="AG185" s="8">
        <f>VLOOKUP(Master20[[#This Row],[Elevated Priority]],Epriority,2,)</f>
        <v>0</v>
      </c>
      <c r="AH185" s="152">
        <f>IF(Master20[[#This Row],[Status]]="Active",Master20[[#This Row],[Status_Score]],IF(D185="","",R185+H185+T185+V185+AG185+AE185+Master20[[#This Row],[Risk Mitigation]]+Master20[[#This Row],[Master Plan]]+Master20[[#This Row],[Community Request]]+Master20[[#This Row],[Community need]]+Master20[[#This Row],[Offset Aging Inf.]]+Master20[[#This Row],[Energy Savings]]+Master20[[#This Row],[Gen Revenue]]-5))</f>
        <v>125</v>
      </c>
      <c r="AI185" s="8"/>
      <c r="AJ185" s="8"/>
      <c r="AK185" s="8"/>
      <c r="AL185" s="8"/>
      <c r="AM185" s="8"/>
      <c r="AN185" s="10"/>
    </row>
    <row r="186" spans="1:40" ht="60" x14ac:dyDescent="0.25">
      <c r="A186" s="103">
        <f t="shared" si="28"/>
        <v>185</v>
      </c>
      <c r="B186" s="8" t="s">
        <v>214</v>
      </c>
      <c r="C186" s="10" t="s">
        <v>1045</v>
      </c>
      <c r="D186" s="10" t="s">
        <v>225</v>
      </c>
      <c r="E186" s="10" t="s">
        <v>226</v>
      </c>
      <c r="F186" s="10" t="s">
        <v>227</v>
      </c>
      <c r="G186" s="10" t="s">
        <v>832</v>
      </c>
      <c r="H186" s="10">
        <f t="shared" si="26"/>
        <v>100</v>
      </c>
      <c r="I186" s="49"/>
      <c r="J186" s="49"/>
      <c r="K186" s="49">
        <f>Master20[[#This Row],[Initial Budget]]-Master20[[#This Row],[Previously Committed Funds]]</f>
        <v>0</v>
      </c>
      <c r="L186" s="49"/>
      <c r="M186" s="49"/>
      <c r="N186" s="97">
        <f>Master20[[#This Row],[Design $ (Add/Deduct)]]+Master20[[#This Row],[Construction $ (Add/Ded)]]</f>
        <v>0</v>
      </c>
      <c r="O186" s="32">
        <v>250000</v>
      </c>
      <c r="P186" s="8">
        <v>2018</v>
      </c>
      <c r="Q186" s="10" t="s">
        <v>688</v>
      </c>
      <c r="R186" s="8">
        <f t="shared" si="31"/>
        <v>20</v>
      </c>
      <c r="S186" s="8">
        <v>2</v>
      </c>
      <c r="T186" s="8">
        <f t="shared" si="30"/>
        <v>6</v>
      </c>
      <c r="U186" s="8" t="s">
        <v>41</v>
      </c>
      <c r="V186" s="8">
        <f t="shared" si="29"/>
        <v>4</v>
      </c>
      <c r="W186" s="8" t="s">
        <v>30</v>
      </c>
      <c r="X186" s="8">
        <v>0</v>
      </c>
      <c r="Y186" s="8">
        <v>0</v>
      </c>
      <c r="Z186" s="8">
        <v>0</v>
      </c>
      <c r="AA186" s="8">
        <v>0</v>
      </c>
      <c r="AB186" s="8">
        <v>0</v>
      </c>
      <c r="AC186" s="8">
        <v>0</v>
      </c>
      <c r="AD186" s="8">
        <v>0</v>
      </c>
      <c r="AF186" s="17" t="s">
        <v>29</v>
      </c>
      <c r="AG186" s="8">
        <f>VLOOKUP(Master20[[#This Row],[Elevated Priority]],Epriority,2,)</f>
        <v>0</v>
      </c>
      <c r="AH186" s="152">
        <f>IF(Master20[[#This Row],[Status]]="Active",Master20[[#This Row],[Status_Score]],IF(D186="","",R186+H186+T186+V186+AG186+AE186+Master20[[#This Row],[Risk Mitigation]]+Master20[[#This Row],[Master Plan]]+Master20[[#This Row],[Community Request]]+Master20[[#This Row],[Community need]]+Master20[[#This Row],[Offset Aging Inf.]]+Master20[[#This Row],[Energy Savings]]+Master20[[#This Row],[Gen Revenue]]-5))</f>
        <v>125</v>
      </c>
      <c r="AI186" s="8"/>
      <c r="AJ186" s="8"/>
      <c r="AK186" s="8"/>
      <c r="AL186" s="8"/>
      <c r="AM186" s="8"/>
      <c r="AN186" s="10"/>
    </row>
    <row r="187" spans="1:40" ht="165" hidden="1" x14ac:dyDescent="0.25">
      <c r="A187" s="103">
        <f t="shared" si="28"/>
        <v>186</v>
      </c>
      <c r="B187" s="8" t="s">
        <v>143</v>
      </c>
      <c r="C187" s="10" t="s">
        <v>1045</v>
      </c>
      <c r="D187" s="10" t="s">
        <v>372</v>
      </c>
      <c r="E187" s="10" t="s">
        <v>765</v>
      </c>
      <c r="F187" s="10" t="s">
        <v>766</v>
      </c>
      <c r="G187" s="10" t="s">
        <v>29</v>
      </c>
      <c r="H187" s="10">
        <f t="shared" si="26"/>
        <v>0</v>
      </c>
      <c r="I187" s="49"/>
      <c r="J187" s="49"/>
      <c r="K187" s="49">
        <f>Master20[[#This Row],[Initial Budget]]-Master20[[#This Row],[Previously Committed Funds]]</f>
        <v>0</v>
      </c>
      <c r="L187" s="49"/>
      <c r="M187" s="49"/>
      <c r="N187" s="97">
        <f>Master20[[#This Row],[Design $ (Add/Deduct)]]+Master20[[#This Row],[Construction $ (Add/Ded)]]</f>
        <v>0</v>
      </c>
      <c r="O187" s="32">
        <v>15000000</v>
      </c>
      <c r="P187" s="8">
        <v>2018</v>
      </c>
      <c r="Q187" s="10" t="s">
        <v>46</v>
      </c>
      <c r="R187" s="8">
        <f t="shared" si="31"/>
        <v>50</v>
      </c>
      <c r="S187" s="8">
        <v>6</v>
      </c>
      <c r="T187" s="8">
        <f t="shared" si="30"/>
        <v>18</v>
      </c>
      <c r="U187" s="8" t="s">
        <v>47</v>
      </c>
      <c r="V187" s="8">
        <f t="shared" ref="V187:V214" si="32">VLOOKUP(U187,Urgency,2,FALSE)</f>
        <v>64</v>
      </c>
      <c r="W187" s="8" t="s">
        <v>34</v>
      </c>
      <c r="X187" s="8">
        <v>0</v>
      </c>
      <c r="Y187" s="8">
        <v>0</v>
      </c>
      <c r="Z187" s="8">
        <v>-1</v>
      </c>
      <c r="AA187" s="8">
        <v>0</v>
      </c>
      <c r="AB187" s="8">
        <v>0</v>
      </c>
      <c r="AC187" s="8">
        <v>0</v>
      </c>
      <c r="AD187" s="8">
        <v>0</v>
      </c>
      <c r="AF187" s="17" t="s">
        <v>29</v>
      </c>
      <c r="AG187" s="8">
        <f>VLOOKUP(Master20[[#This Row],[Elevated Priority]],Epriority,2,)</f>
        <v>0</v>
      </c>
      <c r="AH187" s="152">
        <f>IF(Master20[[#This Row],[Status]]="Active",Master20[[#This Row],[Status_Score]],IF(D187="","",R187+H187+T187+V187+AG187+AE187+Master20[[#This Row],[Risk Mitigation]]+Master20[[#This Row],[Master Plan]]+Master20[[#This Row],[Community Request]]+Master20[[#This Row],[Community need]]+Master20[[#This Row],[Offset Aging Inf.]]+Master20[[#This Row],[Energy Savings]]+Master20[[#This Row],[Gen Revenue]]-5))</f>
        <v>126</v>
      </c>
      <c r="AI187" s="8"/>
      <c r="AJ187" s="8"/>
      <c r="AK187" s="8"/>
      <c r="AL187" s="8"/>
      <c r="AM187" s="8"/>
      <c r="AN187" s="10"/>
    </row>
    <row r="188" spans="1:40" ht="30" hidden="1" x14ac:dyDescent="0.25">
      <c r="A188" s="103">
        <f t="shared" si="28"/>
        <v>187</v>
      </c>
      <c r="B188" s="8" t="s">
        <v>67</v>
      </c>
      <c r="C188" s="10" t="s">
        <v>995</v>
      </c>
      <c r="D188" s="10" t="s">
        <v>565</v>
      </c>
      <c r="F188" s="10"/>
      <c r="G188" s="10" t="s">
        <v>832</v>
      </c>
      <c r="H188" s="10">
        <f t="shared" si="26"/>
        <v>100</v>
      </c>
      <c r="I188" s="49"/>
      <c r="J188" s="49"/>
      <c r="K188" s="49">
        <f>Master20[[#This Row],[Initial Budget]]-Master20[[#This Row],[Previously Committed Funds]]</f>
        <v>0</v>
      </c>
      <c r="L188" s="49"/>
      <c r="M188" s="49"/>
      <c r="N188" s="97">
        <f>Master20[[#This Row],[Design $ (Add/Deduct)]]+Master20[[#This Row],[Construction $ (Add/Ded)]]</f>
        <v>0</v>
      </c>
      <c r="O188" s="32">
        <v>25000</v>
      </c>
      <c r="P188" s="8">
        <v>2018</v>
      </c>
      <c r="Q188" s="10" t="s">
        <v>36</v>
      </c>
      <c r="R188" s="8">
        <f t="shared" si="31"/>
        <v>10</v>
      </c>
      <c r="S188" s="8">
        <v>10</v>
      </c>
      <c r="T188" s="8">
        <f t="shared" ref="T188:T214" si="33">VLOOKUP(S188,Department,2,FALSE)</f>
        <v>21</v>
      </c>
      <c r="U188" s="8" t="s">
        <v>33</v>
      </c>
      <c r="V188" s="8">
        <f t="shared" si="32"/>
        <v>1</v>
      </c>
      <c r="W188" s="8" t="s">
        <v>30</v>
      </c>
      <c r="X188" s="8">
        <v>0</v>
      </c>
      <c r="Y188" s="8">
        <v>0</v>
      </c>
      <c r="Z188" s="8">
        <v>0</v>
      </c>
      <c r="AA188" s="8">
        <v>0</v>
      </c>
      <c r="AB188" s="8">
        <v>0</v>
      </c>
      <c r="AC188" s="8">
        <v>0</v>
      </c>
      <c r="AD188" s="8">
        <v>0</v>
      </c>
      <c r="AF188" s="17" t="s">
        <v>29</v>
      </c>
      <c r="AG188" s="8">
        <f>VLOOKUP(Master20[[#This Row],[Elevated Priority]],Epriority,2,)</f>
        <v>0</v>
      </c>
      <c r="AH188" s="152">
        <f>IF(Master20[[#This Row],[Status]]="Active",Master20[[#This Row],[Status_Score]],IF(D188="","",R188+H188+T188+V188+AG188+AE188+Master20[[#This Row],[Risk Mitigation]]+Master20[[#This Row],[Master Plan]]+Master20[[#This Row],[Community Request]]+Master20[[#This Row],[Community need]]+Master20[[#This Row],[Offset Aging Inf.]]+Master20[[#This Row],[Energy Savings]]+Master20[[#This Row],[Gen Revenue]]-5))</f>
        <v>127</v>
      </c>
      <c r="AI188" s="8" t="s">
        <v>717</v>
      </c>
      <c r="AJ188" s="8">
        <v>2021</v>
      </c>
      <c r="AK188" s="8">
        <v>2022</v>
      </c>
      <c r="AL188" s="8">
        <v>2021</v>
      </c>
      <c r="AM188" s="8">
        <v>2022</v>
      </c>
      <c r="AN188" s="10"/>
    </row>
    <row r="189" spans="1:40" ht="30" hidden="1" x14ac:dyDescent="0.25">
      <c r="A189" s="103">
        <f t="shared" si="28"/>
        <v>188</v>
      </c>
      <c r="B189" s="8" t="s">
        <v>65</v>
      </c>
      <c r="C189" s="10" t="s">
        <v>1045</v>
      </c>
      <c r="D189" s="10" t="s">
        <v>208</v>
      </c>
      <c r="E189" s="10" t="s">
        <v>209</v>
      </c>
      <c r="F189" s="10" t="s">
        <v>210</v>
      </c>
      <c r="G189" s="10" t="s">
        <v>832</v>
      </c>
      <c r="H189" s="10">
        <f t="shared" si="26"/>
        <v>100</v>
      </c>
      <c r="I189" s="49"/>
      <c r="J189" s="49"/>
      <c r="K189" s="49">
        <f>Master20[[#This Row],[Initial Budget]]-Master20[[#This Row],[Previously Committed Funds]]</f>
        <v>0</v>
      </c>
      <c r="L189" s="49"/>
      <c r="M189" s="49"/>
      <c r="N189" s="97">
        <f>Master20[[#This Row],[Design $ (Add/Deduct)]]+Master20[[#This Row],[Construction $ (Add/Ded)]]</f>
        <v>0</v>
      </c>
      <c r="O189" s="32">
        <v>250000</v>
      </c>
      <c r="P189" s="8">
        <v>2018</v>
      </c>
      <c r="Q189" s="10" t="s">
        <v>688</v>
      </c>
      <c r="R189" s="8">
        <f t="shared" si="31"/>
        <v>20</v>
      </c>
      <c r="S189" s="8">
        <v>4</v>
      </c>
      <c r="T189" s="8">
        <f t="shared" si="33"/>
        <v>12</v>
      </c>
      <c r="U189" s="8" t="s">
        <v>41</v>
      </c>
      <c r="V189" s="8">
        <f t="shared" si="32"/>
        <v>4</v>
      </c>
      <c r="W189" s="8" t="s">
        <v>30</v>
      </c>
      <c r="X189" s="8">
        <v>0</v>
      </c>
      <c r="Y189" s="8">
        <v>0</v>
      </c>
      <c r="Z189" s="8">
        <v>0</v>
      </c>
      <c r="AA189" s="8">
        <v>0</v>
      </c>
      <c r="AB189" s="8">
        <v>0</v>
      </c>
      <c r="AC189" s="8">
        <v>0</v>
      </c>
      <c r="AD189" s="8">
        <v>0</v>
      </c>
      <c r="AF189" s="17" t="s">
        <v>29</v>
      </c>
      <c r="AG189" s="8">
        <f>VLOOKUP(Master20[[#This Row],[Elevated Priority]],Epriority,2,)</f>
        <v>0</v>
      </c>
      <c r="AH189" s="152">
        <f>IF(Master20[[#This Row],[Status]]="Active",Master20[[#This Row],[Status_Score]],IF(D189="","",R189+H189+T189+V189+AG189+AE189+Master20[[#This Row],[Risk Mitigation]]+Master20[[#This Row],[Master Plan]]+Master20[[#This Row],[Community Request]]+Master20[[#This Row],[Community need]]+Master20[[#This Row],[Offset Aging Inf.]]+Master20[[#This Row],[Energy Savings]]+Master20[[#This Row],[Gen Revenue]]-5))</f>
        <v>131</v>
      </c>
      <c r="AI189" s="8"/>
      <c r="AJ189" s="8"/>
      <c r="AK189" s="8"/>
      <c r="AL189" s="8"/>
      <c r="AM189" s="8"/>
      <c r="AN189" s="10"/>
    </row>
    <row r="190" spans="1:40" ht="30" x14ac:dyDescent="0.25">
      <c r="A190" s="103">
        <f t="shared" si="28"/>
        <v>189</v>
      </c>
      <c r="B190" s="8" t="s">
        <v>214</v>
      </c>
      <c r="C190" s="10" t="s">
        <v>1045</v>
      </c>
      <c r="D190" s="10" t="s">
        <v>307</v>
      </c>
      <c r="E190" s="10" t="s">
        <v>308</v>
      </c>
      <c r="F190" s="10" t="s">
        <v>309</v>
      </c>
      <c r="G190" s="10" t="s">
        <v>832</v>
      </c>
      <c r="H190" s="10">
        <f t="shared" si="26"/>
        <v>100</v>
      </c>
      <c r="I190" s="49"/>
      <c r="J190" s="49"/>
      <c r="K190" s="49">
        <f>Master20[[#This Row],[Initial Budget]]-Master20[[#This Row],[Previously Committed Funds]]</f>
        <v>0</v>
      </c>
      <c r="L190" s="49"/>
      <c r="M190" s="49"/>
      <c r="N190" s="97">
        <f>Master20[[#This Row],[Design $ (Add/Deduct)]]+Master20[[#This Row],[Construction $ (Add/Ded)]]</f>
        <v>0</v>
      </c>
      <c r="O190" s="32">
        <v>150000</v>
      </c>
      <c r="P190" s="8">
        <v>2018</v>
      </c>
      <c r="Q190" s="10" t="s">
        <v>688</v>
      </c>
      <c r="R190" s="8">
        <f t="shared" si="31"/>
        <v>20</v>
      </c>
      <c r="S190" s="8">
        <v>4</v>
      </c>
      <c r="T190" s="8">
        <f t="shared" si="33"/>
        <v>12</v>
      </c>
      <c r="U190" s="8" t="s">
        <v>41</v>
      </c>
      <c r="V190" s="8">
        <f t="shared" si="32"/>
        <v>4</v>
      </c>
      <c r="W190" s="8" t="s">
        <v>30</v>
      </c>
      <c r="X190" s="8">
        <v>0</v>
      </c>
      <c r="Y190" s="8">
        <v>0</v>
      </c>
      <c r="Z190" s="8">
        <v>0</v>
      </c>
      <c r="AA190" s="8">
        <v>0</v>
      </c>
      <c r="AB190" s="8">
        <v>0</v>
      </c>
      <c r="AC190" s="8">
        <v>0</v>
      </c>
      <c r="AD190" s="8">
        <v>0</v>
      </c>
      <c r="AF190" s="17" t="s">
        <v>29</v>
      </c>
      <c r="AG190" s="8">
        <f>VLOOKUP(Master20[[#This Row],[Elevated Priority]],Epriority,2,)</f>
        <v>0</v>
      </c>
      <c r="AH190" s="152">
        <f>IF(Master20[[#This Row],[Status]]="Active",Master20[[#This Row],[Status_Score]],IF(D190="","",R190+H190+T190+V190+AG190+AE190+Master20[[#This Row],[Risk Mitigation]]+Master20[[#This Row],[Master Plan]]+Master20[[#This Row],[Community Request]]+Master20[[#This Row],[Community need]]+Master20[[#This Row],[Offset Aging Inf.]]+Master20[[#This Row],[Energy Savings]]+Master20[[#This Row],[Gen Revenue]]-5))</f>
        <v>131</v>
      </c>
      <c r="AI190" s="8"/>
      <c r="AJ190" s="8"/>
      <c r="AK190" s="8"/>
      <c r="AL190" s="8"/>
      <c r="AM190" s="8"/>
      <c r="AN190" s="10"/>
    </row>
    <row r="191" spans="1:40" ht="30" hidden="1" x14ac:dyDescent="0.25">
      <c r="A191" s="103">
        <f t="shared" si="28"/>
        <v>190</v>
      </c>
      <c r="B191" s="8" t="s">
        <v>65</v>
      </c>
      <c r="C191" s="10" t="s">
        <v>1045</v>
      </c>
      <c r="D191" s="10" t="s">
        <v>578</v>
      </c>
      <c r="E191" s="10" t="s">
        <v>579</v>
      </c>
      <c r="F191" s="10" t="s">
        <v>580</v>
      </c>
      <c r="G191" s="10" t="s">
        <v>29</v>
      </c>
      <c r="H191" s="10">
        <f t="shared" si="26"/>
        <v>0</v>
      </c>
      <c r="I191" s="49"/>
      <c r="J191" s="49"/>
      <c r="K191" s="49">
        <f>Master20[[#This Row],[Initial Budget]]-Master20[[#This Row],[Previously Committed Funds]]</f>
        <v>0</v>
      </c>
      <c r="L191" s="49"/>
      <c r="M191" s="49"/>
      <c r="N191" s="97">
        <f>Master20[[#This Row],[Design $ (Add/Deduct)]]+Master20[[#This Row],[Construction $ (Add/Ded)]]</f>
        <v>0</v>
      </c>
      <c r="O191" s="32">
        <v>100000</v>
      </c>
      <c r="P191" s="8">
        <v>2018</v>
      </c>
      <c r="Q191" s="10" t="s">
        <v>46</v>
      </c>
      <c r="R191" s="8">
        <f t="shared" si="31"/>
        <v>50</v>
      </c>
      <c r="S191" s="8">
        <v>15</v>
      </c>
      <c r="T191" s="8">
        <f t="shared" si="33"/>
        <v>24</v>
      </c>
      <c r="U191" s="8" t="s">
        <v>47</v>
      </c>
      <c r="V191" s="8">
        <f t="shared" si="32"/>
        <v>64</v>
      </c>
      <c r="W191" s="8" t="s">
        <v>34</v>
      </c>
      <c r="X191" s="8">
        <v>0</v>
      </c>
      <c r="Y191" s="8">
        <v>0</v>
      </c>
      <c r="Z191" s="8">
        <v>0</v>
      </c>
      <c r="AA191" s="8">
        <v>0</v>
      </c>
      <c r="AB191" s="8">
        <v>0</v>
      </c>
      <c r="AC191" s="8">
        <v>0</v>
      </c>
      <c r="AD191" s="8">
        <v>0</v>
      </c>
      <c r="AF191" s="17" t="s">
        <v>29</v>
      </c>
      <c r="AG191" s="8">
        <f>VLOOKUP(Master20[[#This Row],[Elevated Priority]],Epriority,2,)</f>
        <v>0</v>
      </c>
      <c r="AH191" s="152">
        <f>IF(Master20[[#This Row],[Status]]="Active",Master20[[#This Row],[Status_Score]],IF(D191="","",R191+H191+T191+V191+AG191+AE191+Master20[[#This Row],[Risk Mitigation]]+Master20[[#This Row],[Master Plan]]+Master20[[#This Row],[Community Request]]+Master20[[#This Row],[Community need]]+Master20[[#This Row],[Offset Aging Inf.]]+Master20[[#This Row],[Energy Savings]]+Master20[[#This Row],[Gen Revenue]]-5))</f>
        <v>133</v>
      </c>
      <c r="AI191" s="8"/>
      <c r="AJ191" s="8"/>
      <c r="AK191" s="8"/>
      <c r="AL191" s="8"/>
      <c r="AM191" s="8"/>
      <c r="AN191" s="10"/>
    </row>
    <row r="192" spans="1:40" ht="30" hidden="1" x14ac:dyDescent="0.25">
      <c r="A192" s="103">
        <f t="shared" si="28"/>
        <v>191</v>
      </c>
      <c r="B192" s="8" t="s">
        <v>67</v>
      </c>
      <c r="C192" s="10" t="s">
        <v>1045</v>
      </c>
      <c r="D192" s="10" t="s">
        <v>1192</v>
      </c>
      <c r="E192" s="10" t="s">
        <v>206</v>
      </c>
      <c r="F192" s="10" t="s">
        <v>207</v>
      </c>
      <c r="G192" s="10" t="s">
        <v>832</v>
      </c>
      <c r="H192" s="10">
        <f t="shared" si="26"/>
        <v>100</v>
      </c>
      <c r="I192" s="49"/>
      <c r="J192" s="49"/>
      <c r="K192" s="49">
        <f>Master20[[#This Row],[Initial Budget]]-Master20[[#This Row],[Previously Committed Funds]]</f>
        <v>0</v>
      </c>
      <c r="L192" s="49"/>
      <c r="M192" s="49"/>
      <c r="N192" s="97">
        <f>Master20[[#This Row],[Design $ (Add/Deduct)]]+Master20[[#This Row],[Construction $ (Add/Ded)]]</f>
        <v>0</v>
      </c>
      <c r="O192" s="32">
        <v>2000000</v>
      </c>
      <c r="P192" s="8">
        <v>2018</v>
      </c>
      <c r="Q192" s="10" t="s">
        <v>687</v>
      </c>
      <c r="R192" s="8">
        <f t="shared" si="31"/>
        <v>30</v>
      </c>
      <c r="S192" s="8">
        <v>2</v>
      </c>
      <c r="T192" s="8">
        <f t="shared" si="33"/>
        <v>6</v>
      </c>
      <c r="U192" s="8" t="s">
        <v>41</v>
      </c>
      <c r="V192" s="8">
        <f t="shared" si="32"/>
        <v>4</v>
      </c>
      <c r="W192" s="8" t="s">
        <v>34</v>
      </c>
      <c r="X192" s="8">
        <v>0</v>
      </c>
      <c r="Y192" s="8">
        <v>0</v>
      </c>
      <c r="Z192" s="8">
        <v>0</v>
      </c>
      <c r="AA192" s="8">
        <v>0</v>
      </c>
      <c r="AB192" s="8">
        <v>0</v>
      </c>
      <c r="AC192" s="8">
        <v>0</v>
      </c>
      <c r="AD192" s="8">
        <v>0</v>
      </c>
      <c r="AF192" s="17" t="s">
        <v>29</v>
      </c>
      <c r="AG192" s="8">
        <f>VLOOKUP(Master20[[#This Row],[Elevated Priority]],Epriority,2,)</f>
        <v>0</v>
      </c>
      <c r="AH192" s="152">
        <f>IF(Master20[[#This Row],[Status]]="Active",Master20[[#This Row],[Status_Score]],IF(D192="","",R192+H192+T192+V192+AG192+AE192+Master20[[#This Row],[Risk Mitigation]]+Master20[[#This Row],[Master Plan]]+Master20[[#This Row],[Community Request]]+Master20[[#This Row],[Community need]]+Master20[[#This Row],[Offset Aging Inf.]]+Master20[[#This Row],[Energy Savings]]+Master20[[#This Row],[Gen Revenue]]-5))</f>
        <v>135</v>
      </c>
      <c r="AI192" s="8"/>
      <c r="AJ192" s="8"/>
      <c r="AK192" s="8"/>
      <c r="AL192" s="8"/>
      <c r="AM192" s="8"/>
      <c r="AN192" s="10"/>
    </row>
    <row r="193" spans="1:40" ht="60" hidden="1" x14ac:dyDescent="0.25">
      <c r="A193" s="103">
        <f t="shared" si="28"/>
        <v>192</v>
      </c>
      <c r="B193" s="8" t="s">
        <v>70</v>
      </c>
      <c r="C193" s="10" t="s">
        <v>1045</v>
      </c>
      <c r="D193" s="10" t="s">
        <v>288</v>
      </c>
      <c r="E193" s="10" t="s">
        <v>289</v>
      </c>
      <c r="F193" s="10" t="s">
        <v>290</v>
      </c>
      <c r="G193" s="10" t="s">
        <v>832</v>
      </c>
      <c r="H193" s="10">
        <f t="shared" ref="H193:H256" si="34">VLOOKUP(G193,Status_Score,2,FALSE)</f>
        <v>100</v>
      </c>
      <c r="I193" s="49"/>
      <c r="J193" s="49"/>
      <c r="K193" s="49">
        <f>Master20[[#This Row],[Initial Budget]]-Master20[[#This Row],[Previously Committed Funds]]</f>
        <v>0</v>
      </c>
      <c r="L193" s="49"/>
      <c r="M193" s="49"/>
      <c r="N193" s="97">
        <f>Master20[[#This Row],[Design $ (Add/Deduct)]]+Master20[[#This Row],[Construction $ (Add/Ded)]]</f>
        <v>0</v>
      </c>
      <c r="O193" s="32">
        <v>40000</v>
      </c>
      <c r="P193" s="8">
        <v>2018</v>
      </c>
      <c r="Q193" s="10" t="s">
        <v>687</v>
      </c>
      <c r="R193" s="8">
        <f t="shared" ref="R193:R214" si="35">VLOOKUP(Q193,Importance,2,FALSE)</f>
        <v>30</v>
      </c>
      <c r="S193" s="8">
        <v>4</v>
      </c>
      <c r="T193" s="8">
        <f t="shared" si="33"/>
        <v>12</v>
      </c>
      <c r="U193" s="8" t="s">
        <v>41</v>
      </c>
      <c r="V193" s="8">
        <f t="shared" si="32"/>
        <v>4</v>
      </c>
      <c r="W193" s="8" t="s">
        <v>30</v>
      </c>
      <c r="X193" s="8">
        <v>0</v>
      </c>
      <c r="Y193" s="8">
        <v>0</v>
      </c>
      <c r="Z193" s="8">
        <v>0</v>
      </c>
      <c r="AA193" s="8">
        <v>0</v>
      </c>
      <c r="AB193" s="8">
        <v>0</v>
      </c>
      <c r="AC193" s="8">
        <v>0</v>
      </c>
      <c r="AD193" s="8">
        <v>0</v>
      </c>
      <c r="AF193" s="17" t="s">
        <v>29</v>
      </c>
      <c r="AG193" s="8">
        <f>VLOOKUP(Master20[[#This Row],[Elevated Priority]],Epriority,2,)</f>
        <v>0</v>
      </c>
      <c r="AH193" s="152">
        <f>IF(Master20[[#This Row],[Status]]="Active",Master20[[#This Row],[Status_Score]],IF(D193="","",R193+H193+T193+V193+AG193+AE193+Master20[[#This Row],[Risk Mitigation]]+Master20[[#This Row],[Master Plan]]+Master20[[#This Row],[Community Request]]+Master20[[#This Row],[Community need]]+Master20[[#This Row],[Offset Aging Inf.]]+Master20[[#This Row],[Energy Savings]]+Master20[[#This Row],[Gen Revenue]]-5))</f>
        <v>141</v>
      </c>
      <c r="AI193" s="8" t="s">
        <v>1043</v>
      </c>
      <c r="AJ193" s="8">
        <v>2020</v>
      </c>
      <c r="AK193" s="8"/>
      <c r="AL193" s="8">
        <v>2020</v>
      </c>
      <c r="AM193" s="8"/>
      <c r="AN193" s="10"/>
    </row>
    <row r="194" spans="1:40" ht="30" hidden="1" x14ac:dyDescent="0.25">
      <c r="A194" s="103">
        <f t="shared" si="28"/>
        <v>193</v>
      </c>
      <c r="B194" s="8" t="s">
        <v>67</v>
      </c>
      <c r="C194" s="10" t="s">
        <v>1045</v>
      </c>
      <c r="D194" s="10" t="s">
        <v>425</v>
      </c>
      <c r="E194" s="10" t="s">
        <v>426</v>
      </c>
      <c r="F194" s="10" t="s">
        <v>427</v>
      </c>
      <c r="G194" s="10" t="s">
        <v>832</v>
      </c>
      <c r="H194" s="10">
        <f t="shared" si="34"/>
        <v>100</v>
      </c>
      <c r="I194" s="49"/>
      <c r="J194" s="49"/>
      <c r="K194" s="49">
        <f>Master20[[#This Row],[Initial Budget]]-Master20[[#This Row],[Previously Committed Funds]]</f>
        <v>0</v>
      </c>
      <c r="L194" s="49"/>
      <c r="M194" s="49"/>
      <c r="N194" s="97">
        <f>Master20[[#This Row],[Design $ (Add/Deduct)]]+Master20[[#This Row],[Construction $ (Add/Ded)]]</f>
        <v>0</v>
      </c>
      <c r="O194" s="32">
        <v>275000</v>
      </c>
      <c r="P194" s="8">
        <v>2018</v>
      </c>
      <c r="Q194" s="10" t="s">
        <v>830</v>
      </c>
      <c r="R194" s="8">
        <f t="shared" si="35"/>
        <v>10</v>
      </c>
      <c r="S194" s="8">
        <v>2</v>
      </c>
      <c r="T194" s="8">
        <f t="shared" si="33"/>
        <v>6</v>
      </c>
      <c r="U194" s="8" t="s">
        <v>45</v>
      </c>
      <c r="V194" s="8">
        <f t="shared" si="32"/>
        <v>32</v>
      </c>
      <c r="W194" s="8" t="s">
        <v>34</v>
      </c>
      <c r="X194" s="8">
        <v>0</v>
      </c>
      <c r="Y194" s="8">
        <v>0</v>
      </c>
      <c r="Z194" s="8">
        <v>0</v>
      </c>
      <c r="AA194" s="8">
        <v>0</v>
      </c>
      <c r="AB194" s="8">
        <v>0</v>
      </c>
      <c r="AC194" s="8">
        <v>0</v>
      </c>
      <c r="AD194" s="8">
        <v>0</v>
      </c>
      <c r="AF194" s="17" t="s">
        <v>29</v>
      </c>
      <c r="AG194" s="8">
        <f>VLOOKUP(Master20[[#This Row],[Elevated Priority]],Epriority,2,)</f>
        <v>0</v>
      </c>
      <c r="AH194" s="152">
        <f>IF(Master20[[#This Row],[Status]]="Active",Master20[[#This Row],[Status_Score]],IF(D194="","",R194+H194+T194+V194+AG194+AE194+Master20[[#This Row],[Risk Mitigation]]+Master20[[#This Row],[Master Plan]]+Master20[[#This Row],[Community Request]]+Master20[[#This Row],[Community need]]+Master20[[#This Row],[Offset Aging Inf.]]+Master20[[#This Row],[Energy Savings]]+Master20[[#This Row],[Gen Revenue]]-5))</f>
        <v>143</v>
      </c>
      <c r="AI194" s="8"/>
      <c r="AJ194" s="8"/>
      <c r="AK194" s="8"/>
      <c r="AL194" s="8"/>
      <c r="AM194" s="8"/>
      <c r="AN194" s="10"/>
    </row>
    <row r="195" spans="1:40" ht="60" hidden="1" x14ac:dyDescent="0.25">
      <c r="A195" s="103">
        <f t="shared" ref="A195:A258" si="36">A194+1</f>
        <v>194</v>
      </c>
      <c r="B195" s="8" t="s">
        <v>67</v>
      </c>
      <c r="C195" s="10" t="s">
        <v>1045</v>
      </c>
      <c r="D195" s="10" t="s">
        <v>434</v>
      </c>
      <c r="E195" s="10" t="s">
        <v>435</v>
      </c>
      <c r="F195" s="10" t="s">
        <v>436</v>
      </c>
      <c r="G195" s="10" t="s">
        <v>832</v>
      </c>
      <c r="H195" s="10">
        <f t="shared" si="34"/>
        <v>100</v>
      </c>
      <c r="I195" s="49"/>
      <c r="J195" s="49"/>
      <c r="K195" s="49">
        <f>Master20[[#This Row],[Initial Budget]]-Master20[[#This Row],[Previously Committed Funds]]</f>
        <v>0</v>
      </c>
      <c r="L195" s="49"/>
      <c r="M195" s="49"/>
      <c r="N195" s="97">
        <f>Master20[[#This Row],[Design $ (Add/Deduct)]]+Master20[[#This Row],[Construction $ (Add/Ded)]]</f>
        <v>0</v>
      </c>
      <c r="O195" s="32">
        <v>65000</v>
      </c>
      <c r="P195" s="8">
        <v>2018</v>
      </c>
      <c r="Q195" s="10" t="s">
        <v>687</v>
      </c>
      <c r="R195" s="8">
        <f t="shared" si="35"/>
        <v>30</v>
      </c>
      <c r="S195" s="8">
        <v>2</v>
      </c>
      <c r="T195" s="8">
        <f t="shared" si="33"/>
        <v>6</v>
      </c>
      <c r="U195" s="8" t="s">
        <v>43</v>
      </c>
      <c r="V195" s="8">
        <f t="shared" si="32"/>
        <v>16</v>
      </c>
      <c r="W195" s="8" t="s">
        <v>30</v>
      </c>
      <c r="X195" s="8">
        <v>0</v>
      </c>
      <c r="Y195" s="8">
        <v>0</v>
      </c>
      <c r="Z195" s="8">
        <v>0</v>
      </c>
      <c r="AA195" s="8">
        <v>0</v>
      </c>
      <c r="AB195" s="8">
        <v>0</v>
      </c>
      <c r="AC195" s="8">
        <v>0</v>
      </c>
      <c r="AD195" s="8">
        <v>0</v>
      </c>
      <c r="AF195" s="17" t="s">
        <v>29</v>
      </c>
      <c r="AG195" s="8">
        <f>VLOOKUP(Master20[[#This Row],[Elevated Priority]],Epriority,2,)</f>
        <v>0</v>
      </c>
      <c r="AH195" s="152">
        <f>IF(Master20[[#This Row],[Status]]="Active",Master20[[#This Row],[Status_Score]],IF(D195="","",R195+H195+T195+V195+AG195+AE195+Master20[[#This Row],[Risk Mitigation]]+Master20[[#This Row],[Master Plan]]+Master20[[#This Row],[Community Request]]+Master20[[#This Row],[Community need]]+Master20[[#This Row],[Offset Aging Inf.]]+Master20[[#This Row],[Energy Savings]]+Master20[[#This Row],[Gen Revenue]]-5))</f>
        <v>147</v>
      </c>
      <c r="AI195" s="8"/>
      <c r="AJ195" s="8"/>
      <c r="AK195" s="8"/>
      <c r="AL195" s="8"/>
      <c r="AM195" s="8"/>
      <c r="AN195" s="10"/>
    </row>
    <row r="196" spans="1:40" ht="120" hidden="1" x14ac:dyDescent="0.25">
      <c r="A196" s="103">
        <f t="shared" si="36"/>
        <v>195</v>
      </c>
      <c r="B196" s="8" t="s">
        <v>67</v>
      </c>
      <c r="C196" s="10" t="s">
        <v>1045</v>
      </c>
      <c r="D196" s="10" t="s">
        <v>791</v>
      </c>
      <c r="E196" s="10" t="s">
        <v>792</v>
      </c>
      <c r="F196" s="10" t="s">
        <v>900</v>
      </c>
      <c r="G196" s="10" t="s">
        <v>832</v>
      </c>
      <c r="H196" s="10">
        <f t="shared" si="34"/>
        <v>100</v>
      </c>
      <c r="I196" s="49"/>
      <c r="J196" s="49"/>
      <c r="K196" s="49">
        <f>Master20[[#This Row],[Initial Budget]]-Master20[[#This Row],[Previously Committed Funds]]</f>
        <v>0</v>
      </c>
      <c r="L196" s="49">
        <v>45000</v>
      </c>
      <c r="M196" s="49"/>
      <c r="N196" s="97">
        <f>Master20[[#This Row],[Design $ (Add/Deduct)]]+Master20[[#This Row],[Construction $ (Add/Ded)]]</f>
        <v>45000</v>
      </c>
      <c r="O196" s="32">
        <v>235000</v>
      </c>
      <c r="P196" s="8">
        <v>2020</v>
      </c>
      <c r="Q196" s="10" t="s">
        <v>688</v>
      </c>
      <c r="R196" s="8">
        <f t="shared" si="35"/>
        <v>20</v>
      </c>
      <c r="S196" s="8">
        <v>10</v>
      </c>
      <c r="T196" s="8">
        <f t="shared" si="33"/>
        <v>21</v>
      </c>
      <c r="U196" s="8" t="s">
        <v>43</v>
      </c>
      <c r="V196" s="8">
        <f t="shared" si="32"/>
        <v>16</v>
      </c>
      <c r="W196" s="8" t="s">
        <v>30</v>
      </c>
      <c r="X196" s="8">
        <v>0</v>
      </c>
      <c r="Y196" s="8">
        <v>0</v>
      </c>
      <c r="Z196" s="8">
        <v>0</v>
      </c>
      <c r="AA196" s="8">
        <v>0</v>
      </c>
      <c r="AB196" s="8">
        <v>0</v>
      </c>
      <c r="AC196" s="8">
        <v>0</v>
      </c>
      <c r="AD196" s="8">
        <v>0</v>
      </c>
      <c r="AF196" s="17" t="s">
        <v>29</v>
      </c>
      <c r="AG196" s="8">
        <f>VLOOKUP(Master20[[#This Row],[Elevated Priority]],Epriority,2,)</f>
        <v>0</v>
      </c>
      <c r="AH196" s="152">
        <f>IF(Master20[[#This Row],[Status]]="Active",Master20[[#This Row],[Status_Score]],IF(D196="","",R196+H196+T196+V196+AG196+AE196+Master20[[#This Row],[Risk Mitigation]]+Master20[[#This Row],[Master Plan]]+Master20[[#This Row],[Community Request]]+Master20[[#This Row],[Community need]]+Master20[[#This Row],[Offset Aging Inf.]]+Master20[[#This Row],[Energy Savings]]+Master20[[#This Row],[Gen Revenue]]-5))</f>
        <v>152</v>
      </c>
      <c r="AI196" s="8"/>
      <c r="AJ196" s="8"/>
      <c r="AK196" s="8"/>
      <c r="AL196" s="8"/>
      <c r="AM196" s="8"/>
      <c r="AN196" s="10"/>
    </row>
    <row r="197" spans="1:40" ht="45" hidden="1" x14ac:dyDescent="0.25">
      <c r="A197" s="103">
        <f t="shared" si="36"/>
        <v>196</v>
      </c>
      <c r="B197" s="8" t="s">
        <v>67</v>
      </c>
      <c r="C197" s="10" t="s">
        <v>1045</v>
      </c>
      <c r="D197" s="10" t="s">
        <v>778</v>
      </c>
      <c r="E197" s="10" t="s">
        <v>801</v>
      </c>
      <c r="F197" s="10" t="s">
        <v>901</v>
      </c>
      <c r="G197" s="10" t="s">
        <v>832</v>
      </c>
      <c r="H197" s="10">
        <f t="shared" si="34"/>
        <v>100</v>
      </c>
      <c r="I197" s="49"/>
      <c r="J197" s="49"/>
      <c r="K197" s="49">
        <f>Master20[[#This Row],[Initial Budget]]-Master20[[#This Row],[Previously Committed Funds]]</f>
        <v>0</v>
      </c>
      <c r="L197" s="49"/>
      <c r="M197" s="49"/>
      <c r="N197" s="97"/>
      <c r="O197" s="32">
        <v>100000</v>
      </c>
      <c r="P197" s="8">
        <v>2020</v>
      </c>
      <c r="Q197" s="10" t="s">
        <v>688</v>
      </c>
      <c r="R197" s="8">
        <f t="shared" si="35"/>
        <v>20</v>
      </c>
      <c r="S197" s="8">
        <v>10</v>
      </c>
      <c r="T197" s="8">
        <f t="shared" si="33"/>
        <v>21</v>
      </c>
      <c r="U197" s="8" t="s">
        <v>43</v>
      </c>
      <c r="V197" s="8">
        <f t="shared" si="32"/>
        <v>16</v>
      </c>
      <c r="W197" s="8" t="s">
        <v>30</v>
      </c>
      <c r="X197" s="8">
        <v>0</v>
      </c>
      <c r="Y197" s="8">
        <v>0</v>
      </c>
      <c r="Z197" s="8">
        <v>0</v>
      </c>
      <c r="AA197" s="8">
        <v>0</v>
      </c>
      <c r="AB197" s="8">
        <v>0</v>
      </c>
      <c r="AC197" s="8">
        <v>0</v>
      </c>
      <c r="AD197" s="8">
        <v>0</v>
      </c>
      <c r="AF197" s="17" t="s">
        <v>29</v>
      </c>
      <c r="AG197" s="8">
        <f>VLOOKUP(Master20[[#This Row],[Elevated Priority]],Epriority,2,)</f>
        <v>0</v>
      </c>
      <c r="AH197" s="152">
        <f>IF(Master20[[#This Row],[Status]]="Active",Master20[[#This Row],[Status_Score]],IF(D197="","",R197+H197+T197+V197+AG197+AE197+Master20[[#This Row],[Risk Mitigation]]+Master20[[#This Row],[Master Plan]]+Master20[[#This Row],[Community Request]]+Master20[[#This Row],[Community need]]+Master20[[#This Row],[Offset Aging Inf.]]+Master20[[#This Row],[Energy Savings]]+Master20[[#This Row],[Gen Revenue]]-5))</f>
        <v>152</v>
      </c>
      <c r="AI197" s="8"/>
      <c r="AJ197" s="8"/>
      <c r="AK197" s="8"/>
      <c r="AL197" s="8"/>
      <c r="AM197" s="8"/>
      <c r="AN197" s="10"/>
    </row>
    <row r="198" spans="1:40" ht="30" hidden="1" x14ac:dyDescent="0.25">
      <c r="A198" s="103">
        <f t="shared" si="36"/>
        <v>197</v>
      </c>
      <c r="B198" s="8" t="s">
        <v>1212</v>
      </c>
      <c r="C198" s="10" t="s">
        <v>220</v>
      </c>
      <c r="D198" s="10" t="s">
        <v>437</v>
      </c>
      <c r="E198" s="10" t="s">
        <v>1214</v>
      </c>
      <c r="F198" s="10"/>
      <c r="G198" s="10" t="s">
        <v>832</v>
      </c>
      <c r="H198" s="10">
        <f t="shared" si="34"/>
        <v>100</v>
      </c>
      <c r="I198" s="49"/>
      <c r="J198" s="49"/>
      <c r="K198" s="49">
        <f>Master20[[#This Row],[Initial Budget]]-Master20[[#This Row],[Previously Committed Funds]]</f>
        <v>0</v>
      </c>
      <c r="L198" s="49"/>
      <c r="M198" s="49"/>
      <c r="N198" s="97">
        <f>Master20[[#This Row],[Design $ (Add/Deduct)]]+Master20[[#This Row],[Construction $ (Add/Ded)]]</f>
        <v>0</v>
      </c>
      <c r="O198" s="32">
        <v>40000</v>
      </c>
      <c r="P198" s="8">
        <v>2018</v>
      </c>
      <c r="Q198" s="10" t="s">
        <v>46</v>
      </c>
      <c r="R198" s="8">
        <f t="shared" si="35"/>
        <v>50</v>
      </c>
      <c r="S198" s="8">
        <v>10</v>
      </c>
      <c r="T198" s="8">
        <f t="shared" si="33"/>
        <v>21</v>
      </c>
      <c r="U198" s="8" t="s">
        <v>29</v>
      </c>
      <c r="V198" s="8">
        <f t="shared" si="32"/>
        <v>0</v>
      </c>
      <c r="W198" s="8" t="s">
        <v>30</v>
      </c>
      <c r="X198" s="8">
        <v>0</v>
      </c>
      <c r="Y198" s="8">
        <v>0</v>
      </c>
      <c r="Z198" s="8">
        <v>0</v>
      </c>
      <c r="AA198" s="8">
        <v>0</v>
      </c>
      <c r="AB198" s="8">
        <v>0</v>
      </c>
      <c r="AC198" s="8">
        <v>0</v>
      </c>
      <c r="AD198" s="8">
        <v>0</v>
      </c>
      <c r="AF198" s="17" t="s">
        <v>29</v>
      </c>
      <c r="AG198" s="8">
        <f>VLOOKUP(Master20[[#This Row],[Elevated Priority]],Epriority,2,)</f>
        <v>0</v>
      </c>
      <c r="AH198" s="152">
        <f>IF(Master20[[#This Row],[Status]]="Active",Master20[[#This Row],[Status_Score]],IF(D198="","",R198+H198+T198+V198+AG198+AE198+Master20[[#This Row],[Risk Mitigation]]+Master20[[#This Row],[Master Plan]]+Master20[[#This Row],[Community Request]]+Master20[[#This Row],[Community need]]+Master20[[#This Row],[Offset Aging Inf.]]+Master20[[#This Row],[Energy Savings]]+Master20[[#This Row],[Gen Revenue]]-5))</f>
        <v>166</v>
      </c>
      <c r="AI198" s="8"/>
      <c r="AJ198" s="8"/>
      <c r="AK198" s="8"/>
      <c r="AL198" s="8"/>
      <c r="AM198" s="8"/>
      <c r="AN198" s="10"/>
    </row>
    <row r="199" spans="1:40" ht="75" hidden="1" x14ac:dyDescent="0.25">
      <c r="A199" s="103">
        <f t="shared" si="36"/>
        <v>198</v>
      </c>
      <c r="B199" s="8" t="s">
        <v>67</v>
      </c>
      <c r="C199" s="10" t="s">
        <v>1045</v>
      </c>
      <c r="D199" s="10" t="s">
        <v>419</v>
      </c>
      <c r="E199" s="10" t="s">
        <v>420</v>
      </c>
      <c r="F199" s="10" t="s">
        <v>421</v>
      </c>
      <c r="G199" s="10" t="s">
        <v>832</v>
      </c>
      <c r="H199" s="10">
        <f t="shared" si="34"/>
        <v>100</v>
      </c>
      <c r="I199" s="49"/>
      <c r="J199" s="49"/>
      <c r="K199" s="49">
        <f>Master20[[#This Row],[Initial Budget]]-Master20[[#This Row],[Previously Committed Funds]]</f>
        <v>0</v>
      </c>
      <c r="L199" s="49"/>
      <c r="M199" s="49"/>
      <c r="N199" s="97">
        <f>Master20[[#This Row],[Design $ (Add/Deduct)]]+Master20[[#This Row],[Construction $ (Add/Ded)]]</f>
        <v>0</v>
      </c>
      <c r="O199" s="32">
        <v>100000</v>
      </c>
      <c r="P199" s="8">
        <v>2018</v>
      </c>
      <c r="Q199" s="10" t="s">
        <v>46</v>
      </c>
      <c r="R199" s="8">
        <f t="shared" si="35"/>
        <v>50</v>
      </c>
      <c r="S199" s="8">
        <v>2</v>
      </c>
      <c r="T199" s="8">
        <f t="shared" si="33"/>
        <v>6</v>
      </c>
      <c r="U199" s="8" t="s">
        <v>43</v>
      </c>
      <c r="V199" s="8">
        <f t="shared" si="32"/>
        <v>16</v>
      </c>
      <c r="W199" s="8" t="s">
        <v>34</v>
      </c>
      <c r="X199" s="8">
        <v>0</v>
      </c>
      <c r="Y199" s="8">
        <v>0</v>
      </c>
      <c r="Z199" s="8">
        <v>0</v>
      </c>
      <c r="AA199" s="8">
        <v>0</v>
      </c>
      <c r="AB199" s="8">
        <v>0</v>
      </c>
      <c r="AC199" s="8">
        <v>0</v>
      </c>
      <c r="AD199" s="8">
        <v>0</v>
      </c>
      <c r="AF199" s="17" t="s">
        <v>29</v>
      </c>
      <c r="AG199" s="8">
        <f>VLOOKUP(Master20[[#This Row],[Elevated Priority]],Epriority,2,)</f>
        <v>0</v>
      </c>
      <c r="AH199" s="152">
        <f>IF(Master20[[#This Row],[Status]]="Active",Master20[[#This Row],[Status_Score]],IF(D199="","",R199+H199+T199+V199+AG199+AE199+Master20[[#This Row],[Risk Mitigation]]+Master20[[#This Row],[Master Plan]]+Master20[[#This Row],[Community Request]]+Master20[[#This Row],[Community need]]+Master20[[#This Row],[Offset Aging Inf.]]+Master20[[#This Row],[Energy Savings]]+Master20[[#This Row],[Gen Revenue]]-5))</f>
        <v>167</v>
      </c>
      <c r="AI199" s="8"/>
      <c r="AJ199" s="8"/>
      <c r="AK199" s="8"/>
      <c r="AL199" s="8"/>
      <c r="AM199" s="8"/>
      <c r="AN199" s="10"/>
    </row>
    <row r="200" spans="1:40" ht="75" hidden="1" x14ac:dyDescent="0.25">
      <c r="A200" s="103">
        <f t="shared" si="36"/>
        <v>199</v>
      </c>
      <c r="B200" s="8" t="s">
        <v>67</v>
      </c>
      <c r="C200" s="10" t="s">
        <v>1045</v>
      </c>
      <c r="D200" s="10" t="s">
        <v>531</v>
      </c>
      <c r="E200" s="10" t="s">
        <v>532</v>
      </c>
      <c r="F200" s="10" t="s">
        <v>533</v>
      </c>
      <c r="G200" s="10" t="s">
        <v>832</v>
      </c>
      <c r="H200" s="10">
        <f t="shared" si="34"/>
        <v>100</v>
      </c>
      <c r="I200" s="49"/>
      <c r="J200" s="49"/>
      <c r="K200" s="49">
        <f>Master20[[#This Row],[Initial Budget]]-Master20[[#This Row],[Previously Committed Funds]]</f>
        <v>0</v>
      </c>
      <c r="L200" s="49"/>
      <c r="M200" s="49"/>
      <c r="N200" s="97">
        <f>Master20[[#This Row],[Design $ (Add/Deduct)]]+Master20[[#This Row],[Construction $ (Add/Ded)]]</f>
        <v>0</v>
      </c>
      <c r="O200" s="32">
        <v>2000000</v>
      </c>
      <c r="P200" s="8">
        <v>2018</v>
      </c>
      <c r="Q200" s="10" t="s">
        <v>46</v>
      </c>
      <c r="R200" s="8">
        <f t="shared" si="35"/>
        <v>50</v>
      </c>
      <c r="S200" s="8">
        <v>2</v>
      </c>
      <c r="T200" s="8">
        <f t="shared" si="33"/>
        <v>6</v>
      </c>
      <c r="U200" s="8" t="s">
        <v>43</v>
      </c>
      <c r="V200" s="8">
        <f t="shared" si="32"/>
        <v>16</v>
      </c>
      <c r="W200" s="8" t="s">
        <v>34</v>
      </c>
      <c r="X200" s="8">
        <v>0</v>
      </c>
      <c r="Y200" s="8">
        <v>0</v>
      </c>
      <c r="Z200" s="8">
        <v>0</v>
      </c>
      <c r="AA200" s="8">
        <v>0</v>
      </c>
      <c r="AB200" s="8">
        <v>0</v>
      </c>
      <c r="AC200" s="8">
        <v>0</v>
      </c>
      <c r="AD200" s="8">
        <v>0</v>
      </c>
      <c r="AF200" s="17" t="s">
        <v>29</v>
      </c>
      <c r="AG200" s="8">
        <f>VLOOKUP(Master20[[#This Row],[Elevated Priority]],Epriority,2,)</f>
        <v>0</v>
      </c>
      <c r="AH200" s="152">
        <f>IF(Master20[[#This Row],[Status]]="Active",Master20[[#This Row],[Status_Score]],IF(D200="","",R200+H200+T200+V200+AG200+AE200+Master20[[#This Row],[Risk Mitigation]]+Master20[[#This Row],[Master Plan]]+Master20[[#This Row],[Community Request]]+Master20[[#This Row],[Community need]]+Master20[[#This Row],[Offset Aging Inf.]]+Master20[[#This Row],[Energy Savings]]+Master20[[#This Row],[Gen Revenue]]-5))</f>
        <v>167</v>
      </c>
      <c r="AI200" s="8"/>
      <c r="AJ200" s="8"/>
      <c r="AK200" s="8"/>
      <c r="AL200" s="8"/>
      <c r="AM200" s="8"/>
      <c r="AN200" s="10"/>
    </row>
    <row r="201" spans="1:40" ht="30" hidden="1" x14ac:dyDescent="0.25">
      <c r="A201" s="103">
        <f t="shared" si="36"/>
        <v>200</v>
      </c>
      <c r="B201" s="8" t="s">
        <v>67</v>
      </c>
      <c r="C201" s="10" t="s">
        <v>1045</v>
      </c>
      <c r="D201" s="10" t="s">
        <v>431</v>
      </c>
      <c r="E201" s="10" t="s">
        <v>432</v>
      </c>
      <c r="F201" s="10" t="s">
        <v>433</v>
      </c>
      <c r="G201" s="10" t="s">
        <v>832</v>
      </c>
      <c r="H201" s="10">
        <f t="shared" si="34"/>
        <v>100</v>
      </c>
      <c r="I201" s="49"/>
      <c r="J201" s="49"/>
      <c r="K201" s="49">
        <f>Master20[[#This Row],[Initial Budget]]-Master20[[#This Row],[Previously Committed Funds]]</f>
        <v>0</v>
      </c>
      <c r="L201" s="49"/>
      <c r="M201" s="49"/>
      <c r="N201" s="97">
        <f>Master20[[#This Row],[Design $ (Add/Deduct)]]+Master20[[#This Row],[Construction $ (Add/Ded)]]</f>
        <v>0</v>
      </c>
      <c r="O201" s="32">
        <v>25000</v>
      </c>
      <c r="P201" s="8">
        <v>2018</v>
      </c>
      <c r="Q201" s="10" t="s">
        <v>46</v>
      </c>
      <c r="R201" s="8">
        <f t="shared" si="35"/>
        <v>50</v>
      </c>
      <c r="S201" s="8">
        <v>2</v>
      </c>
      <c r="T201" s="8">
        <f t="shared" si="33"/>
        <v>6</v>
      </c>
      <c r="U201" s="8" t="s">
        <v>43</v>
      </c>
      <c r="V201" s="8">
        <f t="shared" si="32"/>
        <v>16</v>
      </c>
      <c r="W201" s="8" t="s">
        <v>30</v>
      </c>
      <c r="X201" s="8">
        <v>0</v>
      </c>
      <c r="Y201" s="8">
        <v>0</v>
      </c>
      <c r="Z201" s="8">
        <v>0</v>
      </c>
      <c r="AA201" s="8">
        <v>0</v>
      </c>
      <c r="AB201" s="8">
        <v>0</v>
      </c>
      <c r="AC201" s="8">
        <v>0</v>
      </c>
      <c r="AD201" s="8">
        <v>0</v>
      </c>
      <c r="AF201" s="17" t="s">
        <v>29</v>
      </c>
      <c r="AG201" s="8">
        <f>VLOOKUP(Master20[[#This Row],[Elevated Priority]],Epriority,2,)</f>
        <v>0</v>
      </c>
      <c r="AH201" s="152">
        <f>IF(Master20[[#This Row],[Status]]="Active",Master20[[#This Row],[Status_Score]],IF(D201="","",R201+H201+T201+V201+AG201+AE201+Master20[[#This Row],[Risk Mitigation]]+Master20[[#This Row],[Master Plan]]+Master20[[#This Row],[Community Request]]+Master20[[#This Row],[Community need]]+Master20[[#This Row],[Offset Aging Inf.]]+Master20[[#This Row],[Energy Savings]]+Master20[[#This Row],[Gen Revenue]]-5))</f>
        <v>167</v>
      </c>
      <c r="AI201" s="8"/>
      <c r="AJ201" s="8"/>
      <c r="AK201" s="8"/>
      <c r="AL201" s="8"/>
      <c r="AM201" s="8"/>
      <c r="AN201" s="10"/>
    </row>
    <row r="202" spans="1:40" ht="61.5" hidden="1" customHeight="1" x14ac:dyDescent="0.25">
      <c r="A202" s="103">
        <f t="shared" si="36"/>
        <v>201</v>
      </c>
      <c r="B202" s="8" t="s">
        <v>67</v>
      </c>
      <c r="C202" s="10" t="s">
        <v>1045</v>
      </c>
      <c r="D202" s="10" t="s">
        <v>621</v>
      </c>
      <c r="E202" s="10" t="s">
        <v>622</v>
      </c>
      <c r="F202" s="10" t="s">
        <v>623</v>
      </c>
      <c r="G202" s="10" t="s">
        <v>832</v>
      </c>
      <c r="H202" s="10">
        <f t="shared" si="34"/>
        <v>100</v>
      </c>
      <c r="I202" s="49"/>
      <c r="J202" s="49"/>
      <c r="K202" s="49">
        <f>Master20[[#This Row],[Initial Budget]]-Master20[[#This Row],[Previously Committed Funds]]</f>
        <v>0</v>
      </c>
      <c r="L202" s="49"/>
      <c r="M202" s="49"/>
      <c r="N202" s="97">
        <f>Master20[[#This Row],[Design $ (Add/Deduct)]]+Master20[[#This Row],[Construction $ (Add/Ded)]]</f>
        <v>0</v>
      </c>
      <c r="O202" s="32">
        <v>400000</v>
      </c>
      <c r="P202" s="8">
        <v>2019</v>
      </c>
      <c r="Q202" s="10" t="s">
        <v>46</v>
      </c>
      <c r="R202" s="8">
        <f t="shared" si="35"/>
        <v>50</v>
      </c>
      <c r="S202" s="8">
        <v>7</v>
      </c>
      <c r="T202" s="8">
        <f t="shared" si="33"/>
        <v>20</v>
      </c>
      <c r="U202" s="8" t="s">
        <v>41</v>
      </c>
      <c r="V202" s="8">
        <f t="shared" si="32"/>
        <v>4</v>
      </c>
      <c r="W202" s="8" t="s">
        <v>34</v>
      </c>
      <c r="X202" s="8">
        <v>0</v>
      </c>
      <c r="Y202" s="8">
        <v>0</v>
      </c>
      <c r="Z202" s="8">
        <v>0</v>
      </c>
      <c r="AA202" s="8">
        <v>0</v>
      </c>
      <c r="AB202" s="8">
        <v>0</v>
      </c>
      <c r="AC202" s="8">
        <v>0</v>
      </c>
      <c r="AD202" s="8">
        <v>0</v>
      </c>
      <c r="AF202" s="17" t="s">
        <v>29</v>
      </c>
      <c r="AG202" s="8">
        <f>VLOOKUP(Master20[[#This Row],[Elevated Priority]],Epriority,2,)</f>
        <v>0</v>
      </c>
      <c r="AH202" s="152">
        <f>IF(Master20[[#This Row],[Status]]="Active",Master20[[#This Row],[Status_Score]],IF(D202="","",R202+H202+T202+V202+AG202+AE202+Master20[[#This Row],[Risk Mitigation]]+Master20[[#This Row],[Master Plan]]+Master20[[#This Row],[Community Request]]+Master20[[#This Row],[Community need]]+Master20[[#This Row],[Offset Aging Inf.]]+Master20[[#This Row],[Energy Savings]]+Master20[[#This Row],[Gen Revenue]]-5))</f>
        <v>169</v>
      </c>
      <c r="AI202" s="8"/>
      <c r="AJ202" s="8"/>
      <c r="AK202" s="8"/>
      <c r="AL202" s="8"/>
      <c r="AM202" s="8"/>
      <c r="AN202" s="10"/>
    </row>
    <row r="203" spans="1:40" ht="31.5" hidden="1" customHeight="1" x14ac:dyDescent="0.25">
      <c r="A203" s="103">
        <f t="shared" si="36"/>
        <v>202</v>
      </c>
      <c r="B203" s="8" t="s">
        <v>67</v>
      </c>
      <c r="C203" s="10" t="s">
        <v>1045</v>
      </c>
      <c r="D203" s="10" t="s">
        <v>618</v>
      </c>
      <c r="E203" s="10" t="s">
        <v>619</v>
      </c>
      <c r="F203" s="10" t="s">
        <v>620</v>
      </c>
      <c r="G203" s="10" t="s">
        <v>832</v>
      </c>
      <c r="H203" s="10">
        <f t="shared" si="34"/>
        <v>100</v>
      </c>
      <c r="I203" s="49"/>
      <c r="J203" s="49"/>
      <c r="K203" s="49">
        <f>Master20[[#This Row],[Initial Budget]]-Master20[[#This Row],[Previously Committed Funds]]</f>
        <v>0</v>
      </c>
      <c r="L203" s="49"/>
      <c r="M203" s="49"/>
      <c r="N203" s="97">
        <f>Master20[[#This Row],[Design $ (Add/Deduct)]]+Master20[[#This Row],[Construction $ (Add/Ded)]]</f>
        <v>0</v>
      </c>
      <c r="O203" s="32">
        <v>500000</v>
      </c>
      <c r="P203" s="8">
        <v>2019</v>
      </c>
      <c r="Q203" s="10" t="s">
        <v>46</v>
      </c>
      <c r="R203" s="8">
        <f t="shared" si="35"/>
        <v>50</v>
      </c>
      <c r="S203" s="8">
        <v>5</v>
      </c>
      <c r="T203" s="8">
        <f t="shared" si="33"/>
        <v>15</v>
      </c>
      <c r="U203" s="8" t="s">
        <v>43</v>
      </c>
      <c r="V203" s="8">
        <f t="shared" si="32"/>
        <v>16</v>
      </c>
      <c r="W203" s="8" t="s">
        <v>34</v>
      </c>
      <c r="X203" s="8">
        <v>0</v>
      </c>
      <c r="Y203" s="8">
        <v>0</v>
      </c>
      <c r="Z203" s="8">
        <v>0</v>
      </c>
      <c r="AA203" s="8">
        <v>0</v>
      </c>
      <c r="AB203" s="8">
        <v>0</v>
      </c>
      <c r="AC203" s="8">
        <v>0</v>
      </c>
      <c r="AD203" s="8">
        <v>0</v>
      </c>
      <c r="AF203" s="17" t="s">
        <v>29</v>
      </c>
      <c r="AG203" s="8">
        <f>VLOOKUP(Master20[[#This Row],[Elevated Priority]],Epriority,2,)</f>
        <v>0</v>
      </c>
      <c r="AH203" s="152">
        <f>IF(Master20[[#This Row],[Status]]="Active",Master20[[#This Row],[Status_Score]],IF(D203="","",R203+H203+T203+V203+AG203+AE203+Master20[[#This Row],[Risk Mitigation]]+Master20[[#This Row],[Master Plan]]+Master20[[#This Row],[Community Request]]+Master20[[#This Row],[Community need]]+Master20[[#This Row],[Offset Aging Inf.]]+Master20[[#This Row],[Energy Savings]]+Master20[[#This Row],[Gen Revenue]]-5))</f>
        <v>176</v>
      </c>
      <c r="AI203" s="8"/>
      <c r="AJ203" s="8"/>
      <c r="AK203" s="8"/>
      <c r="AL203" s="8"/>
      <c r="AM203" s="8"/>
      <c r="AN203" s="10"/>
    </row>
    <row r="204" spans="1:40" ht="57.75" hidden="1" customHeight="1" x14ac:dyDescent="0.25">
      <c r="A204" s="103">
        <f t="shared" si="36"/>
        <v>203</v>
      </c>
      <c r="B204" s="8" t="s">
        <v>67</v>
      </c>
      <c r="C204" s="10" t="s">
        <v>1045</v>
      </c>
      <c r="D204" s="10" t="s">
        <v>788</v>
      </c>
      <c r="E204" s="10" t="s">
        <v>789</v>
      </c>
      <c r="F204" s="10" t="s">
        <v>790</v>
      </c>
      <c r="G204" s="10" t="s">
        <v>832</v>
      </c>
      <c r="H204" s="10">
        <f t="shared" si="34"/>
        <v>100</v>
      </c>
      <c r="I204" s="49"/>
      <c r="J204" s="49"/>
      <c r="K204" s="49">
        <f>Master20[[#This Row],[Initial Budget]]-Master20[[#This Row],[Previously Committed Funds]]</f>
        <v>0</v>
      </c>
      <c r="L204" s="49"/>
      <c r="M204" s="49"/>
      <c r="N204" s="97">
        <f>Master20[[#This Row],[Design $ (Add/Deduct)]]+Master20[[#This Row],[Construction $ (Add/Ded)]]</f>
        <v>0</v>
      </c>
      <c r="O204" s="32">
        <v>60000</v>
      </c>
      <c r="P204" s="8">
        <v>2020</v>
      </c>
      <c r="Q204" s="10" t="s">
        <v>686</v>
      </c>
      <c r="R204" s="8">
        <f t="shared" si="35"/>
        <v>60</v>
      </c>
      <c r="S204" s="8">
        <v>10</v>
      </c>
      <c r="T204" s="8">
        <f t="shared" si="33"/>
        <v>21</v>
      </c>
      <c r="U204" s="8" t="s">
        <v>41</v>
      </c>
      <c r="V204" s="8">
        <f t="shared" si="32"/>
        <v>4</v>
      </c>
      <c r="W204" s="8" t="s">
        <v>30</v>
      </c>
      <c r="X204" s="8">
        <v>0</v>
      </c>
      <c r="Y204" s="8">
        <v>0</v>
      </c>
      <c r="Z204" s="8">
        <v>0</v>
      </c>
      <c r="AA204" s="8">
        <v>0</v>
      </c>
      <c r="AB204" s="8">
        <v>0</v>
      </c>
      <c r="AC204" s="8">
        <v>0</v>
      </c>
      <c r="AD204" s="8">
        <v>0</v>
      </c>
      <c r="AF204" s="17" t="s">
        <v>29</v>
      </c>
      <c r="AG204" s="8">
        <f>VLOOKUP(Master20[[#This Row],[Elevated Priority]],Epriority,2,)</f>
        <v>0</v>
      </c>
      <c r="AH204" s="152">
        <f>IF(Master20[[#This Row],[Status]]="Active",Master20[[#This Row],[Status_Score]],IF(D204="","",R204+H204+T204+V204+AG204+AE204+Master20[[#This Row],[Risk Mitigation]]+Master20[[#This Row],[Master Plan]]+Master20[[#This Row],[Community Request]]+Master20[[#This Row],[Community need]]+Master20[[#This Row],[Offset Aging Inf.]]+Master20[[#This Row],[Energy Savings]]+Master20[[#This Row],[Gen Revenue]]-5))</f>
        <v>180</v>
      </c>
      <c r="AI204" s="8"/>
      <c r="AJ204" s="8"/>
      <c r="AK204" s="8"/>
      <c r="AL204" s="8"/>
      <c r="AM204" s="8"/>
      <c r="AN204" s="10"/>
    </row>
    <row r="205" spans="1:40" ht="45" hidden="1" x14ac:dyDescent="0.25">
      <c r="A205" s="103">
        <f t="shared" si="36"/>
        <v>204</v>
      </c>
      <c r="B205" s="8" t="s">
        <v>61</v>
      </c>
      <c r="C205" s="10" t="s">
        <v>1045</v>
      </c>
      <c r="D205" s="10" t="s">
        <v>1299</v>
      </c>
      <c r="E205" s="10" t="s">
        <v>1249</v>
      </c>
      <c r="F205" s="10" t="s">
        <v>1250</v>
      </c>
      <c r="G205" s="10" t="s">
        <v>1003</v>
      </c>
      <c r="H205" s="10">
        <f t="shared" si="34"/>
        <v>200</v>
      </c>
      <c r="I205" s="49"/>
      <c r="J205" s="49"/>
      <c r="K205" s="49">
        <f>Master20[[#This Row],[Initial Budget]]-Master20[[#This Row],[Previously Committed Funds]]</f>
        <v>0</v>
      </c>
      <c r="L205" s="49"/>
      <c r="M205" s="49"/>
      <c r="N205" s="97">
        <v>75000</v>
      </c>
      <c r="O205" s="32">
        <v>75000</v>
      </c>
      <c r="P205" s="8">
        <v>2023</v>
      </c>
      <c r="Q205" s="10" t="s">
        <v>36</v>
      </c>
      <c r="R205" s="8">
        <f t="shared" si="35"/>
        <v>10</v>
      </c>
      <c r="S205" s="8">
        <v>1</v>
      </c>
      <c r="T205" s="8">
        <f t="shared" si="33"/>
        <v>3</v>
      </c>
      <c r="U205" s="8" t="s">
        <v>33</v>
      </c>
      <c r="V205" s="8">
        <f t="shared" si="32"/>
        <v>1</v>
      </c>
      <c r="W205" s="8" t="s">
        <v>29</v>
      </c>
      <c r="Y205" s="8">
        <v>0</v>
      </c>
      <c r="Z205" s="8">
        <v>-3</v>
      </c>
      <c r="AA205" s="8">
        <v>0</v>
      </c>
      <c r="AB205" s="8">
        <v>0</v>
      </c>
      <c r="AC205" s="8">
        <v>0</v>
      </c>
      <c r="AD205" s="8">
        <v>-3</v>
      </c>
      <c r="AF205" s="17" t="s">
        <v>29</v>
      </c>
      <c r="AG205" s="8">
        <f>VLOOKUP(Master20[[#This Row],[Elevated Priority]],Epriority,2,)</f>
        <v>0</v>
      </c>
      <c r="AH205" s="152">
        <f>IF(Master20[[#This Row],[Status]]="Active",Master20[[#This Row],[Status_Score]],IF(D205="","",R205+H205+T205+V205+AG205+AE205+Master20[[#This Row],[Risk Mitigation]]+Master20[[#This Row],[Master Plan]]+Master20[[#This Row],[Community Request]]+Master20[[#This Row],[Community need]]+Master20[[#This Row],[Offset Aging Inf.]]+Master20[[#This Row],[Energy Savings]]+Master20[[#This Row],[Gen Revenue]]-5))</f>
        <v>203</v>
      </c>
      <c r="AI205" s="166"/>
      <c r="AJ205" s="166"/>
      <c r="AK205" s="166"/>
      <c r="AL205" s="166"/>
      <c r="AM205" s="166"/>
      <c r="AN205" s="165"/>
    </row>
    <row r="206" spans="1:40" ht="30" hidden="1" x14ac:dyDescent="0.25">
      <c r="A206" s="103">
        <f t="shared" si="36"/>
        <v>205</v>
      </c>
      <c r="B206" s="8" t="s">
        <v>65</v>
      </c>
      <c r="C206" s="8" t="s">
        <v>1045</v>
      </c>
      <c r="D206" s="8" t="s">
        <v>959</v>
      </c>
      <c r="E206" s="8" t="s">
        <v>949</v>
      </c>
      <c r="F206" s="8" t="s">
        <v>950</v>
      </c>
      <c r="G206" s="8" t="s">
        <v>1003</v>
      </c>
      <c r="H206" s="8">
        <f t="shared" si="34"/>
        <v>200</v>
      </c>
      <c r="I206" s="8"/>
      <c r="J206" s="8"/>
      <c r="K206" s="8">
        <f>Master20[[#This Row],[Initial Budget]]-Master20[[#This Row],[Previously Committed Funds]]</f>
        <v>0</v>
      </c>
      <c r="L206" s="8"/>
      <c r="M206" s="8"/>
      <c r="N206" s="8">
        <f>Master20[[#This Row],[Design $ (Add/Deduct)]]+Master20[[#This Row],[Construction $ (Add/Ded)]]</f>
        <v>0</v>
      </c>
      <c r="O206" s="8">
        <v>50000</v>
      </c>
      <c r="P206" s="8">
        <v>2020</v>
      </c>
      <c r="Q206" s="8" t="s">
        <v>830</v>
      </c>
      <c r="R206" s="8">
        <f t="shared" si="35"/>
        <v>10</v>
      </c>
      <c r="S206" s="8">
        <v>1</v>
      </c>
      <c r="T206" s="8">
        <f t="shared" si="33"/>
        <v>3</v>
      </c>
      <c r="U206" s="8" t="s">
        <v>37</v>
      </c>
      <c r="V206" s="8">
        <f t="shared" si="32"/>
        <v>3</v>
      </c>
      <c r="W206" s="8" t="s">
        <v>30</v>
      </c>
      <c r="X206" s="8">
        <v>0</v>
      </c>
      <c r="Y206" s="8">
        <v>0</v>
      </c>
      <c r="Z206" s="8">
        <v>0</v>
      </c>
      <c r="AA206" s="8">
        <v>0</v>
      </c>
      <c r="AB206" s="8">
        <v>0</v>
      </c>
      <c r="AC206" s="8">
        <v>0</v>
      </c>
      <c r="AD206" s="8">
        <v>0</v>
      </c>
      <c r="AF206" s="8" t="s">
        <v>29</v>
      </c>
      <c r="AG206" s="8">
        <f>VLOOKUP(Master20[[#This Row],[Elevated Priority]],Epriority,2,)</f>
        <v>0</v>
      </c>
      <c r="AH206" s="8">
        <f>IF(Master20[[#This Row],[Status]]="Active",Master20[[#This Row],[Status_Score]],IF(D206="","",R206+H206+T206+V206+AG206+AE206+Master20[[#This Row],[Risk Mitigation]]+Master20[[#This Row],[Master Plan]]+Master20[[#This Row],[Community Request]]+Master20[[#This Row],[Community need]]+Master20[[#This Row],[Offset Aging Inf.]]+Master20[[#This Row],[Energy Savings]]+Master20[[#This Row],[Gen Revenue]]-5))</f>
        <v>211</v>
      </c>
      <c r="AI206" s="114" t="s">
        <v>717</v>
      </c>
      <c r="AJ206" s="114">
        <v>2021</v>
      </c>
      <c r="AK206" s="114">
        <v>2021</v>
      </c>
      <c r="AL206" s="114">
        <v>2021</v>
      </c>
      <c r="AM206" s="114">
        <v>2022</v>
      </c>
      <c r="AN206" s="111" t="s">
        <v>1171</v>
      </c>
    </row>
    <row r="207" spans="1:40" hidden="1" x14ac:dyDescent="0.25">
      <c r="A207" s="103">
        <f t="shared" si="36"/>
        <v>206</v>
      </c>
      <c r="B207" s="8" t="s">
        <v>67</v>
      </c>
      <c r="C207" s="8" t="s">
        <v>73</v>
      </c>
      <c r="D207" s="8" t="s">
        <v>257</v>
      </c>
      <c r="E207" s="8" t="s">
        <v>258</v>
      </c>
      <c r="F207" s="8" t="s">
        <v>888</v>
      </c>
      <c r="G207" s="8" t="s">
        <v>1003</v>
      </c>
      <c r="H207" s="8">
        <f t="shared" si="34"/>
        <v>200</v>
      </c>
      <c r="I207" s="8"/>
      <c r="J207" s="8"/>
      <c r="K207" s="8">
        <f>Master20[[#This Row],[Initial Budget]]-Master20[[#This Row],[Previously Committed Funds]]</f>
        <v>0</v>
      </c>
      <c r="L207" s="8"/>
      <c r="M207" s="8"/>
      <c r="N207" s="8">
        <f>Master20[[#This Row],[Design $ (Add/Deduct)]]+Master20[[#This Row],[Construction $ (Add/Ded)]]</f>
        <v>0</v>
      </c>
      <c r="O207" s="8">
        <v>35000</v>
      </c>
      <c r="P207" s="8">
        <v>2018</v>
      </c>
      <c r="Q207" s="8" t="s">
        <v>688</v>
      </c>
      <c r="R207" s="8">
        <f t="shared" si="35"/>
        <v>20</v>
      </c>
      <c r="S207" s="8">
        <v>1</v>
      </c>
      <c r="T207" s="8">
        <f t="shared" si="33"/>
        <v>3</v>
      </c>
      <c r="U207" s="8" t="s">
        <v>41</v>
      </c>
      <c r="V207" s="8">
        <f t="shared" si="32"/>
        <v>4</v>
      </c>
      <c r="W207" s="8" t="s">
        <v>30</v>
      </c>
      <c r="X207" s="8">
        <v>0</v>
      </c>
      <c r="Y207" s="8">
        <v>0</v>
      </c>
      <c r="Z207" s="8">
        <v>0</v>
      </c>
      <c r="AA207" s="8">
        <v>0</v>
      </c>
      <c r="AB207" s="8">
        <v>0</v>
      </c>
      <c r="AC207" s="8">
        <v>0</v>
      </c>
      <c r="AD207" s="8">
        <v>0</v>
      </c>
      <c r="AF207" s="8" t="s">
        <v>29</v>
      </c>
      <c r="AG207" s="8">
        <f>VLOOKUP(Master20[[#This Row],[Elevated Priority]],Epriority,2,)</f>
        <v>0</v>
      </c>
      <c r="AH207" s="8">
        <f>IF(Master20[[#This Row],[Status]]="Active",Master20[[#This Row],[Status_Score]],IF(D207="","",R207+H207+T207+V207+AG207+AE207+Master20[[#This Row],[Risk Mitigation]]+Master20[[#This Row],[Master Plan]]+Master20[[#This Row],[Community Request]]+Master20[[#This Row],[Community need]]+Master20[[#This Row],[Offset Aging Inf.]]+Master20[[#This Row],[Energy Savings]]+Master20[[#This Row],[Gen Revenue]]-5))</f>
        <v>222</v>
      </c>
      <c r="AI207" s="8"/>
      <c r="AJ207" s="8">
        <v>2020</v>
      </c>
      <c r="AK207" s="8">
        <v>2021</v>
      </c>
      <c r="AL207" s="8">
        <v>2020</v>
      </c>
      <c r="AM207" s="8">
        <v>2021</v>
      </c>
      <c r="AN207" s="10" t="s">
        <v>934</v>
      </c>
    </row>
    <row r="208" spans="1:40" hidden="1" x14ac:dyDescent="0.25">
      <c r="A208" s="103">
        <f t="shared" si="36"/>
        <v>207</v>
      </c>
      <c r="B208" s="8" t="s">
        <v>1202</v>
      </c>
      <c r="C208" s="8" t="s">
        <v>72</v>
      </c>
      <c r="D208" s="8" t="s">
        <v>169</v>
      </c>
      <c r="E208" s="8" t="s">
        <v>889</v>
      </c>
      <c r="F208" s="8" t="s">
        <v>171</v>
      </c>
      <c r="G208" s="8" t="s">
        <v>1003</v>
      </c>
      <c r="H208" s="8">
        <f t="shared" si="34"/>
        <v>200</v>
      </c>
      <c r="I208" s="8"/>
      <c r="J208" s="8"/>
      <c r="K208" s="8">
        <f>Master20[[#This Row],[Initial Budget]]-Master20[[#This Row],[Previously Committed Funds]]</f>
        <v>0</v>
      </c>
      <c r="L208" s="8"/>
      <c r="M208" s="8"/>
      <c r="N208" s="8">
        <f>Master20[[#This Row],[Design $ (Add/Deduct)]]+Master20[[#This Row],[Construction $ (Add/Ded)]]</f>
        <v>0</v>
      </c>
      <c r="O208" s="8">
        <v>500000</v>
      </c>
      <c r="P208" s="8">
        <v>2018</v>
      </c>
      <c r="Q208" s="8" t="s">
        <v>688</v>
      </c>
      <c r="R208" s="8">
        <f t="shared" si="35"/>
        <v>20</v>
      </c>
      <c r="S208" s="8">
        <v>2</v>
      </c>
      <c r="T208" s="8">
        <f t="shared" si="33"/>
        <v>6</v>
      </c>
      <c r="U208" s="8" t="s">
        <v>41</v>
      </c>
      <c r="V208" s="8">
        <f t="shared" si="32"/>
        <v>4</v>
      </c>
      <c r="W208" s="8" t="s">
        <v>30</v>
      </c>
      <c r="X208" s="8">
        <v>0</v>
      </c>
      <c r="Y208" s="8">
        <v>0</v>
      </c>
      <c r="Z208" s="8">
        <v>0</v>
      </c>
      <c r="AA208" s="8">
        <v>0</v>
      </c>
      <c r="AB208" s="8">
        <v>0</v>
      </c>
      <c r="AC208" s="8">
        <v>0</v>
      </c>
      <c r="AD208" s="8">
        <v>0</v>
      </c>
      <c r="AF208" s="8" t="s">
        <v>29</v>
      </c>
      <c r="AG208" s="8">
        <f>VLOOKUP(Master20[[#This Row],[Elevated Priority]],Epriority,2,)</f>
        <v>0</v>
      </c>
      <c r="AH208" s="8">
        <f>IF(Master20[[#This Row],[Status]]="Active",Master20[[#This Row],[Status_Score]],IF(D208="","",R208+H208+T208+V208+AG208+AE208+Master20[[#This Row],[Risk Mitigation]]+Master20[[#This Row],[Master Plan]]+Master20[[#This Row],[Community Request]]+Master20[[#This Row],[Community need]]+Master20[[#This Row],[Offset Aging Inf.]]+Master20[[#This Row],[Energy Savings]]+Master20[[#This Row],[Gen Revenue]]-5))</f>
        <v>225</v>
      </c>
      <c r="AI208" s="8"/>
      <c r="AJ208" s="8" t="s">
        <v>1045</v>
      </c>
      <c r="AK208" s="8" t="s">
        <v>1045</v>
      </c>
      <c r="AL208" s="8" t="s">
        <v>1045</v>
      </c>
      <c r="AM208" s="8" t="s">
        <v>1045</v>
      </c>
      <c r="AN208" s="10"/>
    </row>
    <row r="209" spans="1:40" hidden="1" x14ac:dyDescent="0.25">
      <c r="A209" s="103">
        <f t="shared" si="36"/>
        <v>208</v>
      </c>
      <c r="B209" s="8" t="s">
        <v>94</v>
      </c>
      <c r="C209" s="8" t="s">
        <v>1045</v>
      </c>
      <c r="D209" s="8" t="s">
        <v>588</v>
      </c>
      <c r="E209" s="8" t="s">
        <v>589</v>
      </c>
      <c r="F209" s="8"/>
      <c r="G209" s="8" t="s">
        <v>1003</v>
      </c>
      <c r="H209" s="8">
        <f t="shared" si="34"/>
        <v>200</v>
      </c>
      <c r="I209" s="8"/>
      <c r="J209" s="8"/>
      <c r="K209" s="8">
        <f>Master20[[#This Row],[Initial Budget]]-Master20[[#This Row],[Previously Committed Funds]]</f>
        <v>0</v>
      </c>
      <c r="L209" s="8"/>
      <c r="M209" s="8"/>
      <c r="N209" s="8">
        <f>Master20[[#This Row],[Design $ (Add/Deduct)]]+Master20[[#This Row],[Construction $ (Add/Ded)]]</f>
        <v>0</v>
      </c>
      <c r="O209" s="8">
        <v>25000</v>
      </c>
      <c r="P209" s="8">
        <v>2019</v>
      </c>
      <c r="Q209" s="8" t="s">
        <v>36</v>
      </c>
      <c r="R209" s="8">
        <f t="shared" si="35"/>
        <v>10</v>
      </c>
      <c r="S209" s="8">
        <v>6</v>
      </c>
      <c r="T209" s="8">
        <f t="shared" si="33"/>
        <v>18</v>
      </c>
      <c r="U209" s="8" t="s">
        <v>41</v>
      </c>
      <c r="V209" s="8">
        <f t="shared" si="32"/>
        <v>4</v>
      </c>
      <c r="W209" s="8" t="s">
        <v>30</v>
      </c>
      <c r="X209" s="8">
        <v>0</v>
      </c>
      <c r="Y209" s="8">
        <v>0</v>
      </c>
      <c r="Z209" s="8">
        <v>0</v>
      </c>
      <c r="AA209" s="8">
        <v>0</v>
      </c>
      <c r="AB209" s="8">
        <v>0</v>
      </c>
      <c r="AC209" s="8">
        <v>0</v>
      </c>
      <c r="AD209" s="8">
        <v>0</v>
      </c>
      <c r="AF209" s="8" t="s">
        <v>29</v>
      </c>
      <c r="AG209" s="8">
        <f>VLOOKUP(Master20[[#This Row],[Elevated Priority]],Epriority,2,)</f>
        <v>0</v>
      </c>
      <c r="AH209" s="8">
        <f>IF(Master20[[#This Row],[Status]]="Active",Master20[[#This Row],[Status_Score]],IF(D209="","",R209+H209+T209+V209+AG209+AE209+Master20[[#This Row],[Risk Mitigation]]+Master20[[#This Row],[Master Plan]]+Master20[[#This Row],[Community Request]]+Master20[[#This Row],[Community need]]+Master20[[#This Row],[Offset Aging Inf.]]+Master20[[#This Row],[Energy Savings]]+Master20[[#This Row],[Gen Revenue]]-5))</f>
        <v>227</v>
      </c>
      <c r="AI209" s="8"/>
      <c r="AJ209" s="8">
        <v>2021</v>
      </c>
      <c r="AK209" s="8">
        <v>2022</v>
      </c>
      <c r="AL209" s="8">
        <v>2021</v>
      </c>
      <c r="AM209" s="8">
        <v>2022</v>
      </c>
      <c r="AN209" s="10"/>
    </row>
    <row r="210" spans="1:40" hidden="1" x14ac:dyDescent="0.25">
      <c r="A210" s="103">
        <f t="shared" si="36"/>
        <v>209</v>
      </c>
      <c r="B210" s="8" t="s">
        <v>94</v>
      </c>
      <c r="C210" s="8" t="s">
        <v>1045</v>
      </c>
      <c r="D210" s="8" t="s">
        <v>604</v>
      </c>
      <c r="E210" s="8" t="s">
        <v>605</v>
      </c>
      <c r="F210" s="8" t="s">
        <v>1321</v>
      </c>
      <c r="G210" s="8" t="s">
        <v>1003</v>
      </c>
      <c r="H210" s="8">
        <f t="shared" si="34"/>
        <v>200</v>
      </c>
      <c r="I210" s="8"/>
      <c r="J210" s="8"/>
      <c r="K210" s="8">
        <f>Master20[[#This Row],[Initial Budget]]-Master20[[#This Row],[Previously Committed Funds]]</f>
        <v>0</v>
      </c>
      <c r="L210" s="8"/>
      <c r="M210" s="8"/>
      <c r="N210" s="8">
        <f>Master20[[#This Row],[Design $ (Add/Deduct)]]+Master20[[#This Row],[Construction $ (Add/Ded)]]</f>
        <v>0</v>
      </c>
      <c r="O210" s="8">
        <v>500000</v>
      </c>
      <c r="P210" s="8">
        <v>2019</v>
      </c>
      <c r="Q210" s="8" t="s">
        <v>830</v>
      </c>
      <c r="R210" s="8">
        <f t="shared" si="35"/>
        <v>10</v>
      </c>
      <c r="S210" s="8">
        <v>18</v>
      </c>
      <c r="T210" s="8">
        <f t="shared" si="33"/>
        <v>25</v>
      </c>
      <c r="U210" s="8" t="s">
        <v>33</v>
      </c>
      <c r="V210" s="8">
        <f t="shared" si="32"/>
        <v>1</v>
      </c>
      <c r="W210" s="8" t="s">
        <v>30</v>
      </c>
      <c r="X210" s="8">
        <v>0</v>
      </c>
      <c r="Y210" s="8">
        <v>0</v>
      </c>
      <c r="Z210" s="8">
        <v>0</v>
      </c>
      <c r="AA210" s="8">
        <v>0</v>
      </c>
      <c r="AB210" s="8">
        <v>0</v>
      </c>
      <c r="AC210" s="8">
        <v>0</v>
      </c>
      <c r="AD210" s="8">
        <v>0</v>
      </c>
      <c r="AF210" s="8" t="s">
        <v>29</v>
      </c>
      <c r="AG210" s="8">
        <f>VLOOKUP(Master20[[#This Row],[Elevated Priority]],Epriority,2,)</f>
        <v>0</v>
      </c>
      <c r="AH210" s="8">
        <f>IF(Master20[[#This Row],[Status]]="Active",Master20[[#This Row],[Status_Score]],IF(D210="","",R210+H210+T210+V210+AG210+AE210+Master20[[#This Row],[Risk Mitigation]]+Master20[[#This Row],[Master Plan]]+Master20[[#This Row],[Community Request]]+Master20[[#This Row],[Community need]]+Master20[[#This Row],[Offset Aging Inf.]]+Master20[[#This Row],[Energy Savings]]+Master20[[#This Row],[Gen Revenue]]-5))</f>
        <v>231</v>
      </c>
      <c r="AI210" s="8"/>
      <c r="AJ210" s="8" t="s">
        <v>1045</v>
      </c>
      <c r="AK210" s="8" t="s">
        <v>1045</v>
      </c>
      <c r="AL210" s="8" t="s">
        <v>1045</v>
      </c>
      <c r="AM210" s="8" t="s">
        <v>1045</v>
      </c>
      <c r="AN210" s="10"/>
    </row>
    <row r="211" spans="1:40" hidden="1" x14ac:dyDescent="0.25">
      <c r="A211" s="103">
        <f t="shared" si="36"/>
        <v>210</v>
      </c>
      <c r="B211" s="8" t="s">
        <v>94</v>
      </c>
      <c r="C211" s="8" t="s">
        <v>1045</v>
      </c>
      <c r="D211" s="8" t="s">
        <v>583</v>
      </c>
      <c r="E211" s="8" t="s">
        <v>609</v>
      </c>
      <c r="F211" s="8" t="s">
        <v>879</v>
      </c>
      <c r="G211" s="8" t="s">
        <v>1003</v>
      </c>
      <c r="H211" s="8">
        <f t="shared" si="34"/>
        <v>200</v>
      </c>
      <c r="I211" s="8"/>
      <c r="J211" s="8"/>
      <c r="K211" s="8">
        <f>Master20[[#This Row],[Initial Budget]]-Master20[[#This Row],[Previously Committed Funds]]</f>
        <v>0</v>
      </c>
      <c r="L211" s="8"/>
      <c r="M211" s="8"/>
      <c r="N211" s="8">
        <f>Master20[[#This Row],[Design $ (Add/Deduct)]]+Master20[[#This Row],[Construction $ (Add/Ded)]]</f>
        <v>0</v>
      </c>
      <c r="O211" s="8">
        <v>1500000</v>
      </c>
      <c r="P211" s="8">
        <v>2019</v>
      </c>
      <c r="Q211" s="8" t="s">
        <v>688</v>
      </c>
      <c r="R211" s="8">
        <f t="shared" si="35"/>
        <v>20</v>
      </c>
      <c r="S211" s="8">
        <v>9</v>
      </c>
      <c r="T211" s="8">
        <f t="shared" si="33"/>
        <v>21</v>
      </c>
      <c r="U211" s="8" t="s">
        <v>37</v>
      </c>
      <c r="V211" s="8">
        <f t="shared" si="32"/>
        <v>3</v>
      </c>
      <c r="W211" s="8" t="s">
        <v>30</v>
      </c>
      <c r="X211" s="8">
        <v>0</v>
      </c>
      <c r="Y211" s="8">
        <v>0</v>
      </c>
      <c r="Z211" s="8">
        <v>0</v>
      </c>
      <c r="AA211" s="8">
        <v>0</v>
      </c>
      <c r="AB211" s="8">
        <v>0</v>
      </c>
      <c r="AC211" s="8">
        <v>0</v>
      </c>
      <c r="AD211" s="8">
        <v>0</v>
      </c>
      <c r="AF211" s="8" t="s">
        <v>29</v>
      </c>
      <c r="AG211" s="8">
        <f>VLOOKUP(Master20[[#This Row],[Elevated Priority]],Epriority,2,)</f>
        <v>0</v>
      </c>
      <c r="AH211" s="8">
        <f>IF(Master20[[#This Row],[Status]]="Active",Master20[[#This Row],[Status_Score]],IF(D211="","",R211+H211+T211+V211+AG211+AE211+Master20[[#This Row],[Risk Mitigation]]+Master20[[#This Row],[Master Plan]]+Master20[[#This Row],[Community Request]]+Master20[[#This Row],[Community need]]+Master20[[#This Row],[Offset Aging Inf.]]+Master20[[#This Row],[Energy Savings]]+Master20[[#This Row],[Gen Revenue]]-5))</f>
        <v>239</v>
      </c>
      <c r="AI211" s="8"/>
      <c r="AJ211" s="8" t="s">
        <v>1045</v>
      </c>
      <c r="AK211" s="8" t="s">
        <v>1045</v>
      </c>
      <c r="AL211" s="8" t="s">
        <v>1045</v>
      </c>
      <c r="AM211" s="8" t="s">
        <v>1045</v>
      </c>
      <c r="AN211" s="10" t="s">
        <v>656</v>
      </c>
    </row>
    <row r="212" spans="1:40" hidden="1" x14ac:dyDescent="0.25">
      <c r="A212" s="103">
        <f t="shared" si="36"/>
        <v>211</v>
      </c>
      <c r="B212" s="8" t="s">
        <v>94</v>
      </c>
      <c r="C212" s="8" t="s">
        <v>1045</v>
      </c>
      <c r="D212" s="8" t="s">
        <v>232</v>
      </c>
      <c r="E212" s="8" t="s">
        <v>233</v>
      </c>
      <c r="F212" s="8" t="s">
        <v>1322</v>
      </c>
      <c r="G212" s="8" t="s">
        <v>1003</v>
      </c>
      <c r="H212" s="8">
        <f t="shared" si="34"/>
        <v>200</v>
      </c>
      <c r="I212" s="8"/>
      <c r="J212" s="8"/>
      <c r="K212" s="8">
        <f>Master20[[#This Row],[Initial Budget]]-Master20[[#This Row],[Previously Committed Funds]]</f>
        <v>0</v>
      </c>
      <c r="L212" s="8"/>
      <c r="M212" s="8"/>
      <c r="N212" s="8">
        <f>Master20[[#This Row],[Design $ (Add/Deduct)]]+Master20[[#This Row],[Construction $ (Add/Ded)]]</f>
        <v>0</v>
      </c>
      <c r="O212" s="8">
        <v>1500000</v>
      </c>
      <c r="P212" s="8">
        <v>2018</v>
      </c>
      <c r="Q212" s="8" t="s">
        <v>688</v>
      </c>
      <c r="R212" s="8">
        <f t="shared" si="35"/>
        <v>20</v>
      </c>
      <c r="S212" s="8">
        <v>7</v>
      </c>
      <c r="T212" s="8">
        <f t="shared" si="33"/>
        <v>20</v>
      </c>
      <c r="U212" s="8" t="s">
        <v>41</v>
      </c>
      <c r="V212" s="8">
        <f t="shared" si="32"/>
        <v>4</v>
      </c>
      <c r="W212" s="8" t="s">
        <v>30</v>
      </c>
      <c r="X212" s="8">
        <v>0</v>
      </c>
      <c r="Y212" s="8">
        <v>0</v>
      </c>
      <c r="Z212" s="8">
        <v>0</v>
      </c>
      <c r="AA212" s="8">
        <v>0</v>
      </c>
      <c r="AB212" s="8">
        <v>0</v>
      </c>
      <c r="AC212" s="8">
        <v>0</v>
      </c>
      <c r="AD212" s="8">
        <v>0</v>
      </c>
      <c r="AF212" s="8" t="s">
        <v>29</v>
      </c>
      <c r="AG212" s="8">
        <f>VLOOKUP(Master20[[#This Row],[Elevated Priority]],Epriority,2,)</f>
        <v>0</v>
      </c>
      <c r="AH212" s="8">
        <f>IF(Master20[[#This Row],[Status]]="Active",Master20[[#This Row],[Status_Score]],IF(D212="","",R212+H212+T212+V212+AG212+AE212+Master20[[#This Row],[Risk Mitigation]]+Master20[[#This Row],[Master Plan]]+Master20[[#This Row],[Community Request]]+Master20[[#This Row],[Community need]]+Master20[[#This Row],[Offset Aging Inf.]]+Master20[[#This Row],[Energy Savings]]+Master20[[#This Row],[Gen Revenue]]-5))</f>
        <v>239</v>
      </c>
      <c r="AI212" s="8"/>
      <c r="AJ212" s="8" t="s">
        <v>1045</v>
      </c>
      <c r="AK212" s="8" t="s">
        <v>1045</v>
      </c>
      <c r="AL212" s="8" t="s">
        <v>1045</v>
      </c>
      <c r="AM212" s="8" t="s">
        <v>1045</v>
      </c>
      <c r="AN212" s="10"/>
    </row>
    <row r="213" spans="1:40" hidden="1" x14ac:dyDescent="0.25">
      <c r="A213" s="103">
        <f t="shared" si="36"/>
        <v>212</v>
      </c>
      <c r="B213" s="8" t="s">
        <v>94</v>
      </c>
      <c r="C213" s="8" t="s">
        <v>1045</v>
      </c>
      <c r="D213" s="8" t="s">
        <v>234</v>
      </c>
      <c r="E213" s="8" t="s">
        <v>233</v>
      </c>
      <c r="F213" s="8" t="s">
        <v>879</v>
      </c>
      <c r="G213" s="8" t="s">
        <v>1003</v>
      </c>
      <c r="H213" s="8">
        <f t="shared" si="34"/>
        <v>200</v>
      </c>
      <c r="I213" s="8"/>
      <c r="J213" s="8"/>
      <c r="K213" s="8">
        <f>Master20[[#This Row],[Initial Budget]]-Master20[[#This Row],[Previously Committed Funds]]</f>
        <v>0</v>
      </c>
      <c r="L213" s="8"/>
      <c r="M213" s="8"/>
      <c r="N213" s="8">
        <f>Master20[[#This Row],[Design $ (Add/Deduct)]]+Master20[[#This Row],[Construction $ (Add/Ded)]]</f>
        <v>0</v>
      </c>
      <c r="O213" s="8">
        <v>1500000</v>
      </c>
      <c r="P213" s="8">
        <v>2018</v>
      </c>
      <c r="Q213" s="8" t="s">
        <v>688</v>
      </c>
      <c r="R213" s="8">
        <f t="shared" si="35"/>
        <v>20</v>
      </c>
      <c r="S213" s="8">
        <v>8</v>
      </c>
      <c r="T213" s="8">
        <f t="shared" si="33"/>
        <v>20</v>
      </c>
      <c r="U213" s="8" t="s">
        <v>41</v>
      </c>
      <c r="V213" s="8">
        <f t="shared" si="32"/>
        <v>4</v>
      </c>
      <c r="W213" s="8" t="s">
        <v>30</v>
      </c>
      <c r="X213" s="8">
        <v>0</v>
      </c>
      <c r="Y213" s="8">
        <v>0</v>
      </c>
      <c r="Z213" s="8">
        <v>0</v>
      </c>
      <c r="AA213" s="8">
        <v>0</v>
      </c>
      <c r="AB213" s="8">
        <v>0</v>
      </c>
      <c r="AC213" s="8">
        <v>0</v>
      </c>
      <c r="AD213" s="8">
        <v>0</v>
      </c>
      <c r="AF213" s="8" t="s">
        <v>29</v>
      </c>
      <c r="AG213" s="8">
        <f>VLOOKUP(Master20[[#This Row],[Elevated Priority]],Epriority,2,)</f>
        <v>0</v>
      </c>
      <c r="AH213" s="8">
        <f>IF(Master20[[#This Row],[Status]]="Active",Master20[[#This Row],[Status_Score]],IF(D213="","",R213+H213+T213+V213+AG213+AE213+Master20[[#This Row],[Risk Mitigation]]+Master20[[#This Row],[Master Plan]]+Master20[[#This Row],[Community Request]]+Master20[[#This Row],[Community need]]+Master20[[#This Row],[Offset Aging Inf.]]+Master20[[#This Row],[Energy Savings]]+Master20[[#This Row],[Gen Revenue]]-5))</f>
        <v>239</v>
      </c>
      <c r="AI213" s="8"/>
      <c r="AJ213" s="8" t="s">
        <v>1045</v>
      </c>
      <c r="AK213" s="8" t="s">
        <v>1045</v>
      </c>
      <c r="AL213" s="8" t="s">
        <v>1045</v>
      </c>
      <c r="AM213" s="8" t="s">
        <v>1045</v>
      </c>
      <c r="AN213" s="10"/>
    </row>
    <row r="214" spans="1:40" hidden="1" x14ac:dyDescent="0.25">
      <c r="A214" s="103">
        <f t="shared" si="36"/>
        <v>213</v>
      </c>
      <c r="B214" s="8" t="s">
        <v>94</v>
      </c>
      <c r="C214" s="8" t="s">
        <v>1045</v>
      </c>
      <c r="D214" s="8" t="s">
        <v>634</v>
      </c>
      <c r="E214" s="8" t="s">
        <v>172</v>
      </c>
      <c r="F214" s="8" t="s">
        <v>635</v>
      </c>
      <c r="G214" s="8" t="s">
        <v>1003</v>
      </c>
      <c r="H214" s="8">
        <f t="shared" si="34"/>
        <v>200</v>
      </c>
      <c r="I214" s="8"/>
      <c r="J214" s="8"/>
      <c r="K214" s="8">
        <f>Master20[[#This Row],[Initial Budget]]-Master20[[#This Row],[Previously Committed Funds]]</f>
        <v>0</v>
      </c>
      <c r="L214" s="8"/>
      <c r="M214" s="8"/>
      <c r="N214" s="8">
        <f>Master20[[#This Row],[Design $ (Add/Deduct)]]+Master20[[#This Row],[Construction $ (Add/Ded)]]</f>
        <v>0</v>
      </c>
      <c r="O214" s="8">
        <v>50000</v>
      </c>
      <c r="P214" s="8">
        <v>2018</v>
      </c>
      <c r="Q214" s="8" t="s">
        <v>688</v>
      </c>
      <c r="R214" s="8">
        <f t="shared" si="35"/>
        <v>20</v>
      </c>
      <c r="S214" s="8">
        <v>12</v>
      </c>
      <c r="T214" s="8">
        <f t="shared" si="33"/>
        <v>22</v>
      </c>
      <c r="U214" s="8" t="s">
        <v>37</v>
      </c>
      <c r="V214" s="8">
        <f t="shared" si="32"/>
        <v>3</v>
      </c>
      <c r="W214" s="8" t="s">
        <v>30</v>
      </c>
      <c r="X214" s="8">
        <v>0</v>
      </c>
      <c r="Y214" s="8">
        <v>0</v>
      </c>
      <c r="Z214" s="8">
        <v>0</v>
      </c>
      <c r="AA214" s="8">
        <v>0</v>
      </c>
      <c r="AB214" s="8">
        <v>0</v>
      </c>
      <c r="AC214" s="8">
        <v>0</v>
      </c>
      <c r="AD214" s="8">
        <v>0</v>
      </c>
      <c r="AF214" s="8" t="s">
        <v>29</v>
      </c>
      <c r="AG214" s="8">
        <f>VLOOKUP(Master20[[#This Row],[Elevated Priority]],Epriority,2,)</f>
        <v>0</v>
      </c>
      <c r="AH214" s="8">
        <f>IF(Master20[[#This Row],[Status]]="Active",Master20[[#This Row],[Status_Score]],IF(D214="","",R214+H214+T214+V214+AG214+AE214+Master20[[#This Row],[Risk Mitigation]]+Master20[[#This Row],[Master Plan]]+Master20[[#This Row],[Community Request]]+Master20[[#This Row],[Community need]]+Master20[[#This Row],[Offset Aging Inf.]]+Master20[[#This Row],[Energy Savings]]+Master20[[#This Row],[Gen Revenue]]-5))</f>
        <v>240</v>
      </c>
      <c r="AI214" s="8"/>
      <c r="AJ214" s="8" t="s">
        <v>1045</v>
      </c>
      <c r="AK214" s="8" t="s">
        <v>1045</v>
      </c>
      <c r="AL214" s="8" t="s">
        <v>1045</v>
      </c>
      <c r="AM214" s="8" t="s">
        <v>1045</v>
      </c>
      <c r="AN214" s="10" t="s">
        <v>936</v>
      </c>
    </row>
    <row r="215" spans="1:40" hidden="1" x14ac:dyDescent="0.25">
      <c r="A215" s="103">
        <f t="shared" si="36"/>
        <v>214</v>
      </c>
      <c r="B215" s="8" t="s">
        <v>143</v>
      </c>
      <c r="C215" s="8" t="s">
        <v>646</v>
      </c>
      <c r="D215" s="8" t="s">
        <v>1276</v>
      </c>
      <c r="E215" s="8" t="s">
        <v>675</v>
      </c>
      <c r="F215" s="8" t="s">
        <v>676</v>
      </c>
      <c r="G215" s="8" t="s">
        <v>814</v>
      </c>
      <c r="H215" s="8">
        <f t="shared" si="34"/>
        <v>200</v>
      </c>
      <c r="I215" s="8">
        <v>50000</v>
      </c>
      <c r="J215" s="8">
        <v>17833</v>
      </c>
      <c r="K215" s="8">
        <f>Master20[[#This Row],[Initial Budget]]-Master20[[#This Row],[Previously Committed Funds]]</f>
        <v>32167</v>
      </c>
      <c r="L215" s="8">
        <v>0</v>
      </c>
      <c r="M215" s="8">
        <v>0</v>
      </c>
      <c r="N215" s="8">
        <f>Master20[[#This Row],[Design $ (Add/Deduct)]]+Master20[[#This Row],[Construction $ (Add/Ded)]]</f>
        <v>0</v>
      </c>
      <c r="O215" s="8">
        <f>Master20[[#This Row],[Total Add]]+Master20[[#This Row],[Current Available Balance]]+Master20[[#This Row],[Previously Committed Funds]]</f>
        <v>50000</v>
      </c>
      <c r="P215" s="8">
        <v>2019</v>
      </c>
      <c r="Q215" s="8" t="s">
        <v>686</v>
      </c>
      <c r="R215" s="8">
        <v>40</v>
      </c>
      <c r="S215" s="8">
        <v>1</v>
      </c>
      <c r="T215" s="8">
        <v>3</v>
      </c>
      <c r="U215" s="8" t="s">
        <v>37</v>
      </c>
      <c r="V215" s="8">
        <v>4</v>
      </c>
      <c r="W215" s="8" t="s">
        <v>38</v>
      </c>
      <c r="X215" s="8">
        <v>0</v>
      </c>
      <c r="AF215" s="8" t="s">
        <v>29</v>
      </c>
      <c r="AG215" s="8">
        <v>0</v>
      </c>
      <c r="AH215" s="8">
        <f>IF(Master20[[#This Row],[Status]]="Active",Master20[[#This Row],[Status_Score]],IF(D215="","",R215+H215+T215+V215+AG215+AE215+Master20[[#This Row],[Risk Mitigation]]+Master20[[#This Row],[Master Plan]]+Master20[[#This Row],[Community Request]]+Master20[[#This Row],[Community need]]+Master20[[#This Row],[Offset Aging Inf.]]+Master20[[#This Row],[Energy Savings]]+Master20[[#This Row],[Gen Revenue]]-5))</f>
        <v>242</v>
      </c>
      <c r="AI215" s="8"/>
      <c r="AJ215" s="8" t="s">
        <v>1045</v>
      </c>
      <c r="AK215" s="8" t="s">
        <v>1045</v>
      </c>
      <c r="AL215" s="8" t="s">
        <v>1045</v>
      </c>
      <c r="AM215" s="8" t="s">
        <v>1045</v>
      </c>
      <c r="AN215" s="10" t="s">
        <v>157</v>
      </c>
    </row>
    <row r="216" spans="1:40" hidden="1" x14ac:dyDescent="0.25">
      <c r="A216" s="103">
        <f t="shared" si="36"/>
        <v>215</v>
      </c>
      <c r="B216" s="8" t="s">
        <v>94</v>
      </c>
      <c r="C216" s="8" t="s">
        <v>1045</v>
      </c>
      <c r="D216" s="8" t="s">
        <v>897</v>
      </c>
      <c r="E216" s="8" t="s">
        <v>608</v>
      </c>
      <c r="F216" s="8" t="s">
        <v>879</v>
      </c>
      <c r="G216" s="8" t="s">
        <v>1003</v>
      </c>
      <c r="H216" s="8">
        <f t="shared" si="34"/>
        <v>200</v>
      </c>
      <c r="I216" s="8"/>
      <c r="J216" s="8"/>
      <c r="K216" s="8">
        <f>Master20[[#This Row],[Initial Budget]]-Master20[[#This Row],[Previously Committed Funds]]</f>
        <v>0</v>
      </c>
      <c r="L216" s="8"/>
      <c r="M216" s="8"/>
      <c r="N216" s="8">
        <f>Master20[[#This Row],[Design $ (Add/Deduct)]]+Master20[[#This Row],[Construction $ (Add/Ded)]]</f>
        <v>0</v>
      </c>
      <c r="O216" s="8">
        <v>250000</v>
      </c>
      <c r="P216" s="8">
        <v>2019</v>
      </c>
      <c r="Q216" s="8" t="s">
        <v>688</v>
      </c>
      <c r="R216" s="8">
        <f t="shared" ref="R216:R231" si="37">VLOOKUP(Q216,Importance,2,FALSE)</f>
        <v>20</v>
      </c>
      <c r="S216" s="8">
        <v>22</v>
      </c>
      <c r="T216" s="8">
        <f t="shared" ref="T216:T233" si="38">VLOOKUP(S216,Department,2,FALSE)</f>
        <v>27</v>
      </c>
      <c r="U216" s="8" t="s">
        <v>33</v>
      </c>
      <c r="V216" s="8">
        <f t="shared" ref="V216:V233" si="39">VLOOKUP(U216,Urgency,2,FALSE)</f>
        <v>1</v>
      </c>
      <c r="W216" s="8" t="s">
        <v>30</v>
      </c>
      <c r="X216" s="8">
        <v>0</v>
      </c>
      <c r="Y216" s="8">
        <v>0</v>
      </c>
      <c r="Z216" s="8">
        <v>0</v>
      </c>
      <c r="AA216" s="8">
        <v>0</v>
      </c>
      <c r="AB216" s="8">
        <v>0</v>
      </c>
      <c r="AC216" s="8">
        <v>0</v>
      </c>
      <c r="AD216" s="8">
        <v>0</v>
      </c>
      <c r="AF216" s="8" t="s">
        <v>29</v>
      </c>
      <c r="AG216" s="8">
        <f>VLOOKUP(Master20[[#This Row],[Elevated Priority]],Epriority,2,)</f>
        <v>0</v>
      </c>
      <c r="AH216" s="8">
        <f>IF(Master20[[#This Row],[Status]]="Active",Master20[[#This Row],[Status_Score]],IF(D216="","",R216+H216+T216+V216+AG216+AE216+Master20[[#This Row],[Risk Mitigation]]+Master20[[#This Row],[Master Plan]]+Master20[[#This Row],[Community Request]]+Master20[[#This Row],[Community need]]+Master20[[#This Row],[Offset Aging Inf.]]+Master20[[#This Row],[Energy Savings]]+Master20[[#This Row],[Gen Revenue]]-5))</f>
        <v>243</v>
      </c>
      <c r="AI216" s="8"/>
      <c r="AJ216" s="8" t="s">
        <v>1045</v>
      </c>
      <c r="AK216" s="8" t="s">
        <v>1045</v>
      </c>
      <c r="AL216" s="8" t="s">
        <v>1045</v>
      </c>
      <c r="AM216" s="8" t="s">
        <v>1045</v>
      </c>
      <c r="AN216" s="10"/>
    </row>
    <row r="217" spans="1:40" hidden="1" x14ac:dyDescent="0.25">
      <c r="A217" s="103">
        <f t="shared" si="36"/>
        <v>216</v>
      </c>
      <c r="B217" s="8" t="s">
        <v>94</v>
      </c>
      <c r="C217" s="8" t="s">
        <v>1045</v>
      </c>
      <c r="D217" s="8" t="s">
        <v>610</v>
      </c>
      <c r="E217" s="8"/>
      <c r="F217" s="8" t="s">
        <v>879</v>
      </c>
      <c r="G217" s="8" t="s">
        <v>1003</v>
      </c>
      <c r="H217" s="8">
        <f t="shared" si="34"/>
        <v>200</v>
      </c>
      <c r="I217" s="8"/>
      <c r="J217" s="8"/>
      <c r="K217" s="8">
        <f>Master20[[#This Row],[Initial Budget]]-Master20[[#This Row],[Previously Committed Funds]]</f>
        <v>0</v>
      </c>
      <c r="L217" s="8"/>
      <c r="M217" s="8"/>
      <c r="N217" s="8">
        <f>Master20[[#This Row],[Design $ (Add/Deduct)]]+Master20[[#This Row],[Construction $ (Add/Ded)]]</f>
        <v>0</v>
      </c>
      <c r="O217" s="8">
        <v>20000</v>
      </c>
      <c r="P217" s="8">
        <v>2019</v>
      </c>
      <c r="Q217" s="8" t="s">
        <v>688</v>
      </c>
      <c r="R217" s="8">
        <f t="shared" si="37"/>
        <v>20</v>
      </c>
      <c r="S217" s="8">
        <v>26</v>
      </c>
      <c r="T217" s="8">
        <f t="shared" si="38"/>
        <v>29</v>
      </c>
      <c r="U217" s="8" t="s">
        <v>41</v>
      </c>
      <c r="V217" s="8">
        <f t="shared" si="39"/>
        <v>4</v>
      </c>
      <c r="W217" s="8" t="s">
        <v>30</v>
      </c>
      <c r="X217" s="8">
        <v>0</v>
      </c>
      <c r="Y217" s="8">
        <v>0</v>
      </c>
      <c r="Z217" s="8">
        <v>0</v>
      </c>
      <c r="AA217" s="8">
        <v>0</v>
      </c>
      <c r="AB217" s="8">
        <v>0</v>
      </c>
      <c r="AC217" s="8">
        <v>0</v>
      </c>
      <c r="AD217" s="8">
        <v>0</v>
      </c>
      <c r="AF217" s="8" t="s">
        <v>29</v>
      </c>
      <c r="AG217" s="8">
        <f>VLOOKUP(Master20[[#This Row],[Elevated Priority]],Epriority,2,)</f>
        <v>0</v>
      </c>
      <c r="AH217" s="8">
        <f>IF(Master20[[#This Row],[Status]]="Active",Master20[[#This Row],[Status_Score]],IF(D217="","",R217+H217+T217+V217+AG217+AE217+Master20[[#This Row],[Risk Mitigation]]+Master20[[#This Row],[Master Plan]]+Master20[[#This Row],[Community Request]]+Master20[[#This Row],[Community need]]+Master20[[#This Row],[Offset Aging Inf.]]+Master20[[#This Row],[Energy Savings]]+Master20[[#This Row],[Gen Revenue]]-5))</f>
        <v>248</v>
      </c>
      <c r="AI217" s="8"/>
      <c r="AJ217" s="8" t="s">
        <v>1045</v>
      </c>
      <c r="AK217" s="8" t="s">
        <v>1045</v>
      </c>
      <c r="AL217" s="8" t="s">
        <v>1045</v>
      </c>
      <c r="AM217" s="8" t="s">
        <v>1045</v>
      </c>
      <c r="AN217" s="10"/>
    </row>
    <row r="218" spans="1:40" hidden="1" x14ac:dyDescent="0.25">
      <c r="A218" s="103">
        <f t="shared" si="36"/>
        <v>217</v>
      </c>
      <c r="B218" s="8" t="s">
        <v>143</v>
      </c>
      <c r="C218" s="8" t="s">
        <v>1045</v>
      </c>
      <c r="D218" s="8" t="s">
        <v>166</v>
      </c>
      <c r="E218" s="8" t="s">
        <v>167</v>
      </c>
      <c r="F218" s="8" t="s">
        <v>763</v>
      </c>
      <c r="G218" s="8" t="s">
        <v>1003</v>
      </c>
      <c r="H218" s="8">
        <f t="shared" si="34"/>
        <v>200</v>
      </c>
      <c r="I218" s="8"/>
      <c r="J218" s="8"/>
      <c r="K218" s="8">
        <f>Master20[[#This Row],[Initial Budget]]-Master20[[#This Row],[Previously Committed Funds]]</f>
        <v>0</v>
      </c>
      <c r="L218" s="8"/>
      <c r="M218" s="8"/>
      <c r="N218" s="8">
        <f>Master20[[#This Row],[Design $ (Add/Deduct)]]+Master20[[#This Row],[Construction $ (Add/Ded)]]</f>
        <v>0</v>
      </c>
      <c r="O218" s="8">
        <v>40000</v>
      </c>
      <c r="P218" s="8">
        <v>2018</v>
      </c>
      <c r="Q218" s="8" t="s">
        <v>686</v>
      </c>
      <c r="R218" s="8">
        <f t="shared" si="37"/>
        <v>60</v>
      </c>
      <c r="S218" s="8">
        <v>5</v>
      </c>
      <c r="T218" s="8">
        <f t="shared" si="38"/>
        <v>15</v>
      </c>
      <c r="U218" s="8" t="s">
        <v>41</v>
      </c>
      <c r="V218" s="8">
        <f t="shared" si="39"/>
        <v>4</v>
      </c>
      <c r="W218" s="8" t="s">
        <v>34</v>
      </c>
      <c r="X218" s="8">
        <v>0</v>
      </c>
      <c r="Y218" s="8">
        <v>0</v>
      </c>
      <c r="Z218" s="8">
        <v>0</v>
      </c>
      <c r="AA218" s="8">
        <v>0</v>
      </c>
      <c r="AB218" s="8">
        <v>0</v>
      </c>
      <c r="AC218" s="8">
        <v>0</v>
      </c>
      <c r="AD218" s="8">
        <v>-1</v>
      </c>
      <c r="AF218" s="8" t="s">
        <v>29</v>
      </c>
      <c r="AG218" s="8">
        <f>VLOOKUP(Master20[[#This Row],[Elevated Priority]],Epriority,2,)</f>
        <v>0</v>
      </c>
      <c r="AH218" s="8">
        <f>IF(Master20[[#This Row],[Status]]="Active",Master20[[#This Row],[Status_Score]],IF(D218="","",R218+H218+T218+V218+AG218+AE218+Master20[[#This Row],[Risk Mitigation]]+Master20[[#This Row],[Master Plan]]+Master20[[#This Row],[Community Request]]+Master20[[#This Row],[Community need]]+Master20[[#This Row],[Offset Aging Inf.]]+Master20[[#This Row],[Energy Savings]]+Master20[[#This Row],[Gen Revenue]]-5))</f>
        <v>273</v>
      </c>
      <c r="AI218" s="8"/>
      <c r="AJ218" s="8" t="s">
        <v>1045</v>
      </c>
      <c r="AK218" s="8" t="s">
        <v>1045</v>
      </c>
      <c r="AL218" s="8" t="s">
        <v>1045</v>
      </c>
      <c r="AM218" s="8" t="s">
        <v>1045</v>
      </c>
      <c r="AN218" s="10"/>
    </row>
    <row r="219" spans="1:40" hidden="1" x14ac:dyDescent="0.25">
      <c r="A219" s="103">
        <f t="shared" si="36"/>
        <v>218</v>
      </c>
      <c r="B219" s="8" t="s">
        <v>94</v>
      </c>
      <c r="C219" s="8" t="s">
        <v>1045</v>
      </c>
      <c r="D219" s="8" t="s">
        <v>506</v>
      </c>
      <c r="E219" s="8" t="s">
        <v>507</v>
      </c>
      <c r="F219" s="8" t="s">
        <v>909</v>
      </c>
      <c r="G219" s="8" t="s">
        <v>1003</v>
      </c>
      <c r="H219" s="8">
        <f t="shared" si="34"/>
        <v>200</v>
      </c>
      <c r="I219" s="8"/>
      <c r="J219" s="8"/>
      <c r="K219" s="8">
        <f>Master20[[#This Row],[Initial Budget]]-Master20[[#This Row],[Previously Committed Funds]]</f>
        <v>0</v>
      </c>
      <c r="L219" s="8"/>
      <c r="M219" s="8"/>
      <c r="N219" s="8">
        <f>Master20[[#This Row],[Design $ (Add/Deduct)]]+Master20[[#This Row],[Construction $ (Add/Ded)]]</f>
        <v>0</v>
      </c>
      <c r="O219" s="8">
        <v>350000</v>
      </c>
      <c r="P219" s="8">
        <v>2018</v>
      </c>
      <c r="Q219" s="8" t="s">
        <v>46</v>
      </c>
      <c r="R219" s="8">
        <f t="shared" si="37"/>
        <v>50</v>
      </c>
      <c r="S219" s="8">
        <v>23</v>
      </c>
      <c r="T219" s="8">
        <f t="shared" si="38"/>
        <v>28</v>
      </c>
      <c r="U219" s="8" t="s">
        <v>41</v>
      </c>
      <c r="V219" s="8">
        <f t="shared" si="39"/>
        <v>4</v>
      </c>
      <c r="W219" s="8" t="s">
        <v>30</v>
      </c>
      <c r="X219" s="8">
        <v>0</v>
      </c>
      <c r="Y219" s="8">
        <v>0</v>
      </c>
      <c r="Z219" s="8">
        <v>0</v>
      </c>
      <c r="AA219" s="8">
        <v>0</v>
      </c>
      <c r="AB219" s="8">
        <v>0</v>
      </c>
      <c r="AC219" s="8">
        <v>0</v>
      </c>
      <c r="AD219" s="8">
        <v>0</v>
      </c>
      <c r="AF219" s="8" t="s">
        <v>29</v>
      </c>
      <c r="AG219" s="8">
        <f>VLOOKUP(Master20[[#This Row],[Elevated Priority]],Epriority,2,)</f>
        <v>0</v>
      </c>
      <c r="AH219" s="8">
        <f>IF(Master20[[#This Row],[Status]]="Active",Master20[[#This Row],[Status_Score]],IF(D219="","",R219+H219+T219+V219+AG219+AE219+Master20[[#This Row],[Risk Mitigation]]+Master20[[#This Row],[Master Plan]]+Master20[[#This Row],[Community Request]]+Master20[[#This Row],[Community need]]+Master20[[#This Row],[Offset Aging Inf.]]+Master20[[#This Row],[Energy Savings]]+Master20[[#This Row],[Gen Revenue]]-5))</f>
        <v>277</v>
      </c>
      <c r="AI219" s="8"/>
      <c r="AJ219" s="8" t="s">
        <v>1045</v>
      </c>
      <c r="AK219" s="8" t="s">
        <v>1045</v>
      </c>
      <c r="AL219" s="8" t="s">
        <v>1045</v>
      </c>
      <c r="AM219" s="8" t="s">
        <v>1045</v>
      </c>
      <c r="AN219" s="10"/>
    </row>
    <row r="220" spans="1:40" hidden="1" x14ac:dyDescent="0.25">
      <c r="A220" s="103">
        <f t="shared" si="36"/>
        <v>219</v>
      </c>
      <c r="B220" s="8" t="s">
        <v>94</v>
      </c>
      <c r="C220" s="8" t="s">
        <v>1045</v>
      </c>
      <c r="D220" s="8" t="s">
        <v>411</v>
      </c>
      <c r="E220" s="8" t="s">
        <v>412</v>
      </c>
      <c r="F220" s="8" t="s">
        <v>413</v>
      </c>
      <c r="G220" s="8" t="s">
        <v>1003</v>
      </c>
      <c r="H220" s="8">
        <f t="shared" si="34"/>
        <v>200</v>
      </c>
      <c r="I220" s="8"/>
      <c r="J220" s="8"/>
      <c r="K220" s="8">
        <f>Master20[[#This Row],[Initial Budget]]-Master20[[#This Row],[Previously Committed Funds]]</f>
        <v>0</v>
      </c>
      <c r="L220" s="8"/>
      <c r="M220" s="8"/>
      <c r="N220" s="8">
        <f>Master20[[#This Row],[Design $ (Add/Deduct)]]+Master20[[#This Row],[Construction $ (Add/Ded)]]</f>
        <v>0</v>
      </c>
      <c r="O220" s="8">
        <v>150000</v>
      </c>
      <c r="P220" s="8">
        <v>2018</v>
      </c>
      <c r="Q220" s="8" t="s">
        <v>686</v>
      </c>
      <c r="R220" s="8">
        <f t="shared" si="37"/>
        <v>60</v>
      </c>
      <c r="S220" s="8">
        <v>21</v>
      </c>
      <c r="T220" s="8">
        <f t="shared" si="38"/>
        <v>27</v>
      </c>
      <c r="U220" s="8" t="s">
        <v>41</v>
      </c>
      <c r="V220" s="8">
        <f t="shared" si="39"/>
        <v>4</v>
      </c>
      <c r="W220" s="8" t="s">
        <v>30</v>
      </c>
      <c r="X220" s="8">
        <v>0</v>
      </c>
      <c r="Y220" s="8">
        <v>0</v>
      </c>
      <c r="Z220" s="8">
        <v>0</v>
      </c>
      <c r="AA220" s="8">
        <v>0</v>
      </c>
      <c r="AB220" s="8">
        <v>0</v>
      </c>
      <c r="AC220" s="8">
        <v>0</v>
      </c>
      <c r="AD220" s="8">
        <v>0</v>
      </c>
      <c r="AF220" s="8" t="s">
        <v>29</v>
      </c>
      <c r="AG220" s="8">
        <f>VLOOKUP(Master20[[#This Row],[Elevated Priority]],Epriority,2,)</f>
        <v>0</v>
      </c>
      <c r="AH220" s="8">
        <f>IF(Master20[[#This Row],[Status]]="Active",Master20[[#This Row],[Status_Score]],IF(D220="","",R220+H220+T220+V220+AG220+AE220+Master20[[#This Row],[Risk Mitigation]]+Master20[[#This Row],[Master Plan]]+Master20[[#This Row],[Community Request]]+Master20[[#This Row],[Community need]]+Master20[[#This Row],[Offset Aging Inf.]]+Master20[[#This Row],[Energy Savings]]+Master20[[#This Row],[Gen Revenue]]-5))</f>
        <v>286</v>
      </c>
      <c r="AI220" s="8"/>
      <c r="AJ220" s="8" t="s">
        <v>1045</v>
      </c>
      <c r="AK220" s="8" t="s">
        <v>1045</v>
      </c>
      <c r="AL220" s="8" t="s">
        <v>1045</v>
      </c>
      <c r="AM220" s="8" t="s">
        <v>1045</v>
      </c>
      <c r="AN220" s="10"/>
    </row>
    <row r="221" spans="1:40" ht="30" hidden="1" x14ac:dyDescent="0.25">
      <c r="A221" s="103">
        <f t="shared" si="36"/>
        <v>220</v>
      </c>
      <c r="B221" s="153" t="s">
        <v>1213</v>
      </c>
      <c r="C221" s="178" t="s">
        <v>1196</v>
      </c>
      <c r="D221" s="125" t="s">
        <v>1031</v>
      </c>
      <c r="E221" s="125" t="s">
        <v>815</v>
      </c>
      <c r="F221" s="125" t="s">
        <v>853</v>
      </c>
      <c r="G221" s="125" t="s">
        <v>816</v>
      </c>
      <c r="H221" s="125">
        <f t="shared" si="34"/>
        <v>1000</v>
      </c>
      <c r="I221" s="155">
        <v>0</v>
      </c>
      <c r="J221" s="155"/>
      <c r="K221" s="155">
        <f>Master20[[#This Row],[Initial Budget]]-Master20[[#This Row],[Previously Committed Funds]]</f>
        <v>0</v>
      </c>
      <c r="L221" s="155"/>
      <c r="M221" s="156">
        <v>5000000</v>
      </c>
      <c r="N221" s="157">
        <f>Master20[[#This Row],[Design $ (Add/Deduct)]]+Master20[[#This Row],[Construction $ (Add/Ded)]]</f>
        <v>5000000</v>
      </c>
      <c r="O221" s="181">
        <f>Master20[[#This Row],[Total Add]]+Master20[[#This Row],[Current Available Balance]]+Master20[[#This Row],[Previously Committed Funds]]</f>
        <v>5000000</v>
      </c>
      <c r="P221" s="153">
        <v>2019</v>
      </c>
      <c r="Q221" s="125" t="s">
        <v>32</v>
      </c>
      <c r="R221" s="153">
        <f t="shared" si="37"/>
        <v>1</v>
      </c>
      <c r="S221" s="153">
        <v>1</v>
      </c>
      <c r="T221" s="153">
        <f t="shared" si="38"/>
        <v>3</v>
      </c>
      <c r="U221" s="153" t="s">
        <v>37</v>
      </c>
      <c r="V221" s="153">
        <f t="shared" si="39"/>
        <v>3</v>
      </c>
      <c r="W221" s="153" t="s">
        <v>30</v>
      </c>
      <c r="X221" s="153">
        <v>0</v>
      </c>
      <c r="Y221" s="153">
        <v>0</v>
      </c>
      <c r="Z221" s="153">
        <v>-3</v>
      </c>
      <c r="AA221" s="153">
        <v>-3</v>
      </c>
      <c r="AB221" s="153">
        <v>-2</v>
      </c>
      <c r="AC221" s="153">
        <v>0</v>
      </c>
      <c r="AD221" s="153">
        <v>-3</v>
      </c>
      <c r="AE221" s="153"/>
      <c r="AF221" s="154" t="s">
        <v>35</v>
      </c>
      <c r="AG221" s="153">
        <f>VLOOKUP(Master20[[#This Row],[Elevated Priority]],Epriority,2,)</f>
        <v>-50</v>
      </c>
      <c r="AH221" s="153">
        <f>IF(Master20[[#This Row],[Status]]="Active",Master20[[#This Row],[Status_Score]],IF(D221="","",R221+H221+T221+V221+AG221+AE221+Master20[[#This Row],[Risk Mitigation]]+Master20[[#This Row],[Master Plan]]+Master20[[#This Row],[Community Request]]+Master20[[#This Row],[Community need]]+Master20[[#This Row],[Offset Aging Inf.]]+Master20[[#This Row],[Energy Savings]]+Master20[[#This Row],[Gen Revenue]]-5))</f>
        <v>941</v>
      </c>
      <c r="AI221" s="153" t="s">
        <v>716</v>
      </c>
      <c r="AJ221" s="153">
        <v>2019</v>
      </c>
      <c r="AK221" s="153">
        <v>2020</v>
      </c>
      <c r="AL221" s="153">
        <v>2019</v>
      </c>
      <c r="AM221" s="153">
        <v>2021</v>
      </c>
      <c r="AN221" s="111"/>
    </row>
    <row r="222" spans="1:40" ht="30" hidden="1" x14ac:dyDescent="0.25">
      <c r="A222" s="103">
        <f t="shared" si="36"/>
        <v>221</v>
      </c>
      <c r="B222" s="153" t="s">
        <v>143</v>
      </c>
      <c r="C222" s="178" t="s">
        <v>1045</v>
      </c>
      <c r="D222" s="125" t="s">
        <v>1011</v>
      </c>
      <c r="E222" s="125" t="s">
        <v>1012</v>
      </c>
      <c r="F222" s="179" t="s">
        <v>1013</v>
      </c>
      <c r="G222" s="125" t="s">
        <v>816</v>
      </c>
      <c r="H222" s="125">
        <f t="shared" si="34"/>
        <v>1000</v>
      </c>
      <c r="I222" s="155"/>
      <c r="J222" s="155"/>
      <c r="K222" s="155">
        <f>Master20[[#This Row],[Initial Budget]]-Master20[[#This Row],[Previously Committed Funds]]</f>
        <v>0</v>
      </c>
      <c r="L222" s="155"/>
      <c r="M222" s="156"/>
      <c r="N222" s="157">
        <f>Master20[[#This Row],[Design $ (Add/Deduct)]]+Master20[[#This Row],[Construction $ (Add/Ded)]]</f>
        <v>0</v>
      </c>
      <c r="O222" s="177">
        <v>300000</v>
      </c>
      <c r="P222" s="153">
        <v>2021</v>
      </c>
      <c r="Q222" s="125" t="s">
        <v>830</v>
      </c>
      <c r="R222" s="153">
        <f t="shared" si="37"/>
        <v>10</v>
      </c>
      <c r="S222" s="154">
        <v>1</v>
      </c>
      <c r="T222" s="153">
        <f t="shared" si="38"/>
        <v>3</v>
      </c>
      <c r="U222" s="154" t="s">
        <v>33</v>
      </c>
      <c r="V222" s="153">
        <f t="shared" si="39"/>
        <v>1</v>
      </c>
      <c r="W222" s="153" t="s">
        <v>29</v>
      </c>
      <c r="X222" s="153">
        <v>0</v>
      </c>
      <c r="Y222" s="153">
        <v>0</v>
      </c>
      <c r="Z222" s="153">
        <v>-3</v>
      </c>
      <c r="AA222" s="153">
        <v>0</v>
      </c>
      <c r="AB222" s="153">
        <v>-2</v>
      </c>
      <c r="AC222" s="153">
        <v>-5</v>
      </c>
      <c r="AD222" s="153">
        <v>0</v>
      </c>
      <c r="AE222" s="153"/>
      <c r="AF222" s="154" t="s">
        <v>35</v>
      </c>
      <c r="AG222" s="153">
        <f>VLOOKUP(Master20[[#This Row],[Elevated Priority]],Epriority,2,)</f>
        <v>-50</v>
      </c>
      <c r="AH222" s="153">
        <f>IF(Master20[[#This Row],[Status]]="Active",Master20[[#This Row],[Status_Score]],IF(D222="","",R222+H222+T222+V222+AG222+AE222+Master20[[#This Row],[Risk Mitigation]]+Master20[[#This Row],[Master Plan]]+Master20[[#This Row],[Community Request]]+Master20[[#This Row],[Community need]]+Master20[[#This Row],[Offset Aging Inf.]]+Master20[[#This Row],[Energy Savings]]+Master20[[#This Row],[Gen Revenue]]-5))</f>
        <v>949</v>
      </c>
      <c r="AI222" s="153" t="s">
        <v>1054</v>
      </c>
      <c r="AJ222" s="153"/>
      <c r="AK222" s="153"/>
      <c r="AL222" s="153">
        <v>2020</v>
      </c>
      <c r="AM222" s="153">
        <v>2021</v>
      </c>
      <c r="AN222" s="111"/>
    </row>
    <row r="223" spans="1:40" ht="60" hidden="1" x14ac:dyDescent="0.25">
      <c r="A223" s="103">
        <f t="shared" si="36"/>
        <v>222</v>
      </c>
      <c r="B223" s="153" t="s">
        <v>65</v>
      </c>
      <c r="C223" s="178" t="s">
        <v>1045</v>
      </c>
      <c r="D223" s="125" t="s">
        <v>960</v>
      </c>
      <c r="E223" s="125" t="s">
        <v>961</v>
      </c>
      <c r="F223" s="125" t="s">
        <v>962</v>
      </c>
      <c r="G223" s="125" t="s">
        <v>816</v>
      </c>
      <c r="H223" s="125">
        <f t="shared" si="34"/>
        <v>1000</v>
      </c>
      <c r="I223" s="155"/>
      <c r="J223" s="155"/>
      <c r="K223" s="155">
        <f>Master20[[#This Row],[Initial Budget]]-Master20[[#This Row],[Previously Committed Funds]]</f>
        <v>0</v>
      </c>
      <c r="L223" s="155"/>
      <c r="M223" s="156"/>
      <c r="N223" s="157">
        <f>Master20[[#This Row],[Design $ (Add/Deduct)]]+Master20[[#This Row],[Construction $ (Add/Ded)]]</f>
        <v>0</v>
      </c>
      <c r="O223" s="192">
        <v>200000</v>
      </c>
      <c r="P223" s="153">
        <v>2019</v>
      </c>
      <c r="Q223" s="125" t="s">
        <v>32</v>
      </c>
      <c r="R223" s="153">
        <f t="shared" si="37"/>
        <v>1</v>
      </c>
      <c r="S223" s="153">
        <v>1</v>
      </c>
      <c r="T223" s="153">
        <f t="shared" si="38"/>
        <v>3</v>
      </c>
      <c r="U223" s="154" t="s">
        <v>33</v>
      </c>
      <c r="V223" s="153">
        <f t="shared" si="39"/>
        <v>1</v>
      </c>
      <c r="W223" s="153" t="s">
        <v>30</v>
      </c>
      <c r="X223" s="153">
        <v>0</v>
      </c>
      <c r="Y223" s="153">
        <v>0</v>
      </c>
      <c r="Z223" s="153">
        <v>0</v>
      </c>
      <c r="AA223" s="153">
        <v>0</v>
      </c>
      <c r="AB223" s="153">
        <v>0</v>
      </c>
      <c r="AC223" s="153">
        <v>0</v>
      </c>
      <c r="AD223" s="153">
        <v>0</v>
      </c>
      <c r="AE223" s="153"/>
      <c r="AF223" s="154" t="s">
        <v>39</v>
      </c>
      <c r="AG223" s="153">
        <f>VLOOKUP(Master20[[#This Row],[Elevated Priority]],Epriority,2,)</f>
        <v>-30</v>
      </c>
      <c r="AH223" s="153">
        <f>IF(Master20[[#This Row],[Status]]="Active",Master20[[#This Row],[Status_Score]],IF(D223="","",R223+H223+T223+V223+AG223+AE223+Master20[[#This Row],[Risk Mitigation]]+Master20[[#This Row],[Master Plan]]+Master20[[#This Row],[Community Request]]+Master20[[#This Row],[Community need]]+Master20[[#This Row],[Offset Aging Inf.]]+Master20[[#This Row],[Energy Savings]]+Master20[[#This Row],[Gen Revenue]]-5))</f>
        <v>970</v>
      </c>
      <c r="AI223" s="153"/>
      <c r="AJ223" s="153">
        <v>2019</v>
      </c>
      <c r="AK223" s="153">
        <v>2020</v>
      </c>
      <c r="AL223" s="153">
        <v>2019</v>
      </c>
      <c r="AM223" s="153">
        <v>2020</v>
      </c>
      <c r="AN223" s="111"/>
    </row>
    <row r="224" spans="1:40" ht="45" hidden="1" x14ac:dyDescent="0.25">
      <c r="A224" s="103">
        <f t="shared" si="36"/>
        <v>223</v>
      </c>
      <c r="B224" s="153" t="s">
        <v>70</v>
      </c>
      <c r="C224" s="178" t="s">
        <v>1045</v>
      </c>
      <c r="D224" s="125" t="s">
        <v>1173</v>
      </c>
      <c r="E224" s="125" t="s">
        <v>927</v>
      </c>
      <c r="F224" s="125" t="s">
        <v>928</v>
      </c>
      <c r="G224" s="125" t="s">
        <v>816</v>
      </c>
      <c r="H224" s="125">
        <f t="shared" si="34"/>
        <v>1000</v>
      </c>
      <c r="I224" s="155">
        <v>50000</v>
      </c>
      <c r="J224" s="155">
        <v>50000</v>
      </c>
      <c r="K224" s="155">
        <f>Master20[[#This Row],[Initial Budget]]-Master20[[#This Row],[Previously Committed Funds]]</f>
        <v>0</v>
      </c>
      <c r="L224" s="155"/>
      <c r="M224" s="156">
        <v>1000000</v>
      </c>
      <c r="N224" s="157">
        <v>0</v>
      </c>
      <c r="O224" s="192">
        <v>1100000</v>
      </c>
      <c r="P224" s="153">
        <v>2020</v>
      </c>
      <c r="Q224" s="125" t="s">
        <v>46</v>
      </c>
      <c r="R224" s="153">
        <f t="shared" si="37"/>
        <v>50</v>
      </c>
      <c r="S224" s="153">
        <v>1</v>
      </c>
      <c r="T224" s="153">
        <f t="shared" si="38"/>
        <v>3</v>
      </c>
      <c r="U224" s="154" t="s">
        <v>41</v>
      </c>
      <c r="V224" s="153">
        <f t="shared" si="39"/>
        <v>4</v>
      </c>
      <c r="W224" s="153" t="s">
        <v>34</v>
      </c>
      <c r="X224" s="153">
        <v>-9</v>
      </c>
      <c r="Y224" s="153">
        <v>0</v>
      </c>
      <c r="Z224" s="153">
        <v>-3</v>
      </c>
      <c r="AA224" s="153">
        <v>-3</v>
      </c>
      <c r="AB224" s="153">
        <v>-2</v>
      </c>
      <c r="AC224" s="153">
        <v>-9</v>
      </c>
      <c r="AD224" s="153">
        <v>0</v>
      </c>
      <c r="AE224" s="153"/>
      <c r="AF224" s="154" t="s">
        <v>35</v>
      </c>
      <c r="AG224" s="153">
        <f>VLOOKUP(Master20[[#This Row],[Elevated Priority]],Epriority,2,)</f>
        <v>-50</v>
      </c>
      <c r="AH224" s="153">
        <f>IF(Master20[[#This Row],[Status]]="Active",Master20[[#This Row],[Status_Score]],IF(D224="","",R224+H224+T224+V224+AG224+AE224+Master20[[#This Row],[Risk Mitigation]]+Master20[[#This Row],[Master Plan]]+Master20[[#This Row],[Community Request]]+Master20[[#This Row],[Community need]]+Master20[[#This Row],[Offset Aging Inf.]]+Master20[[#This Row],[Energy Savings]]+Master20[[#This Row],[Gen Revenue]]-5))</f>
        <v>976</v>
      </c>
      <c r="AI224" s="8" t="s">
        <v>717</v>
      </c>
      <c r="AJ224" s="114">
        <v>2021</v>
      </c>
      <c r="AK224" s="114">
        <v>2023</v>
      </c>
      <c r="AL224" s="114">
        <v>2021</v>
      </c>
      <c r="AM224" s="114">
        <v>2022</v>
      </c>
      <c r="AN224" s="111" t="s">
        <v>1186</v>
      </c>
    </row>
    <row r="225" spans="1:40" ht="30" hidden="1" x14ac:dyDescent="0.25">
      <c r="A225" s="103">
        <f t="shared" si="36"/>
        <v>224</v>
      </c>
      <c r="B225" s="153" t="s">
        <v>65</v>
      </c>
      <c r="C225" s="178" t="s">
        <v>1045</v>
      </c>
      <c r="D225" s="125" t="s">
        <v>963</v>
      </c>
      <c r="E225" s="125" t="s">
        <v>964</v>
      </c>
      <c r="F225" s="125" t="s">
        <v>965</v>
      </c>
      <c r="G225" s="125" t="s">
        <v>816</v>
      </c>
      <c r="H225" s="125">
        <f t="shared" si="34"/>
        <v>1000</v>
      </c>
      <c r="I225" s="155"/>
      <c r="J225" s="155"/>
      <c r="K225" s="155">
        <f>Master20[[#This Row],[Initial Budget]]-Master20[[#This Row],[Previously Committed Funds]]</f>
        <v>0</v>
      </c>
      <c r="L225" s="155"/>
      <c r="M225" s="156"/>
      <c r="N225" s="157">
        <f>Master20[[#This Row],[Design $ (Add/Deduct)]]+Master20[[#This Row],[Construction $ (Add/Ded)]]</f>
        <v>0</v>
      </c>
      <c r="O225" s="192">
        <v>750000</v>
      </c>
      <c r="P225" s="153">
        <v>2019</v>
      </c>
      <c r="Q225" s="125" t="s">
        <v>36</v>
      </c>
      <c r="R225" s="153">
        <f t="shared" si="37"/>
        <v>10</v>
      </c>
      <c r="S225" s="153">
        <v>1</v>
      </c>
      <c r="T225" s="153">
        <f t="shared" si="38"/>
        <v>3</v>
      </c>
      <c r="U225" s="154" t="s">
        <v>33</v>
      </c>
      <c r="V225" s="153">
        <f t="shared" si="39"/>
        <v>1</v>
      </c>
      <c r="W225" s="153" t="s">
        <v>30</v>
      </c>
      <c r="X225" s="153">
        <v>0</v>
      </c>
      <c r="Y225" s="153">
        <v>0</v>
      </c>
      <c r="Z225" s="153">
        <v>0</v>
      </c>
      <c r="AA225" s="153">
        <v>0</v>
      </c>
      <c r="AB225" s="153">
        <v>0</v>
      </c>
      <c r="AC225" s="153">
        <v>0</v>
      </c>
      <c r="AD225" s="153">
        <v>0</v>
      </c>
      <c r="AE225" s="153"/>
      <c r="AF225" s="154" t="s">
        <v>39</v>
      </c>
      <c r="AG225" s="153">
        <f>VLOOKUP(Master20[[#This Row],[Elevated Priority]],Epriority,2,)</f>
        <v>-30</v>
      </c>
      <c r="AH225" s="153">
        <f>IF(Master20[[#This Row],[Status]]="Active",Master20[[#This Row],[Status_Score]],IF(D225="","",R225+H225+T225+V225+AG225+AE225+Master20[[#This Row],[Risk Mitigation]]+Master20[[#This Row],[Master Plan]]+Master20[[#This Row],[Community Request]]+Master20[[#This Row],[Community need]]+Master20[[#This Row],[Offset Aging Inf.]]+Master20[[#This Row],[Energy Savings]]+Master20[[#This Row],[Gen Revenue]]-5))</f>
        <v>979</v>
      </c>
      <c r="AI225" s="153"/>
      <c r="AJ225" s="153">
        <v>2019</v>
      </c>
      <c r="AK225" s="153">
        <v>2020</v>
      </c>
      <c r="AL225" s="153">
        <v>2019</v>
      </c>
      <c r="AM225" s="153">
        <v>2020</v>
      </c>
      <c r="AN225" s="111"/>
    </row>
    <row r="226" spans="1:40" ht="30" hidden="1" x14ac:dyDescent="0.25">
      <c r="A226" s="103">
        <f t="shared" si="36"/>
        <v>225</v>
      </c>
      <c r="B226" s="153" t="s">
        <v>67</v>
      </c>
      <c r="C226" s="178" t="s">
        <v>995</v>
      </c>
      <c r="D226" s="125" t="s">
        <v>872</v>
      </c>
      <c r="E226" s="125" t="s">
        <v>873</v>
      </c>
      <c r="F226" s="125" t="s">
        <v>874</v>
      </c>
      <c r="G226" s="125" t="s">
        <v>816</v>
      </c>
      <c r="H226" s="125">
        <f t="shared" si="34"/>
        <v>1000</v>
      </c>
      <c r="I226" s="155"/>
      <c r="J226" s="155"/>
      <c r="K226" s="155">
        <f>Master20[[#This Row],[Initial Budget]]-Master20[[#This Row],[Previously Committed Funds]]</f>
        <v>0</v>
      </c>
      <c r="L226" s="155"/>
      <c r="M226" s="156">
        <v>150000</v>
      </c>
      <c r="N226" s="157">
        <f>Master20[[#This Row],[Design $ (Add/Deduct)]]+Master20[[#This Row],[Construction $ (Add/Ded)]]</f>
        <v>150000</v>
      </c>
      <c r="O226" s="192">
        <v>550000</v>
      </c>
      <c r="P226" s="153">
        <v>2018</v>
      </c>
      <c r="Q226" s="125" t="s">
        <v>36</v>
      </c>
      <c r="R226" s="153">
        <f t="shared" si="37"/>
        <v>10</v>
      </c>
      <c r="S226" s="153">
        <v>1</v>
      </c>
      <c r="T226" s="153">
        <f t="shared" si="38"/>
        <v>3</v>
      </c>
      <c r="U226" s="154" t="s">
        <v>33</v>
      </c>
      <c r="V226" s="153">
        <f t="shared" si="39"/>
        <v>1</v>
      </c>
      <c r="W226" s="153" t="s">
        <v>34</v>
      </c>
      <c r="X226" s="153">
        <v>0</v>
      </c>
      <c r="Y226" s="153">
        <v>0</v>
      </c>
      <c r="Z226" s="153">
        <v>0</v>
      </c>
      <c r="AA226" s="153">
        <v>0</v>
      </c>
      <c r="AB226" s="153">
        <v>0</v>
      </c>
      <c r="AC226" s="153">
        <v>0</v>
      </c>
      <c r="AD226" s="153">
        <v>0</v>
      </c>
      <c r="AE226" s="153"/>
      <c r="AF226" s="154" t="s">
        <v>31</v>
      </c>
      <c r="AG226" s="153">
        <f>VLOOKUP(Master20[[#This Row],[Elevated Priority]],Epriority,2,)</f>
        <v>-25</v>
      </c>
      <c r="AH226" s="153">
        <f>IF(Master20[[#This Row],[Status]]="Active",Master20[[#This Row],[Status_Score]],IF(D226="","",R226+H226+T226+V226+AG226+AE226+Master20[[#This Row],[Risk Mitigation]]+Master20[[#This Row],[Master Plan]]+Master20[[#This Row],[Community Request]]+Master20[[#This Row],[Community need]]+Master20[[#This Row],[Offset Aging Inf.]]+Master20[[#This Row],[Energy Savings]]+Master20[[#This Row],[Gen Revenue]]-5))</f>
        <v>984</v>
      </c>
      <c r="AI226" s="153" t="s">
        <v>754</v>
      </c>
      <c r="AJ226" s="153">
        <v>2019</v>
      </c>
      <c r="AK226" s="153">
        <v>2020</v>
      </c>
      <c r="AL226" s="153">
        <v>2019</v>
      </c>
      <c r="AM226" s="153">
        <v>2020</v>
      </c>
      <c r="AN226" s="111"/>
    </row>
    <row r="227" spans="1:40" ht="45" hidden="1" x14ac:dyDescent="0.25">
      <c r="A227" s="103">
        <f t="shared" si="36"/>
        <v>226</v>
      </c>
      <c r="B227" s="153" t="s">
        <v>79</v>
      </c>
      <c r="C227" s="178" t="s">
        <v>1045</v>
      </c>
      <c r="D227" s="125" t="s">
        <v>864</v>
      </c>
      <c r="E227" s="125" t="s">
        <v>862</v>
      </c>
      <c r="F227" s="125" t="s">
        <v>863</v>
      </c>
      <c r="G227" s="125" t="s">
        <v>816</v>
      </c>
      <c r="H227" s="125">
        <f t="shared" si="34"/>
        <v>1000</v>
      </c>
      <c r="I227" s="155"/>
      <c r="J227" s="155"/>
      <c r="K227" s="155">
        <f>Master20[[#This Row],[Initial Budget]]-Master20[[#This Row],[Previously Committed Funds]]</f>
        <v>0</v>
      </c>
      <c r="L227" s="155"/>
      <c r="M227" s="156"/>
      <c r="N227" s="157">
        <f>Master20[[#This Row],[Design $ (Add/Deduct)]]+Master20[[#This Row],[Construction $ (Add/Ded)]]</f>
        <v>0</v>
      </c>
      <c r="O227" s="192">
        <v>50000</v>
      </c>
      <c r="P227" s="153">
        <v>2020</v>
      </c>
      <c r="Q227" s="125" t="s">
        <v>830</v>
      </c>
      <c r="R227" s="153">
        <f t="shared" si="37"/>
        <v>10</v>
      </c>
      <c r="S227" s="153">
        <v>1</v>
      </c>
      <c r="T227" s="153">
        <f t="shared" si="38"/>
        <v>3</v>
      </c>
      <c r="U227" s="154" t="s">
        <v>33</v>
      </c>
      <c r="V227" s="153">
        <f t="shared" si="39"/>
        <v>1</v>
      </c>
      <c r="W227" s="153" t="s">
        <v>30</v>
      </c>
      <c r="X227" s="153">
        <v>0</v>
      </c>
      <c r="Y227" s="153">
        <v>0</v>
      </c>
      <c r="Z227" s="153">
        <v>0</v>
      </c>
      <c r="AA227" s="153">
        <v>0</v>
      </c>
      <c r="AB227" s="153">
        <v>0</v>
      </c>
      <c r="AC227" s="153">
        <v>0</v>
      </c>
      <c r="AD227" s="153">
        <v>0</v>
      </c>
      <c r="AE227" s="153"/>
      <c r="AF227" s="154" t="s">
        <v>31</v>
      </c>
      <c r="AG227" s="153">
        <f>VLOOKUP(Master20[[#This Row],[Elevated Priority]],Epriority,2,)</f>
        <v>-25</v>
      </c>
      <c r="AH227" s="153">
        <f>IF(Master20[[#This Row],[Status]]="Active",Master20[[#This Row],[Status_Score]],IF(D227="","",R227+H227+T227+V227+AG227+AE227+Master20[[#This Row],[Risk Mitigation]]+Master20[[#This Row],[Master Plan]]+Master20[[#This Row],[Community Request]]+Master20[[#This Row],[Community need]]+Master20[[#This Row],[Offset Aging Inf.]]+Master20[[#This Row],[Energy Savings]]+Master20[[#This Row],[Gen Revenue]]-5))</f>
        <v>984</v>
      </c>
      <c r="AI227" s="153" t="s">
        <v>758</v>
      </c>
      <c r="AJ227" s="153">
        <v>2020</v>
      </c>
      <c r="AK227" s="153">
        <v>2020</v>
      </c>
      <c r="AL227" s="153">
        <v>2020</v>
      </c>
      <c r="AM227" s="153">
        <v>2021</v>
      </c>
      <c r="AN227" s="111"/>
    </row>
    <row r="228" spans="1:40" ht="30" hidden="1" x14ac:dyDescent="0.25">
      <c r="A228" s="103">
        <f t="shared" si="36"/>
        <v>227</v>
      </c>
      <c r="B228" s="153" t="s">
        <v>70</v>
      </c>
      <c r="C228" s="178" t="s">
        <v>1045</v>
      </c>
      <c r="D228" s="125" t="s">
        <v>692</v>
      </c>
      <c r="E228" s="125" t="s">
        <v>1021</v>
      </c>
      <c r="F228" s="125" t="s">
        <v>941</v>
      </c>
      <c r="G228" s="125" t="s">
        <v>816</v>
      </c>
      <c r="H228" s="125">
        <f t="shared" si="34"/>
        <v>1000</v>
      </c>
      <c r="I228" s="155"/>
      <c r="J228" s="155"/>
      <c r="K228" s="155">
        <f>Master20[[#This Row],[Initial Budget]]-Master20[[#This Row],[Previously Committed Funds]]</f>
        <v>0</v>
      </c>
      <c r="L228" s="155"/>
      <c r="M228" s="156"/>
      <c r="N228" s="157">
        <f>Master20[[#This Row],[Design $ (Add/Deduct)]]+Master20[[#This Row],[Construction $ (Add/Ded)]]</f>
        <v>0</v>
      </c>
      <c r="O228" s="192">
        <v>8000000</v>
      </c>
      <c r="P228" s="153">
        <v>2019</v>
      </c>
      <c r="Q228" s="125" t="s">
        <v>46</v>
      </c>
      <c r="R228" s="153">
        <f t="shared" si="37"/>
        <v>50</v>
      </c>
      <c r="S228" s="153">
        <v>2</v>
      </c>
      <c r="T228" s="153">
        <f t="shared" si="38"/>
        <v>6</v>
      </c>
      <c r="U228" s="154" t="s">
        <v>41</v>
      </c>
      <c r="V228" s="153">
        <f t="shared" si="39"/>
        <v>4</v>
      </c>
      <c r="W228" s="153" t="s">
        <v>34</v>
      </c>
      <c r="X228" s="153">
        <v>0</v>
      </c>
      <c r="Y228" s="153">
        <v>0</v>
      </c>
      <c r="Z228" s="153">
        <v>-3</v>
      </c>
      <c r="AA228" s="153">
        <v>-3</v>
      </c>
      <c r="AB228" s="153">
        <v>-2</v>
      </c>
      <c r="AC228" s="153">
        <v>-9</v>
      </c>
      <c r="AD228" s="153">
        <v>0</v>
      </c>
      <c r="AE228" s="153"/>
      <c r="AF228" s="154" t="s">
        <v>35</v>
      </c>
      <c r="AG228" s="153">
        <f>VLOOKUP(Master20[[#This Row],[Elevated Priority]],Epriority,2,)</f>
        <v>-50</v>
      </c>
      <c r="AH228" s="153">
        <f>IF(Master20[[#This Row],[Status]]="Active",Master20[[#This Row],[Status_Score]],IF(D228="","",R228+H228+T228+V228+AG228+AE228+Master20[[#This Row],[Risk Mitigation]]+Master20[[#This Row],[Master Plan]]+Master20[[#This Row],[Community Request]]+Master20[[#This Row],[Community need]]+Master20[[#This Row],[Offset Aging Inf.]]+Master20[[#This Row],[Energy Savings]]+Master20[[#This Row],[Gen Revenue]]-5))</f>
        <v>988</v>
      </c>
      <c r="AI228" s="153" t="s">
        <v>758</v>
      </c>
      <c r="AJ228" s="153">
        <v>2020</v>
      </c>
      <c r="AK228" s="153">
        <v>2021</v>
      </c>
      <c r="AL228" s="153">
        <v>2020</v>
      </c>
      <c r="AM228" s="153">
        <v>2021</v>
      </c>
      <c r="AN228" s="111"/>
    </row>
    <row r="229" spans="1:40" ht="45" hidden="1" x14ac:dyDescent="0.25">
      <c r="A229" s="103">
        <f t="shared" si="36"/>
        <v>228</v>
      </c>
      <c r="B229" s="153" t="s">
        <v>1191</v>
      </c>
      <c r="C229" s="178" t="s">
        <v>79</v>
      </c>
      <c r="D229" s="125" t="s">
        <v>1121</v>
      </c>
      <c r="E229" s="125" t="s">
        <v>1122</v>
      </c>
      <c r="F229" s="125" t="s">
        <v>1123</v>
      </c>
      <c r="G229" s="125" t="s">
        <v>816</v>
      </c>
      <c r="H229" s="125">
        <f t="shared" si="34"/>
        <v>1000</v>
      </c>
      <c r="I229" s="155"/>
      <c r="J229" s="155"/>
      <c r="K229" s="155">
        <f>Master20[[#This Row],[Initial Budget]]-Master20[[#This Row],[Previously Committed Funds]]</f>
        <v>0</v>
      </c>
      <c r="L229" s="155"/>
      <c r="M229" s="156">
        <v>200000</v>
      </c>
      <c r="N229" s="157">
        <v>0</v>
      </c>
      <c r="O229" s="192">
        <v>200000</v>
      </c>
      <c r="P229" s="153">
        <v>2022</v>
      </c>
      <c r="Q229" s="125" t="s">
        <v>32</v>
      </c>
      <c r="R229" s="153">
        <f t="shared" si="37"/>
        <v>1</v>
      </c>
      <c r="S229" s="153">
        <v>1</v>
      </c>
      <c r="T229" s="153">
        <f t="shared" si="38"/>
        <v>3</v>
      </c>
      <c r="U229" s="154" t="s">
        <v>33</v>
      </c>
      <c r="V229" s="153">
        <f t="shared" si="39"/>
        <v>1</v>
      </c>
      <c r="W229" s="153" t="s">
        <v>30</v>
      </c>
      <c r="X229" s="153">
        <v>0</v>
      </c>
      <c r="Y229" s="153">
        <v>0</v>
      </c>
      <c r="Z229" s="153">
        <v>0</v>
      </c>
      <c r="AA229" s="153">
        <v>0</v>
      </c>
      <c r="AB229" s="153">
        <v>0</v>
      </c>
      <c r="AC229" s="153">
        <v>-7</v>
      </c>
      <c r="AD229" s="153">
        <v>-3</v>
      </c>
      <c r="AE229" s="153"/>
      <c r="AF229" s="154" t="s">
        <v>29</v>
      </c>
      <c r="AG229" s="153">
        <f>VLOOKUP(Master20[[#This Row],[Elevated Priority]],Epriority,2,)</f>
        <v>0</v>
      </c>
      <c r="AH229" s="153">
        <f>IF(Master20[[#This Row],[Status]]="Active",Master20[[#This Row],[Status_Score]],IF(D229="","",R229+H229+T229+V229+AG229+AE229+Master20[[#This Row],[Risk Mitigation]]+Master20[[#This Row],[Master Plan]]+Master20[[#This Row],[Community Request]]+Master20[[#This Row],[Community need]]+Master20[[#This Row],[Offset Aging Inf.]]+Master20[[#This Row],[Energy Savings]]+Master20[[#This Row],[Gen Revenue]]-5))</f>
        <v>990</v>
      </c>
      <c r="AI229" s="114"/>
      <c r="AJ229" s="114"/>
      <c r="AK229" s="114"/>
      <c r="AL229" s="114">
        <v>2022</v>
      </c>
      <c r="AM229" s="114">
        <v>2022</v>
      </c>
      <c r="AN229" s="143" t="s">
        <v>1184</v>
      </c>
    </row>
    <row r="230" spans="1:40" hidden="1" x14ac:dyDescent="0.25">
      <c r="A230" s="103">
        <f t="shared" si="36"/>
        <v>229</v>
      </c>
      <c r="B230" s="153" t="s">
        <v>65</v>
      </c>
      <c r="C230" s="178" t="s">
        <v>646</v>
      </c>
      <c r="D230" s="125" t="s">
        <v>989</v>
      </c>
      <c r="E230" s="125" t="s">
        <v>1006</v>
      </c>
      <c r="F230" s="125" t="s">
        <v>1007</v>
      </c>
      <c r="G230" s="125" t="s">
        <v>816</v>
      </c>
      <c r="H230" s="125">
        <f t="shared" si="34"/>
        <v>1000</v>
      </c>
      <c r="I230" s="155">
        <v>250000</v>
      </c>
      <c r="J230" s="155">
        <v>250000</v>
      </c>
      <c r="K230" s="155">
        <f>Master20[[#This Row],[Initial Budget]]-Master20[[#This Row],[Previously Committed Funds]]</f>
        <v>0</v>
      </c>
      <c r="L230" s="155"/>
      <c r="M230" s="156"/>
      <c r="N230" s="157">
        <f>Master20[[#This Row],[Design $ (Add/Deduct)]]+Master20[[#This Row],[Construction $ (Add/Ded)]]</f>
        <v>0</v>
      </c>
      <c r="O230" s="192">
        <v>250000</v>
      </c>
      <c r="P230" s="153">
        <v>2021</v>
      </c>
      <c r="Q230" s="125" t="s">
        <v>688</v>
      </c>
      <c r="R230" s="153">
        <f t="shared" si="37"/>
        <v>20</v>
      </c>
      <c r="S230" s="153">
        <v>3</v>
      </c>
      <c r="T230" s="153">
        <f t="shared" si="38"/>
        <v>9</v>
      </c>
      <c r="U230" s="154" t="s">
        <v>37</v>
      </c>
      <c r="V230" s="153">
        <f t="shared" si="39"/>
        <v>3</v>
      </c>
      <c r="W230" s="153" t="s">
        <v>34</v>
      </c>
      <c r="X230" s="153">
        <v>0</v>
      </c>
      <c r="Y230" s="153">
        <v>0</v>
      </c>
      <c r="Z230" s="153">
        <v>0</v>
      </c>
      <c r="AA230" s="153">
        <v>0</v>
      </c>
      <c r="AB230" s="153">
        <v>0</v>
      </c>
      <c r="AC230" s="153">
        <v>-9</v>
      </c>
      <c r="AD230" s="153">
        <v>0</v>
      </c>
      <c r="AE230" s="153"/>
      <c r="AF230" s="154" t="s">
        <v>31</v>
      </c>
      <c r="AG230" s="153">
        <f>VLOOKUP(Master20[[#This Row],[Elevated Priority]],Epriority,2,)</f>
        <v>-25</v>
      </c>
      <c r="AH230" s="153">
        <f>IF(Master20[[#This Row],[Status]]="Active",Master20[[#This Row],[Status_Score]],IF(D230="","",R230+H230+T230+V230+AG230+AE230+Master20[[#This Row],[Risk Mitigation]]+Master20[[#This Row],[Master Plan]]+Master20[[#This Row],[Community Request]]+Master20[[#This Row],[Community need]]+Master20[[#This Row],[Offset Aging Inf.]]+Master20[[#This Row],[Energy Savings]]+Master20[[#This Row],[Gen Revenue]]-5))</f>
        <v>993</v>
      </c>
      <c r="AI230" s="114" t="s">
        <v>717</v>
      </c>
      <c r="AJ230" s="114">
        <v>2021</v>
      </c>
      <c r="AK230" s="114">
        <v>2021</v>
      </c>
      <c r="AL230" s="114">
        <v>2021</v>
      </c>
      <c r="AM230" s="114">
        <v>2021</v>
      </c>
      <c r="AN230" s="143" t="s">
        <v>1161</v>
      </c>
    </row>
    <row r="231" spans="1:40" ht="45" hidden="1" x14ac:dyDescent="0.25">
      <c r="A231" s="103">
        <f t="shared" si="36"/>
        <v>230</v>
      </c>
      <c r="B231" s="153" t="s">
        <v>1202</v>
      </c>
      <c r="C231" s="178" t="s">
        <v>72</v>
      </c>
      <c r="D231" s="125" t="s">
        <v>1008</v>
      </c>
      <c r="E231" s="125" t="s">
        <v>1009</v>
      </c>
      <c r="F231" s="125" t="s">
        <v>1010</v>
      </c>
      <c r="G231" s="125" t="s">
        <v>816</v>
      </c>
      <c r="H231" s="125">
        <f t="shared" si="34"/>
        <v>1000</v>
      </c>
      <c r="I231" s="155">
        <v>500000</v>
      </c>
      <c r="J231" s="155">
        <f>282000+2698</f>
        <v>284698</v>
      </c>
      <c r="K231" s="155">
        <f>Master20[[#This Row],[Initial Budget]]-Master20[[#This Row],[Previously Committed Funds]]</f>
        <v>215302</v>
      </c>
      <c r="L231" s="155"/>
      <c r="M231" s="156">
        <v>-115000</v>
      </c>
      <c r="N231" s="157">
        <f>Master20[[#This Row],[Design $ (Add/Deduct)]]+Master20[[#This Row],[Construction $ (Add/Ded)]]</f>
        <v>-115000</v>
      </c>
      <c r="O231" s="192">
        <v>500000</v>
      </c>
      <c r="P231" s="153">
        <v>2021</v>
      </c>
      <c r="Q231" s="125" t="s">
        <v>32</v>
      </c>
      <c r="R231" s="153">
        <f t="shared" si="37"/>
        <v>1</v>
      </c>
      <c r="S231" s="153">
        <v>1</v>
      </c>
      <c r="T231" s="153">
        <f t="shared" si="38"/>
        <v>3</v>
      </c>
      <c r="U231" s="154" t="s">
        <v>33</v>
      </c>
      <c r="V231" s="153">
        <f t="shared" si="39"/>
        <v>1</v>
      </c>
      <c r="W231" s="153" t="s">
        <v>30</v>
      </c>
      <c r="X231" s="153">
        <v>0</v>
      </c>
      <c r="Y231" s="153">
        <v>0</v>
      </c>
      <c r="Z231" s="153">
        <v>-3</v>
      </c>
      <c r="AA231" s="153">
        <v>0</v>
      </c>
      <c r="AB231" s="153">
        <v>0</v>
      </c>
      <c r="AC231" s="153">
        <v>0</v>
      </c>
      <c r="AD231" s="153">
        <v>-3</v>
      </c>
      <c r="AE231" s="153"/>
      <c r="AF231" s="154" t="s">
        <v>29</v>
      </c>
      <c r="AG231" s="153">
        <f>VLOOKUP(Master20[[#This Row],[Elevated Priority]],Epriority,2,)</f>
        <v>0</v>
      </c>
      <c r="AH231" s="153">
        <f>IF(Master20[[#This Row],[Status]]="Active",Master20[[#This Row],[Status_Score]],IF(D231="","",R231+H231+T231+V231+AG231+AE231+Master20[[#This Row],[Risk Mitigation]]+Master20[[#This Row],[Master Plan]]+Master20[[#This Row],[Community Request]]+Master20[[#This Row],[Community need]]+Master20[[#This Row],[Offset Aging Inf.]]+Master20[[#This Row],[Energy Savings]]+Master20[[#This Row],[Gen Revenue]]-5))</f>
        <v>994</v>
      </c>
      <c r="AI231" s="114" t="s">
        <v>754</v>
      </c>
      <c r="AJ231" s="114">
        <v>2020</v>
      </c>
      <c r="AK231" s="114">
        <v>2021</v>
      </c>
      <c r="AL231" s="114">
        <v>2020</v>
      </c>
      <c r="AM231" s="114">
        <v>2021</v>
      </c>
      <c r="AN231" s="143" t="s">
        <v>1149</v>
      </c>
    </row>
    <row r="232" spans="1:40" ht="45" hidden="1" x14ac:dyDescent="0.25">
      <c r="A232" s="103">
        <f t="shared" si="36"/>
        <v>231</v>
      </c>
      <c r="B232" s="153" t="s">
        <v>72</v>
      </c>
      <c r="C232" s="178" t="s">
        <v>1045</v>
      </c>
      <c r="D232" s="125" t="s">
        <v>13</v>
      </c>
      <c r="E232" s="125" t="s">
        <v>845</v>
      </c>
      <c r="F232" s="125" t="s">
        <v>846</v>
      </c>
      <c r="G232" s="125" t="s">
        <v>816</v>
      </c>
      <c r="H232" s="125">
        <f t="shared" si="34"/>
        <v>1000</v>
      </c>
      <c r="I232" s="155">
        <v>2000000</v>
      </c>
      <c r="J232" s="155">
        <v>1392886</v>
      </c>
      <c r="K232" s="155">
        <f>Master20[[#This Row],[Initial Budget]]-Master20[[#This Row],[Previously Committed Funds]]</f>
        <v>607114</v>
      </c>
      <c r="L232" s="155"/>
      <c r="M232" s="156">
        <v>16000000</v>
      </c>
      <c r="N232" s="157">
        <f>Master20[[#This Row],[Design $ (Add/Deduct)]]+Master20[[#This Row],[Construction $ (Add/Ded)]]</f>
        <v>16000000</v>
      </c>
      <c r="O232" s="192">
        <f>Master20[[#This Row],[Total Add]]+Master20[[#This Row],[Current Available Balance]]+Master20[[#This Row],[Previously Committed Funds]]</f>
        <v>18000000</v>
      </c>
      <c r="P232" s="153">
        <v>2018</v>
      </c>
      <c r="Q232" s="125" t="s">
        <v>29</v>
      </c>
      <c r="R232" s="153">
        <f>VLOOKUP(Q232,Importance, 2, FALSE)</f>
        <v>0</v>
      </c>
      <c r="S232" s="153" t="s">
        <v>29</v>
      </c>
      <c r="T232" s="153">
        <f t="shared" si="38"/>
        <v>0</v>
      </c>
      <c r="U232" s="154" t="s">
        <v>29</v>
      </c>
      <c r="V232" s="153">
        <f t="shared" si="39"/>
        <v>0</v>
      </c>
      <c r="W232" s="153" t="s">
        <v>38</v>
      </c>
      <c r="X232" s="153"/>
      <c r="Y232" s="153"/>
      <c r="Z232" s="153"/>
      <c r="AA232" s="153"/>
      <c r="AB232" s="153"/>
      <c r="AC232" s="153"/>
      <c r="AD232" s="153"/>
      <c r="AE232" s="153"/>
      <c r="AF232" s="154" t="s">
        <v>29</v>
      </c>
      <c r="AG232" s="153">
        <f>VLOOKUP(Master20[[#This Row],[Elevated Priority]],Epriority,2,)</f>
        <v>0</v>
      </c>
      <c r="AH232" s="153">
        <f>IF(Master20[[#This Row],[Status]]="Active",Master20[[#This Row],[Status_Score]],IF(D232="","",R232+H232+T232+V232+AG232+AE232+Master20[[#This Row],[Risk Mitigation]]+Master20[[#This Row],[Master Plan]]+Master20[[#This Row],[Community Request]]+Master20[[#This Row],[Community need]]+Master20[[#This Row],[Offset Aging Inf.]]+Master20[[#This Row],[Energy Savings]]+Master20[[#This Row],[Gen Revenue]]-5))</f>
        <v>995</v>
      </c>
      <c r="AI232" s="153" t="s">
        <v>757</v>
      </c>
      <c r="AJ232" s="153">
        <v>2017</v>
      </c>
      <c r="AK232" s="153">
        <v>2020</v>
      </c>
      <c r="AL232" s="153">
        <v>2017</v>
      </c>
      <c r="AM232" s="153">
        <v>2020</v>
      </c>
      <c r="AN232" s="143" t="s">
        <v>157</v>
      </c>
    </row>
    <row r="233" spans="1:40" ht="75" hidden="1" x14ac:dyDescent="0.25">
      <c r="A233" s="103">
        <f t="shared" si="36"/>
        <v>232</v>
      </c>
      <c r="B233" s="153" t="s">
        <v>65</v>
      </c>
      <c r="C233" s="178" t="s">
        <v>1045</v>
      </c>
      <c r="D233" s="125" t="s">
        <v>733</v>
      </c>
      <c r="E233" s="125" t="s">
        <v>709</v>
      </c>
      <c r="F233" s="125" t="s">
        <v>735</v>
      </c>
      <c r="G233" s="125" t="s">
        <v>816</v>
      </c>
      <c r="H233" s="125">
        <f t="shared" si="34"/>
        <v>1000</v>
      </c>
      <c r="I233" s="155">
        <v>1319975</v>
      </c>
      <c r="J233" s="155">
        <v>230202.8</v>
      </c>
      <c r="K233" s="155">
        <f>Master20[[#This Row],[Initial Budget]]-Master20[[#This Row],[Previously Committed Funds]]</f>
        <v>1089772.2</v>
      </c>
      <c r="L233" s="155">
        <v>89000</v>
      </c>
      <c r="M233" s="156">
        <f>2425000-Master20[[#This Row],[Design $ (Add/Deduct)]]-Master20[[#This Row],[Current Available Balance]]-Master20[[#This Row],[Previously Committed Funds]]</f>
        <v>1016025</v>
      </c>
      <c r="N233" s="157">
        <f>Master20[[#This Row],[Design $ (Add/Deduct)]]+Master20[[#This Row],[Construction $ (Add/Ded)]]</f>
        <v>1105025</v>
      </c>
      <c r="O233" s="192">
        <f>Master20[[#This Row],[Total Add]]+Master20[[#This Row],[Current Available Balance]]+Master20[[#This Row],[Previously Committed Funds]]</f>
        <v>2425000</v>
      </c>
      <c r="P233" s="153">
        <v>2018</v>
      </c>
      <c r="Q233" s="125" t="s">
        <v>29</v>
      </c>
      <c r="R233" s="153">
        <f>VLOOKUP(Q233,Importance, 2, FALSE)</f>
        <v>0</v>
      </c>
      <c r="S233" s="153" t="s">
        <v>29</v>
      </c>
      <c r="T233" s="153">
        <f t="shared" si="38"/>
        <v>0</v>
      </c>
      <c r="U233" s="154" t="s">
        <v>29</v>
      </c>
      <c r="V233" s="153">
        <f t="shared" si="39"/>
        <v>0</v>
      </c>
      <c r="W233" s="153" t="s">
        <v>38</v>
      </c>
      <c r="X233" s="153"/>
      <c r="Y233" s="153"/>
      <c r="Z233" s="153"/>
      <c r="AA233" s="153"/>
      <c r="AB233" s="153"/>
      <c r="AC233" s="153"/>
      <c r="AD233" s="153"/>
      <c r="AE233" s="153"/>
      <c r="AF233" s="154" t="s">
        <v>29</v>
      </c>
      <c r="AG233" s="153">
        <f>VLOOKUP(Master20[[#This Row],[Elevated Priority]],Epriority,2,)</f>
        <v>0</v>
      </c>
      <c r="AH233" s="153">
        <f>IF(Master20[[#This Row],[Status]]="Active",Master20[[#This Row],[Status_Score]],IF(D233="","",R233+H233+T233+V233+AG233+AE233+Master20[[#This Row],[Risk Mitigation]]+Master20[[#This Row],[Master Plan]]+Master20[[#This Row],[Community Request]]+Master20[[#This Row],[Community need]]+Master20[[#This Row],[Offset Aging Inf.]]+Master20[[#This Row],[Energy Savings]]+Master20[[#This Row],[Gen Revenue]]-5))</f>
        <v>995</v>
      </c>
      <c r="AI233" s="154" t="s">
        <v>715</v>
      </c>
      <c r="AJ233" s="154">
        <v>2017</v>
      </c>
      <c r="AK233" s="154">
        <v>2020</v>
      </c>
      <c r="AL233" s="154">
        <v>2017</v>
      </c>
      <c r="AM233" s="154">
        <v>2020</v>
      </c>
      <c r="AN233" s="143" t="s">
        <v>740</v>
      </c>
    </row>
    <row r="234" spans="1:40" ht="30" hidden="1" x14ac:dyDescent="0.25">
      <c r="A234" s="103">
        <f t="shared" si="36"/>
        <v>233</v>
      </c>
      <c r="B234" s="153" t="s">
        <v>732</v>
      </c>
      <c r="C234" s="178" t="s">
        <v>1045</v>
      </c>
      <c r="D234" s="125" t="s">
        <v>733</v>
      </c>
      <c r="E234" s="125" t="s">
        <v>709</v>
      </c>
      <c r="F234" s="125" t="s">
        <v>735</v>
      </c>
      <c r="G234" s="125" t="s">
        <v>816</v>
      </c>
      <c r="H234" s="125">
        <f t="shared" si="34"/>
        <v>1000</v>
      </c>
      <c r="I234" s="155">
        <v>342669</v>
      </c>
      <c r="J234" s="155">
        <v>11710</v>
      </c>
      <c r="K234" s="155">
        <f>Master20[[#This Row],[Initial Budget]]-Master20[[#This Row],[Previously Committed Funds]]</f>
        <v>330959</v>
      </c>
      <c r="L234" s="155">
        <v>0</v>
      </c>
      <c r="M234" s="156">
        <f>175000-Master20[[#This Row],[Current Available Balance]]-Master20[[#This Row],[Previously Committed Funds]]</f>
        <v>-167669</v>
      </c>
      <c r="N234" s="157">
        <f>Master20[[#This Row],[Design $ (Add/Deduct)]]+Master20[[#This Row],[Construction $ (Add/Ded)]]</f>
        <v>-167669</v>
      </c>
      <c r="O234" s="192">
        <f>Master20[[#This Row],[Total Add]]+Master20[[#This Row],[Current Available Balance]]+Master20[[#This Row],[Previously Committed Funds]]</f>
        <v>175000</v>
      </c>
      <c r="P234" s="153">
        <v>2017</v>
      </c>
      <c r="Q234" s="125" t="s">
        <v>29</v>
      </c>
      <c r="R234" s="153"/>
      <c r="S234" s="153">
        <v>1</v>
      </c>
      <c r="T234" s="153"/>
      <c r="U234" s="154" t="s">
        <v>37</v>
      </c>
      <c r="V234" s="153"/>
      <c r="W234" s="153" t="s">
        <v>38</v>
      </c>
      <c r="X234" s="153"/>
      <c r="Y234" s="153"/>
      <c r="Z234" s="153"/>
      <c r="AA234" s="153"/>
      <c r="AB234" s="153"/>
      <c r="AC234" s="153"/>
      <c r="AD234" s="153"/>
      <c r="AE234" s="153"/>
      <c r="AF234" s="154" t="s">
        <v>29</v>
      </c>
      <c r="AG234" s="153">
        <f>VLOOKUP(Master20[[#This Row],[Elevated Priority]],Epriority,2,)</f>
        <v>0</v>
      </c>
      <c r="AH234" s="153">
        <f>IF(Master20[[#This Row],[Status]]="Active",Master20[[#This Row],[Status_Score]],IF(D234="","",R234+H234+T234+V234+AG234+AE234+Master20[[#This Row],[Risk Mitigation]]+Master20[[#This Row],[Master Plan]]+Master20[[#This Row],[Community Request]]+Master20[[#This Row],[Community need]]+Master20[[#This Row],[Offset Aging Inf.]]+Master20[[#This Row],[Energy Savings]]+Master20[[#This Row],[Gen Revenue]]-5))</f>
        <v>995</v>
      </c>
      <c r="AI234" s="154" t="s">
        <v>715</v>
      </c>
      <c r="AJ234" s="154">
        <v>2017</v>
      </c>
      <c r="AK234" s="154">
        <v>2020</v>
      </c>
      <c r="AL234" s="154">
        <v>2017</v>
      </c>
      <c r="AM234" s="154">
        <v>2020</v>
      </c>
      <c r="AN234" s="143"/>
    </row>
    <row r="235" spans="1:40" ht="30" hidden="1" x14ac:dyDescent="0.25">
      <c r="A235" s="103">
        <f t="shared" si="36"/>
        <v>234</v>
      </c>
      <c r="B235" s="153" t="s">
        <v>65</v>
      </c>
      <c r="C235" s="178" t="s">
        <v>1045</v>
      </c>
      <c r="D235" s="125" t="s">
        <v>734</v>
      </c>
      <c r="E235" s="125" t="s">
        <v>709</v>
      </c>
      <c r="F235" s="125" t="s">
        <v>868</v>
      </c>
      <c r="G235" s="125" t="s">
        <v>816</v>
      </c>
      <c r="H235" s="125">
        <f t="shared" si="34"/>
        <v>1000</v>
      </c>
      <c r="I235" s="155">
        <v>0</v>
      </c>
      <c r="J235" s="155">
        <v>0</v>
      </c>
      <c r="K235" s="155">
        <f>Master20[[#This Row],[Initial Budget]]-Master20[[#This Row],[Previously Committed Funds]]</f>
        <v>0</v>
      </c>
      <c r="L235" s="155">
        <v>9000</v>
      </c>
      <c r="M235" s="156">
        <v>218000</v>
      </c>
      <c r="N235" s="157">
        <f>Master20[[#This Row],[Design $ (Add/Deduct)]]+Master20[[#This Row],[Construction $ (Add/Ded)]]</f>
        <v>227000</v>
      </c>
      <c r="O235" s="192">
        <f>Master20[[#This Row],[Total Add]]+Master20[[#This Row],[Current Available Balance]]+Master20[[#This Row],[Previously Committed Funds]]</f>
        <v>227000</v>
      </c>
      <c r="P235" s="153">
        <v>2017</v>
      </c>
      <c r="Q235" s="125" t="s">
        <v>29</v>
      </c>
      <c r="R235" s="153"/>
      <c r="S235" s="153">
        <v>1</v>
      </c>
      <c r="T235" s="153"/>
      <c r="U235" s="154" t="s">
        <v>37</v>
      </c>
      <c r="V235" s="153"/>
      <c r="W235" s="153" t="s">
        <v>38</v>
      </c>
      <c r="X235" s="153"/>
      <c r="Y235" s="153"/>
      <c r="Z235" s="153"/>
      <c r="AA235" s="153"/>
      <c r="AB235" s="153"/>
      <c r="AC235" s="153"/>
      <c r="AD235" s="153"/>
      <c r="AE235" s="153"/>
      <c r="AF235" s="154" t="s">
        <v>29</v>
      </c>
      <c r="AG235" s="153">
        <f>VLOOKUP(Master20[[#This Row],[Elevated Priority]],Epriority,2,)</f>
        <v>0</v>
      </c>
      <c r="AH235" s="153">
        <f>IF(Master20[[#This Row],[Status]]="Active",Master20[[#This Row],[Status_Score]],IF(D235="","",R235+H235+T235+V235+AG235+AE235+Master20[[#This Row],[Risk Mitigation]]+Master20[[#This Row],[Master Plan]]+Master20[[#This Row],[Community Request]]+Master20[[#This Row],[Community need]]+Master20[[#This Row],[Offset Aging Inf.]]+Master20[[#This Row],[Energy Savings]]+Master20[[#This Row],[Gen Revenue]]-5))</f>
        <v>995</v>
      </c>
      <c r="AI235" s="154" t="s">
        <v>715</v>
      </c>
      <c r="AJ235" s="154">
        <v>2017</v>
      </c>
      <c r="AK235" s="154">
        <v>2020</v>
      </c>
      <c r="AL235" s="154">
        <v>2017</v>
      </c>
      <c r="AM235" s="154">
        <v>2020</v>
      </c>
      <c r="AN235" s="143"/>
    </row>
    <row r="236" spans="1:40" ht="30" hidden="1" x14ac:dyDescent="0.25">
      <c r="A236" s="103">
        <f t="shared" si="36"/>
        <v>235</v>
      </c>
      <c r="B236" s="153" t="s">
        <v>65</v>
      </c>
      <c r="C236" s="178" t="s">
        <v>1045</v>
      </c>
      <c r="D236" s="125" t="s">
        <v>869</v>
      </c>
      <c r="E236" s="125" t="s">
        <v>709</v>
      </c>
      <c r="F236" s="125" t="s">
        <v>870</v>
      </c>
      <c r="G236" s="125" t="s">
        <v>816</v>
      </c>
      <c r="H236" s="125">
        <f t="shared" si="34"/>
        <v>1000</v>
      </c>
      <c r="I236" s="155">
        <v>450000</v>
      </c>
      <c r="J236" s="155">
        <v>101407.72</v>
      </c>
      <c r="K236" s="155">
        <f>Master20[[#This Row],[Initial Budget]]-Master20[[#This Row],[Previously Committed Funds]]</f>
        <v>348592.28</v>
      </c>
      <c r="L236" s="155">
        <v>21160</v>
      </c>
      <c r="M236" s="156">
        <f>635435-Master20[[#This Row],[Design $ (Add/Deduct)]]-Master20[[#This Row],[Current Available Balance]]-Master20[[#This Row],[Previously Committed Funds]]</f>
        <v>164274.99999999997</v>
      </c>
      <c r="N236" s="157">
        <f>Master20[[#This Row],[Design $ (Add/Deduct)]]+Master20[[#This Row],[Construction $ (Add/Ded)]]</f>
        <v>185434.99999999997</v>
      </c>
      <c r="O236" s="192">
        <f>Master20[[#This Row],[Total Add]]+Master20[[#This Row],[Current Available Balance]]+Master20[[#This Row],[Previously Committed Funds]]</f>
        <v>635435</v>
      </c>
      <c r="P236" s="153">
        <v>2017</v>
      </c>
      <c r="Q236" s="125" t="s">
        <v>29</v>
      </c>
      <c r="R236" s="153"/>
      <c r="S236" s="153">
        <v>1</v>
      </c>
      <c r="T236" s="153"/>
      <c r="U236" s="154" t="s">
        <v>37</v>
      </c>
      <c r="V236" s="153"/>
      <c r="W236" s="153" t="s">
        <v>38</v>
      </c>
      <c r="X236" s="153"/>
      <c r="Y236" s="153"/>
      <c r="Z236" s="153"/>
      <c r="AA236" s="153"/>
      <c r="AB236" s="153"/>
      <c r="AC236" s="153"/>
      <c r="AD236" s="153"/>
      <c r="AE236" s="153"/>
      <c r="AF236" s="154" t="s">
        <v>29</v>
      </c>
      <c r="AG236" s="153">
        <f>VLOOKUP(Master20[[#This Row],[Elevated Priority]],Epriority,2,)</f>
        <v>0</v>
      </c>
      <c r="AH236" s="153">
        <f>IF(Master20[[#This Row],[Status]]="Active",Master20[[#This Row],[Status_Score]],IF(D236="","",R236+H236+T236+V236+AG236+AE236+Master20[[#This Row],[Risk Mitigation]]+Master20[[#This Row],[Master Plan]]+Master20[[#This Row],[Community Request]]+Master20[[#This Row],[Community need]]+Master20[[#This Row],[Offset Aging Inf.]]+Master20[[#This Row],[Energy Savings]]+Master20[[#This Row],[Gen Revenue]]-5))</f>
        <v>995</v>
      </c>
      <c r="AI236" s="154" t="s">
        <v>715</v>
      </c>
      <c r="AJ236" s="154">
        <v>2017</v>
      </c>
      <c r="AK236" s="154">
        <v>2020</v>
      </c>
      <c r="AL236" s="154">
        <v>2017</v>
      </c>
      <c r="AM236" s="154">
        <v>2020</v>
      </c>
      <c r="AN236" s="143"/>
    </row>
    <row r="237" spans="1:40" ht="60" hidden="1" x14ac:dyDescent="0.25">
      <c r="A237" s="103">
        <f t="shared" si="36"/>
        <v>236</v>
      </c>
      <c r="B237" s="153" t="s">
        <v>1195</v>
      </c>
      <c r="C237" s="178" t="s">
        <v>1045</v>
      </c>
      <c r="D237" s="125" t="s">
        <v>742</v>
      </c>
      <c r="E237" s="125" t="s">
        <v>847</v>
      </c>
      <c r="F237" s="125" t="s">
        <v>848</v>
      </c>
      <c r="G237" s="125" t="s">
        <v>816</v>
      </c>
      <c r="H237" s="125">
        <f t="shared" si="34"/>
        <v>1000</v>
      </c>
      <c r="I237" s="155">
        <v>350000</v>
      </c>
      <c r="J237" s="155">
        <v>287550</v>
      </c>
      <c r="K237" s="155">
        <f>Master20[[#This Row],[Initial Budget]]-Master20[[#This Row],[Previously Committed Funds]]</f>
        <v>62450</v>
      </c>
      <c r="L237" s="155">
        <v>30000</v>
      </c>
      <c r="M237" s="156">
        <v>2200000</v>
      </c>
      <c r="N237" s="157">
        <f>Master20[[#This Row],[Design $ (Add/Deduct)]]+Master20[[#This Row],[Construction $ (Add/Ded)]]</f>
        <v>2230000</v>
      </c>
      <c r="O237" s="192">
        <f>Master20[[#This Row],[Total Add]]+Master20[[#This Row],[Current Available Balance]]+Master20[[#This Row],[Previously Committed Funds]]</f>
        <v>2580000</v>
      </c>
      <c r="P237" s="153">
        <v>2018</v>
      </c>
      <c r="Q237" s="125" t="s">
        <v>29</v>
      </c>
      <c r="R237" s="153">
        <f>VLOOKUP(Q237,Importance, 2, FALSE)</f>
        <v>0</v>
      </c>
      <c r="S237" s="153" t="s">
        <v>29</v>
      </c>
      <c r="T237" s="153">
        <f t="shared" ref="T237:T268" si="40">VLOOKUP(S237,Department,2,FALSE)</f>
        <v>0</v>
      </c>
      <c r="U237" s="154" t="s">
        <v>29</v>
      </c>
      <c r="V237" s="153">
        <f>VLOOKUP(U237,Urgency,2,FALSE)</f>
        <v>0</v>
      </c>
      <c r="W237" s="153" t="s">
        <v>38</v>
      </c>
      <c r="X237" s="153"/>
      <c r="Y237" s="153"/>
      <c r="Z237" s="153"/>
      <c r="AA237" s="153"/>
      <c r="AB237" s="153"/>
      <c r="AC237" s="153"/>
      <c r="AD237" s="153"/>
      <c r="AE237" s="153"/>
      <c r="AF237" s="154" t="s">
        <v>29</v>
      </c>
      <c r="AG237" s="153">
        <f>VLOOKUP(Master20[[#This Row],[Elevated Priority]],Epriority,2,)</f>
        <v>0</v>
      </c>
      <c r="AH237" s="153">
        <f>IF(Master20[[#This Row],[Status]]="Active",Master20[[#This Row],[Status_Score]],IF(D237="","",R237+H237+T237+V237+AG237+AE237+Master20[[#This Row],[Risk Mitigation]]+Master20[[#This Row],[Master Plan]]+Master20[[#This Row],[Community Request]]+Master20[[#This Row],[Community need]]+Master20[[#This Row],[Offset Aging Inf.]]+Master20[[#This Row],[Energy Savings]]+Master20[[#This Row],[Gen Revenue]]-5))</f>
        <v>995</v>
      </c>
      <c r="AI237" s="153" t="s">
        <v>757</v>
      </c>
      <c r="AJ237" s="153">
        <v>2018</v>
      </c>
      <c r="AK237" s="153">
        <v>2020</v>
      </c>
      <c r="AL237" s="153">
        <v>2018</v>
      </c>
      <c r="AM237" s="153">
        <v>2020</v>
      </c>
      <c r="AN237" s="143"/>
    </row>
    <row r="238" spans="1:40" ht="75" hidden="1" x14ac:dyDescent="0.25">
      <c r="A238" s="103">
        <f t="shared" si="36"/>
        <v>237</v>
      </c>
      <c r="B238" s="153" t="s">
        <v>1195</v>
      </c>
      <c r="C238" s="178" t="s">
        <v>1045</v>
      </c>
      <c r="D238" s="125" t="s">
        <v>743</v>
      </c>
      <c r="E238" s="125" t="s">
        <v>849</v>
      </c>
      <c r="F238" s="125" t="s">
        <v>850</v>
      </c>
      <c r="G238" s="125" t="s">
        <v>816</v>
      </c>
      <c r="H238" s="125">
        <f t="shared" si="34"/>
        <v>1000</v>
      </c>
      <c r="I238" s="155">
        <v>0</v>
      </c>
      <c r="J238" s="155">
        <v>0</v>
      </c>
      <c r="K238" s="155">
        <f>Master20[[#This Row],[Initial Budget]]-Master20[[#This Row],[Previously Committed Funds]]</f>
        <v>0</v>
      </c>
      <c r="L238" s="155">
        <v>280000</v>
      </c>
      <c r="M238" s="156">
        <v>5000000</v>
      </c>
      <c r="N238" s="157">
        <f>Master20[[#This Row],[Design $ (Add/Deduct)]]+Master20[[#This Row],[Construction $ (Add/Ded)]]</f>
        <v>5280000</v>
      </c>
      <c r="O238" s="192">
        <f>Master20[[#This Row],[Total Add]]+Master20[[#This Row],[Current Available Balance]]+Master20[[#This Row],[Previously Committed Funds]]</f>
        <v>5280000</v>
      </c>
      <c r="P238" s="153">
        <v>2018</v>
      </c>
      <c r="Q238" s="125" t="s">
        <v>29</v>
      </c>
      <c r="R238" s="153">
        <f>VLOOKUP(Q238,Importance, 2, FALSE)</f>
        <v>0</v>
      </c>
      <c r="S238" s="153" t="s">
        <v>29</v>
      </c>
      <c r="T238" s="153">
        <f t="shared" si="40"/>
        <v>0</v>
      </c>
      <c r="U238" s="154" t="s">
        <v>29</v>
      </c>
      <c r="V238" s="153">
        <f>VLOOKUP(U238,Urgency,2,FALSE)</f>
        <v>0</v>
      </c>
      <c r="W238" s="153" t="s">
        <v>38</v>
      </c>
      <c r="X238" s="153"/>
      <c r="Y238" s="153"/>
      <c r="Z238" s="153"/>
      <c r="AA238" s="153"/>
      <c r="AB238" s="153"/>
      <c r="AC238" s="153"/>
      <c r="AD238" s="153"/>
      <c r="AE238" s="153"/>
      <c r="AF238" s="154" t="s">
        <v>29</v>
      </c>
      <c r="AG238" s="153">
        <f>VLOOKUP(Master20[[#This Row],[Elevated Priority]],Epriority,2,)</f>
        <v>0</v>
      </c>
      <c r="AH238" s="153">
        <f>IF(Master20[[#This Row],[Status]]="Active",Master20[[#This Row],[Status_Score]],IF(D238="","",R238+H238+T238+V238+AG238+AE238+Master20[[#This Row],[Risk Mitigation]]+Master20[[#This Row],[Master Plan]]+Master20[[#This Row],[Community Request]]+Master20[[#This Row],[Community need]]+Master20[[#This Row],[Offset Aging Inf.]]+Master20[[#This Row],[Energy Savings]]+Master20[[#This Row],[Gen Revenue]]-5))</f>
        <v>995</v>
      </c>
      <c r="AI238" s="153" t="s">
        <v>757</v>
      </c>
      <c r="AJ238" s="153">
        <v>2018</v>
      </c>
      <c r="AK238" s="153">
        <v>2020</v>
      </c>
      <c r="AL238" s="153">
        <v>2018</v>
      </c>
      <c r="AM238" s="153">
        <v>2020</v>
      </c>
      <c r="AN238" s="111"/>
    </row>
    <row r="239" spans="1:40" ht="30" hidden="1" x14ac:dyDescent="0.25">
      <c r="A239" s="103">
        <f t="shared" si="36"/>
        <v>238</v>
      </c>
      <c r="B239" s="153" t="s">
        <v>1204</v>
      </c>
      <c r="C239" s="178" t="s">
        <v>143</v>
      </c>
      <c r="D239" s="125" t="s">
        <v>931</v>
      </c>
      <c r="E239" s="125" t="s">
        <v>1040</v>
      </c>
      <c r="F239" s="125" t="s">
        <v>1022</v>
      </c>
      <c r="G239" s="125" t="s">
        <v>816</v>
      </c>
      <c r="H239" s="125">
        <f t="shared" si="34"/>
        <v>1000</v>
      </c>
      <c r="I239" s="155"/>
      <c r="J239" s="155"/>
      <c r="K239" s="155">
        <f>Master20[[#This Row],[Initial Budget]]-Master20[[#This Row],[Previously Committed Funds]]</f>
        <v>0</v>
      </c>
      <c r="L239" s="155"/>
      <c r="M239" s="156"/>
      <c r="N239" s="157">
        <f>Master20[[#This Row],[Design $ (Add/Deduct)]]+Master20[[#This Row],[Construction $ (Add/Ded)]]</f>
        <v>0</v>
      </c>
      <c r="O239" s="192">
        <v>1100000</v>
      </c>
      <c r="P239" s="153">
        <v>2019</v>
      </c>
      <c r="Q239" s="125" t="s">
        <v>46</v>
      </c>
      <c r="R239" s="153">
        <f t="shared" ref="R239:R248" si="41">VLOOKUP(Q239,Importance,2,FALSE)</f>
        <v>50</v>
      </c>
      <c r="S239" s="153" t="s">
        <v>29</v>
      </c>
      <c r="T239" s="153">
        <f t="shared" si="40"/>
        <v>0</v>
      </c>
      <c r="U239" s="154" t="s">
        <v>37</v>
      </c>
      <c r="V239" s="153">
        <f>VLOOKUP(U239,Urgency,2,FALSE)</f>
        <v>3</v>
      </c>
      <c r="W239" s="153" t="s">
        <v>34</v>
      </c>
      <c r="X239" s="153">
        <v>0</v>
      </c>
      <c r="Y239" s="153">
        <v>0</v>
      </c>
      <c r="Z239" s="153">
        <v>0</v>
      </c>
      <c r="AA239" s="153">
        <v>0</v>
      </c>
      <c r="AB239" s="153">
        <v>0</v>
      </c>
      <c r="AC239" s="153">
        <v>0</v>
      </c>
      <c r="AD239" s="153">
        <v>0</v>
      </c>
      <c r="AE239" s="153"/>
      <c r="AF239" s="154" t="s">
        <v>35</v>
      </c>
      <c r="AG239" s="153">
        <f>VLOOKUP(Master20[[#This Row],[Elevated Priority]],Epriority,2,)</f>
        <v>-50</v>
      </c>
      <c r="AH239" s="153">
        <f>IF(Master20[[#This Row],[Status]]="Active",Master20[[#This Row],[Status_Score]],IF(D239="","",R239+H239+T239+V239+AG239+AE239+Master20[[#This Row],[Risk Mitigation]]+Master20[[#This Row],[Master Plan]]+Master20[[#This Row],[Community Request]]+Master20[[#This Row],[Community need]]+Master20[[#This Row],[Offset Aging Inf.]]+Master20[[#This Row],[Energy Savings]]+Master20[[#This Row],[Gen Revenue]]-5))</f>
        <v>998</v>
      </c>
      <c r="AI239" s="114" t="s">
        <v>757</v>
      </c>
      <c r="AJ239" s="114">
        <v>2020</v>
      </c>
      <c r="AK239" s="114">
        <v>2021</v>
      </c>
      <c r="AL239" s="114">
        <v>2020</v>
      </c>
      <c r="AM239" s="114">
        <v>2022</v>
      </c>
      <c r="AN239" s="143" t="s">
        <v>1167</v>
      </c>
    </row>
    <row r="240" spans="1:40" ht="46.5" hidden="1" customHeight="1" x14ac:dyDescent="0.25">
      <c r="A240" s="103">
        <f t="shared" si="36"/>
        <v>239</v>
      </c>
      <c r="B240" s="153" t="s">
        <v>70</v>
      </c>
      <c r="C240" s="178" t="s">
        <v>1045</v>
      </c>
      <c r="D240" s="125" t="s">
        <v>691</v>
      </c>
      <c r="E240" s="125" t="s">
        <v>697</v>
      </c>
      <c r="F240" s="125" t="s">
        <v>855</v>
      </c>
      <c r="G240" s="125" t="s">
        <v>816</v>
      </c>
      <c r="H240" s="125">
        <f t="shared" si="34"/>
        <v>1000</v>
      </c>
      <c r="I240" s="155"/>
      <c r="J240" s="155"/>
      <c r="K240" s="155">
        <f>Master20[[#This Row],[Initial Budget]]-Master20[[#This Row],[Previously Committed Funds]]</f>
        <v>0</v>
      </c>
      <c r="L240" s="155"/>
      <c r="M240" s="156"/>
      <c r="N240" s="157">
        <f>Master20[[#This Row],[Design $ (Add/Deduct)]]+Master20[[#This Row],[Construction $ (Add/Ded)]]</f>
        <v>0</v>
      </c>
      <c r="O240" s="192">
        <v>12000000</v>
      </c>
      <c r="P240" s="153">
        <v>2019</v>
      </c>
      <c r="Q240" s="125" t="s">
        <v>46</v>
      </c>
      <c r="R240" s="153">
        <f t="shared" si="41"/>
        <v>50</v>
      </c>
      <c r="S240" s="153">
        <v>1</v>
      </c>
      <c r="T240" s="153">
        <f t="shared" si="40"/>
        <v>3</v>
      </c>
      <c r="U240" s="154" t="s">
        <v>41</v>
      </c>
      <c r="V240" s="153"/>
      <c r="W240" s="153" t="s">
        <v>34</v>
      </c>
      <c r="X240" s="153">
        <v>0</v>
      </c>
      <c r="Y240" s="153">
        <v>0</v>
      </c>
      <c r="Z240" s="153">
        <v>0</v>
      </c>
      <c r="AA240" s="153">
        <v>0</v>
      </c>
      <c r="AB240" s="153">
        <v>0</v>
      </c>
      <c r="AC240" s="153">
        <v>0</v>
      </c>
      <c r="AD240" s="153">
        <v>0</v>
      </c>
      <c r="AE240" s="153"/>
      <c r="AF240" s="154" t="s">
        <v>35</v>
      </c>
      <c r="AG240" s="153">
        <f>VLOOKUP(Master20[[#This Row],[Elevated Priority]],Epriority,2,)</f>
        <v>-50</v>
      </c>
      <c r="AH240" s="153">
        <f>IF(Master20[[#This Row],[Status]]="Active",Master20[[#This Row],[Status_Score]],IF(D240="","",R240+H240+T240+V240+AG240+AE240+Master20[[#This Row],[Risk Mitigation]]+Master20[[#This Row],[Master Plan]]+Master20[[#This Row],[Community Request]]+Master20[[#This Row],[Community need]]+Master20[[#This Row],[Offset Aging Inf.]]+Master20[[#This Row],[Energy Savings]]+Master20[[#This Row],[Gen Revenue]]-5))</f>
        <v>998</v>
      </c>
      <c r="AI240" s="153" t="s">
        <v>715</v>
      </c>
      <c r="AJ240" s="153">
        <v>2019</v>
      </c>
      <c r="AK240" s="153">
        <v>2020</v>
      </c>
      <c r="AL240" s="153">
        <v>2019</v>
      </c>
      <c r="AM240" s="153">
        <v>2020</v>
      </c>
      <c r="AN240" s="143"/>
    </row>
    <row r="241" spans="1:41" ht="30" hidden="1" x14ac:dyDescent="0.25">
      <c r="A241" s="103">
        <f t="shared" si="36"/>
        <v>240</v>
      </c>
      <c r="B241" s="153" t="s">
        <v>1111</v>
      </c>
      <c r="C241" s="178" t="s">
        <v>1045</v>
      </c>
      <c r="D241" s="125" t="s">
        <v>1139</v>
      </c>
      <c r="E241" s="125" t="s">
        <v>1140</v>
      </c>
      <c r="F241" s="125"/>
      <c r="G241" s="125" t="s">
        <v>816</v>
      </c>
      <c r="H241" s="125">
        <f t="shared" si="34"/>
        <v>1000</v>
      </c>
      <c r="I241" s="155"/>
      <c r="J241" s="155"/>
      <c r="K241" s="155">
        <f>Master20[[#This Row],[Initial Budget]]-Master20[[#This Row],[Previously Committed Funds]]</f>
        <v>0</v>
      </c>
      <c r="L241" s="155">
        <v>17000</v>
      </c>
      <c r="M241" s="156">
        <v>35000</v>
      </c>
      <c r="N241" s="157">
        <v>0</v>
      </c>
      <c r="O241" s="192">
        <v>20000</v>
      </c>
      <c r="P241" s="153">
        <v>2021</v>
      </c>
      <c r="Q241" s="125" t="s">
        <v>46</v>
      </c>
      <c r="R241" s="153">
        <f t="shared" si="41"/>
        <v>50</v>
      </c>
      <c r="S241" s="153">
        <v>1</v>
      </c>
      <c r="T241" s="153">
        <f t="shared" si="40"/>
        <v>3</v>
      </c>
      <c r="U241" s="154" t="s">
        <v>37</v>
      </c>
      <c r="V241" s="153">
        <f t="shared" ref="V241:V272" si="42">VLOOKUP(U241,Urgency,2,FALSE)</f>
        <v>3</v>
      </c>
      <c r="W241" s="153" t="s">
        <v>34</v>
      </c>
      <c r="X241" s="153">
        <v>0</v>
      </c>
      <c r="Y241" s="153">
        <v>0</v>
      </c>
      <c r="Z241" s="153">
        <v>0</v>
      </c>
      <c r="AA241" s="153">
        <v>0</v>
      </c>
      <c r="AB241" s="153">
        <v>-2</v>
      </c>
      <c r="AC241" s="153">
        <v>0</v>
      </c>
      <c r="AD241" s="153">
        <v>0</v>
      </c>
      <c r="AE241" s="153"/>
      <c r="AF241" s="154" t="s">
        <v>35</v>
      </c>
      <c r="AG241" s="153">
        <f>VLOOKUP(Master20[[#This Row],[Elevated Priority]],Epriority,2,)</f>
        <v>-50</v>
      </c>
      <c r="AH241" s="153">
        <f>IF(Master20[[#This Row],[Status]]="Active",Master20[[#This Row],[Status_Score]],IF(D241="","",R241+H241+T241+V241+AG241+AE241+Master20[[#This Row],[Risk Mitigation]]+Master20[[#This Row],[Master Plan]]+Master20[[#This Row],[Community Request]]+Master20[[#This Row],[Community need]]+Master20[[#This Row],[Offset Aging Inf.]]+Master20[[#This Row],[Energy Savings]]+Master20[[#This Row],[Gen Revenue]]-5))</f>
        <v>999</v>
      </c>
      <c r="AI241" s="114"/>
      <c r="AJ241" s="114"/>
      <c r="AK241" s="114"/>
      <c r="AL241" s="114"/>
      <c r="AM241" s="114"/>
      <c r="AN241" s="143" t="s">
        <v>1177</v>
      </c>
    </row>
    <row r="242" spans="1:41" ht="30" hidden="1" x14ac:dyDescent="0.25">
      <c r="A242" s="103">
        <f t="shared" si="36"/>
        <v>241</v>
      </c>
      <c r="B242" s="153" t="s">
        <v>646</v>
      </c>
      <c r="C242" s="178" t="s">
        <v>1045</v>
      </c>
      <c r="D242" s="125" t="s">
        <v>956</v>
      </c>
      <c r="E242" s="125" t="s">
        <v>957</v>
      </c>
      <c r="F242" s="125" t="s">
        <v>958</v>
      </c>
      <c r="G242" s="125" t="s">
        <v>816</v>
      </c>
      <c r="H242" s="125">
        <f t="shared" si="34"/>
        <v>1000</v>
      </c>
      <c r="I242" s="155">
        <v>78500</v>
      </c>
      <c r="J242" s="155"/>
      <c r="K242" s="155">
        <f>Master20[[#This Row],[Initial Budget]]-Master20[[#This Row],[Previously Committed Funds]]</f>
        <v>78500</v>
      </c>
      <c r="L242" s="155">
        <v>0</v>
      </c>
      <c r="M242" s="156">
        <v>0</v>
      </c>
      <c r="N242" s="157">
        <f>Master20[[#This Row],[Design $ (Add/Deduct)]]+Master20[[#This Row],[Construction $ (Add/Ded)]]</f>
        <v>0</v>
      </c>
      <c r="O242" s="192">
        <v>80000</v>
      </c>
      <c r="P242" s="153">
        <v>2020</v>
      </c>
      <c r="Q242" s="125" t="s">
        <v>32</v>
      </c>
      <c r="R242" s="153">
        <f t="shared" si="41"/>
        <v>1</v>
      </c>
      <c r="S242" s="153">
        <v>1</v>
      </c>
      <c r="T242" s="153">
        <f t="shared" si="40"/>
        <v>3</v>
      </c>
      <c r="U242" s="154" t="s">
        <v>33</v>
      </c>
      <c r="V242" s="153">
        <f t="shared" si="42"/>
        <v>1</v>
      </c>
      <c r="W242" s="153" t="s">
        <v>30</v>
      </c>
      <c r="X242" s="153">
        <v>0</v>
      </c>
      <c r="Y242" s="153">
        <v>0</v>
      </c>
      <c r="Z242" s="153">
        <v>0</v>
      </c>
      <c r="AA242" s="153">
        <v>0</v>
      </c>
      <c r="AB242" s="153">
        <v>0</v>
      </c>
      <c r="AC242" s="153">
        <v>0</v>
      </c>
      <c r="AD242" s="153">
        <v>0</v>
      </c>
      <c r="AE242" s="153"/>
      <c r="AF242" s="154" t="s">
        <v>29</v>
      </c>
      <c r="AG242" s="153">
        <f>VLOOKUP(Master20[[#This Row],[Elevated Priority]],Epriority,2,)</f>
        <v>0</v>
      </c>
      <c r="AH242" s="153">
        <f>IF(Master20[[#This Row],[Status]]="Active",Master20[[#This Row],[Status_Score]],IF(D242="","",R242+H242+T242+V242+AG242+AE242+Master20[[#This Row],[Risk Mitigation]]+Master20[[#This Row],[Master Plan]]+Master20[[#This Row],[Community Request]]+Master20[[#This Row],[Community need]]+Master20[[#This Row],[Offset Aging Inf.]]+Master20[[#This Row],[Energy Savings]]+Master20[[#This Row],[Gen Revenue]]-5))</f>
        <v>1000</v>
      </c>
      <c r="AI242" s="153" t="s">
        <v>754</v>
      </c>
      <c r="AJ242" s="153">
        <v>2020</v>
      </c>
      <c r="AK242" s="153">
        <v>2021</v>
      </c>
      <c r="AL242" s="153">
        <v>2020</v>
      </c>
      <c r="AM242" s="153">
        <v>2021</v>
      </c>
    </row>
    <row r="243" spans="1:41" ht="24.75" hidden="1" customHeight="1" x14ac:dyDescent="0.25">
      <c r="A243" s="103">
        <f t="shared" si="36"/>
        <v>242</v>
      </c>
      <c r="B243" s="153" t="s">
        <v>67</v>
      </c>
      <c r="C243" s="178" t="s">
        <v>73</v>
      </c>
      <c r="D243" s="125" t="s">
        <v>1020</v>
      </c>
      <c r="E243" s="125" t="s">
        <v>108</v>
      </c>
      <c r="F243" s="125" t="s">
        <v>883</v>
      </c>
      <c r="G243" s="125" t="s">
        <v>816</v>
      </c>
      <c r="H243" s="125">
        <f t="shared" si="34"/>
        <v>1000</v>
      </c>
      <c r="I243" s="155"/>
      <c r="J243" s="155"/>
      <c r="K243" s="155">
        <f>Master20[[#This Row],[Initial Budget]]-Master20[[#This Row],[Previously Committed Funds]]</f>
        <v>0</v>
      </c>
      <c r="L243" s="155"/>
      <c r="M243" s="156"/>
      <c r="N243" s="157">
        <f>Master20[[#This Row],[Design $ (Add/Deduct)]]+Master20[[#This Row],[Construction $ (Add/Ded)]]</f>
        <v>0</v>
      </c>
      <c r="O243" s="192">
        <v>150000</v>
      </c>
      <c r="P243" s="153">
        <v>2018</v>
      </c>
      <c r="Q243" s="125" t="s">
        <v>32</v>
      </c>
      <c r="R243" s="153">
        <f t="shared" si="41"/>
        <v>1</v>
      </c>
      <c r="S243" s="153">
        <v>1</v>
      </c>
      <c r="T243" s="153">
        <f t="shared" si="40"/>
        <v>3</v>
      </c>
      <c r="U243" s="154" t="s">
        <v>41</v>
      </c>
      <c r="V243" s="153">
        <f t="shared" si="42"/>
        <v>4</v>
      </c>
      <c r="W243" s="153" t="s">
        <v>30</v>
      </c>
      <c r="X243" s="153">
        <v>0</v>
      </c>
      <c r="Y243" s="153">
        <v>0</v>
      </c>
      <c r="Z243" s="153">
        <v>0</v>
      </c>
      <c r="AA243" s="153">
        <v>-2.5</v>
      </c>
      <c r="AB243" s="153">
        <v>0</v>
      </c>
      <c r="AC243" s="153">
        <v>0</v>
      </c>
      <c r="AD243" s="153">
        <v>0</v>
      </c>
      <c r="AE243" s="153"/>
      <c r="AF243" s="154" t="s">
        <v>29</v>
      </c>
      <c r="AG243" s="153">
        <f>VLOOKUP(Master20[[#This Row],[Elevated Priority]],Epriority,2,)</f>
        <v>0</v>
      </c>
      <c r="AH243" s="153">
        <f>IF(Master20[[#This Row],[Status]]="Active",Master20[[#This Row],[Status_Score]],IF(D243="","",R243+H243+T243+V243+AG243+AE243+Master20[[#This Row],[Risk Mitigation]]+Master20[[#This Row],[Master Plan]]+Master20[[#This Row],[Community Request]]+Master20[[#This Row],[Community need]]+Master20[[#This Row],[Offset Aging Inf.]]+Master20[[#This Row],[Energy Savings]]+Master20[[#This Row],[Gen Revenue]]-5))</f>
        <v>1000.5</v>
      </c>
      <c r="AI243" s="153" t="s">
        <v>718</v>
      </c>
      <c r="AJ243" s="153">
        <v>2020</v>
      </c>
      <c r="AK243" s="153">
        <v>2021</v>
      </c>
      <c r="AL243" s="153">
        <v>2020</v>
      </c>
      <c r="AM243" s="153">
        <v>2021</v>
      </c>
      <c r="AN243" s="111"/>
    </row>
    <row r="244" spans="1:41" ht="30" x14ac:dyDescent="0.25">
      <c r="A244" s="103">
        <f t="shared" si="36"/>
        <v>243</v>
      </c>
      <c r="B244" s="153" t="s">
        <v>214</v>
      </c>
      <c r="C244" s="178" t="s">
        <v>1045</v>
      </c>
      <c r="D244" s="125" t="s">
        <v>1352</v>
      </c>
      <c r="E244" s="125" t="s">
        <v>1230</v>
      </c>
      <c r="F244" s="125" t="s">
        <v>1231</v>
      </c>
      <c r="G244" s="125" t="s">
        <v>816</v>
      </c>
      <c r="H244" s="125">
        <f t="shared" si="34"/>
        <v>1000</v>
      </c>
      <c r="I244" s="155"/>
      <c r="J244" s="155"/>
      <c r="K244" s="155">
        <f>Master20[[#This Row],[Initial Budget]]-Master20[[#This Row],[Previously Committed Funds]]</f>
        <v>0</v>
      </c>
      <c r="L244" s="155"/>
      <c r="M244" s="156"/>
      <c r="N244" s="157">
        <v>250000</v>
      </c>
      <c r="O244" s="192">
        <v>250000</v>
      </c>
      <c r="P244" s="153">
        <v>2023</v>
      </c>
      <c r="Q244" s="125" t="s">
        <v>32</v>
      </c>
      <c r="R244" s="153">
        <f t="shared" si="41"/>
        <v>1</v>
      </c>
      <c r="S244" s="153">
        <v>1</v>
      </c>
      <c r="T244" s="153">
        <f t="shared" si="40"/>
        <v>3</v>
      </c>
      <c r="U244" s="154" t="s">
        <v>37</v>
      </c>
      <c r="V244" s="153">
        <f t="shared" si="42"/>
        <v>3</v>
      </c>
      <c r="W244" s="153" t="s">
        <v>29</v>
      </c>
      <c r="X244" s="153"/>
      <c r="Y244" s="153">
        <v>0</v>
      </c>
      <c r="Z244" s="153">
        <v>0</v>
      </c>
      <c r="AA244" s="153">
        <v>0</v>
      </c>
      <c r="AB244" s="153">
        <v>0</v>
      </c>
      <c r="AC244" s="153">
        <v>0</v>
      </c>
      <c r="AD244" s="153">
        <v>0</v>
      </c>
      <c r="AE244" s="153"/>
      <c r="AF244" s="154" t="s">
        <v>29</v>
      </c>
      <c r="AG244" s="153">
        <f>VLOOKUP(Master20[[#This Row],[Elevated Priority]],Epriority,2,)</f>
        <v>0</v>
      </c>
      <c r="AH244" s="153">
        <f>IF(Master20[[#This Row],[Status]]="Active",Master20[[#This Row],[Status_Score]],IF(D244="","",R244+H244+T244+V244+AG244+AE244+Master20[[#This Row],[Risk Mitigation]]+Master20[[#This Row],[Master Plan]]+Master20[[#This Row],[Community Request]]+Master20[[#This Row],[Community need]]+Master20[[#This Row],[Offset Aging Inf.]]+Master20[[#This Row],[Energy Savings]]+Master20[[#This Row],[Gen Revenue]]-5))</f>
        <v>1002</v>
      </c>
      <c r="AI244" s="164"/>
      <c r="AJ244" s="164"/>
      <c r="AK244" s="164"/>
      <c r="AL244" s="164"/>
      <c r="AM244" s="164"/>
      <c r="AN244" s="201"/>
    </row>
    <row r="245" spans="1:41" ht="120" hidden="1" x14ac:dyDescent="0.25">
      <c r="A245" s="103">
        <f t="shared" si="36"/>
        <v>244</v>
      </c>
      <c r="B245" s="153" t="s">
        <v>94</v>
      </c>
      <c r="C245" s="178" t="s">
        <v>1045</v>
      </c>
      <c r="D245" s="125" t="s">
        <v>99</v>
      </c>
      <c r="E245" s="125" t="s">
        <v>875</v>
      </c>
      <c r="F245" s="125" t="s">
        <v>876</v>
      </c>
      <c r="G245" s="125" t="s">
        <v>816</v>
      </c>
      <c r="H245" s="125">
        <f t="shared" si="34"/>
        <v>1000</v>
      </c>
      <c r="I245" s="155">
        <v>150000</v>
      </c>
      <c r="J245" s="155">
        <v>0</v>
      </c>
      <c r="K245" s="155">
        <f>Master20[[#This Row],[Initial Budget]]-Master20[[#This Row],[Previously Committed Funds]]</f>
        <v>150000</v>
      </c>
      <c r="L245" s="155">
        <v>0</v>
      </c>
      <c r="M245" s="156">
        <v>0</v>
      </c>
      <c r="N245" s="157">
        <v>1850000</v>
      </c>
      <c r="O245" s="192">
        <v>1150000</v>
      </c>
      <c r="P245" s="153">
        <v>2018</v>
      </c>
      <c r="Q245" s="125" t="s">
        <v>32</v>
      </c>
      <c r="R245" s="153">
        <f t="shared" si="41"/>
        <v>1</v>
      </c>
      <c r="S245" s="153">
        <v>1</v>
      </c>
      <c r="T245" s="153">
        <f t="shared" si="40"/>
        <v>3</v>
      </c>
      <c r="U245" s="154" t="s">
        <v>37</v>
      </c>
      <c r="V245" s="153">
        <f t="shared" si="42"/>
        <v>3</v>
      </c>
      <c r="W245" s="153" t="s">
        <v>30</v>
      </c>
      <c r="X245" s="153">
        <v>0</v>
      </c>
      <c r="Y245" s="153">
        <v>0</v>
      </c>
      <c r="Z245" s="153">
        <v>0</v>
      </c>
      <c r="AA245" s="153">
        <v>0</v>
      </c>
      <c r="AB245" s="153">
        <v>0</v>
      </c>
      <c r="AC245" s="153">
        <v>0</v>
      </c>
      <c r="AD245" s="153">
        <v>0</v>
      </c>
      <c r="AE245" s="153"/>
      <c r="AF245" s="154" t="s">
        <v>29</v>
      </c>
      <c r="AG245" s="153">
        <f>VLOOKUP(Master20[[#This Row],[Elevated Priority]],Epriority,2,)</f>
        <v>0</v>
      </c>
      <c r="AH245" s="153">
        <f>IF(Master20[[#This Row],[Status]]="Active",Master20[[#This Row],[Status_Score]],IF(D245="","",R245+H245+T245+V245+AG245+AE245+Master20[[#This Row],[Risk Mitigation]]+Master20[[#This Row],[Master Plan]]+Master20[[#This Row],[Community Request]]+Master20[[#This Row],[Community need]]+Master20[[#This Row],[Offset Aging Inf.]]+Master20[[#This Row],[Energy Savings]]+Master20[[#This Row],[Gen Revenue]]-5))</f>
        <v>1002</v>
      </c>
      <c r="AI245" s="153" t="s">
        <v>715</v>
      </c>
      <c r="AJ245" s="153">
        <v>2019</v>
      </c>
      <c r="AK245" s="153">
        <v>2020</v>
      </c>
      <c r="AL245" s="153">
        <v>2019</v>
      </c>
      <c r="AM245" s="153">
        <v>2021</v>
      </c>
      <c r="AN245" s="111"/>
      <c r="AO245" s="170"/>
    </row>
    <row r="246" spans="1:41" ht="45" hidden="1" x14ac:dyDescent="0.25">
      <c r="A246" s="103">
        <f t="shared" si="36"/>
        <v>245</v>
      </c>
      <c r="B246" s="153" t="s">
        <v>1195</v>
      </c>
      <c r="C246" s="178" t="s">
        <v>1197</v>
      </c>
      <c r="D246" s="125" t="s">
        <v>972</v>
      </c>
      <c r="E246" s="125" t="s">
        <v>947</v>
      </c>
      <c r="F246" s="125" t="s">
        <v>948</v>
      </c>
      <c r="G246" s="125" t="s">
        <v>816</v>
      </c>
      <c r="H246" s="125">
        <f t="shared" si="34"/>
        <v>1000</v>
      </c>
      <c r="I246" s="155"/>
      <c r="J246" s="155"/>
      <c r="K246" s="155">
        <f>Master20[[#This Row],[Initial Budget]]-Master20[[#This Row],[Previously Committed Funds]]</f>
        <v>0</v>
      </c>
      <c r="L246" s="155"/>
      <c r="M246" s="156"/>
      <c r="N246" s="157">
        <f>Master20[[#This Row],[Design $ (Add/Deduct)]]+Master20[[#This Row],[Construction $ (Add/Ded)]]</f>
        <v>0</v>
      </c>
      <c r="O246" s="192">
        <v>150000</v>
      </c>
      <c r="P246" s="153">
        <v>2020</v>
      </c>
      <c r="Q246" s="125" t="s">
        <v>32</v>
      </c>
      <c r="R246" s="153">
        <f t="shared" si="41"/>
        <v>1</v>
      </c>
      <c r="S246" s="153">
        <v>1</v>
      </c>
      <c r="T246" s="153">
        <f t="shared" si="40"/>
        <v>3</v>
      </c>
      <c r="U246" s="154" t="s">
        <v>37</v>
      </c>
      <c r="V246" s="153">
        <f t="shared" si="42"/>
        <v>3</v>
      </c>
      <c r="W246" s="153" t="s">
        <v>30</v>
      </c>
      <c r="X246" s="153">
        <v>0</v>
      </c>
      <c r="Y246" s="153">
        <v>0</v>
      </c>
      <c r="Z246" s="153">
        <v>0</v>
      </c>
      <c r="AA246" s="153">
        <v>0</v>
      </c>
      <c r="AB246" s="153">
        <v>0</v>
      </c>
      <c r="AC246" s="153">
        <v>0</v>
      </c>
      <c r="AD246" s="153">
        <v>0</v>
      </c>
      <c r="AE246" s="153"/>
      <c r="AF246" s="154" t="s">
        <v>29</v>
      </c>
      <c r="AG246" s="153">
        <f>VLOOKUP(Master20[[#This Row],[Elevated Priority]],Epriority,2,)</f>
        <v>0</v>
      </c>
      <c r="AH246" s="153">
        <f>IF(Master20[[#This Row],[Status]]="Active",Master20[[#This Row],[Status_Score]],IF(D246="","",R246+H246+T246+V246+AG246+AE246+Master20[[#This Row],[Risk Mitigation]]+Master20[[#This Row],[Master Plan]]+Master20[[#This Row],[Community Request]]+Master20[[#This Row],[Community need]]+Master20[[#This Row],[Offset Aging Inf.]]+Master20[[#This Row],[Energy Savings]]+Master20[[#This Row],[Gen Revenue]]-5))</f>
        <v>1002</v>
      </c>
      <c r="AI246" s="153" t="s">
        <v>718</v>
      </c>
      <c r="AJ246" s="153">
        <v>2020</v>
      </c>
      <c r="AK246" s="153">
        <v>2021</v>
      </c>
      <c r="AL246" s="153">
        <v>2020</v>
      </c>
      <c r="AM246" s="153">
        <v>2021</v>
      </c>
      <c r="AN246" s="111"/>
      <c r="AO246" s="170"/>
    </row>
    <row r="247" spans="1:41" ht="30" hidden="1" x14ac:dyDescent="0.25">
      <c r="A247" s="103">
        <f t="shared" si="36"/>
        <v>246</v>
      </c>
      <c r="B247" s="153" t="s">
        <v>67</v>
      </c>
      <c r="C247" s="178" t="s">
        <v>79</v>
      </c>
      <c r="D247" s="125" t="s">
        <v>836</v>
      </c>
      <c r="E247" s="125" t="s">
        <v>775</v>
      </c>
      <c r="F247" s="125" t="s">
        <v>798</v>
      </c>
      <c r="G247" s="125" t="s">
        <v>816</v>
      </c>
      <c r="H247" s="125">
        <f t="shared" si="34"/>
        <v>1000</v>
      </c>
      <c r="I247" s="155"/>
      <c r="J247" s="155"/>
      <c r="K247" s="155">
        <f>Master20[[#This Row],[Initial Budget]]-Master20[[#This Row],[Previously Committed Funds]]</f>
        <v>0</v>
      </c>
      <c r="L247" s="155"/>
      <c r="M247" s="156">
        <v>50000</v>
      </c>
      <c r="N247" s="157">
        <f>Master20[[#This Row],[Design $ (Add/Deduct)]]+Master20[[#This Row],[Construction $ (Add/Ded)]]</f>
        <v>50000</v>
      </c>
      <c r="O247" s="192">
        <v>50000</v>
      </c>
      <c r="P247" s="153">
        <v>2020</v>
      </c>
      <c r="Q247" s="125" t="s">
        <v>32</v>
      </c>
      <c r="R247" s="153">
        <f t="shared" si="41"/>
        <v>1</v>
      </c>
      <c r="S247" s="153">
        <v>1</v>
      </c>
      <c r="T247" s="153">
        <f t="shared" si="40"/>
        <v>3</v>
      </c>
      <c r="U247" s="154" t="s">
        <v>37</v>
      </c>
      <c r="V247" s="153">
        <f t="shared" si="42"/>
        <v>3</v>
      </c>
      <c r="W247" s="153" t="s">
        <v>30</v>
      </c>
      <c r="X247" s="153">
        <v>0</v>
      </c>
      <c r="Y247" s="153">
        <v>0</v>
      </c>
      <c r="Z247" s="153">
        <v>0</v>
      </c>
      <c r="AA247" s="153">
        <v>0</v>
      </c>
      <c r="AB247" s="153">
        <v>0</v>
      </c>
      <c r="AC247" s="153">
        <v>0</v>
      </c>
      <c r="AD247" s="153">
        <v>0</v>
      </c>
      <c r="AE247" s="153"/>
      <c r="AF247" s="154" t="s">
        <v>29</v>
      </c>
      <c r="AG247" s="153">
        <f>VLOOKUP(Master20[[#This Row],[Elevated Priority]],Epriority,2,)</f>
        <v>0</v>
      </c>
      <c r="AH247" s="153">
        <f>IF(Master20[[#This Row],[Status]]="Active",Master20[[#This Row],[Status_Score]],IF(D247="","",R247+H247+T247+V247+AG247+AE247+Master20[[#This Row],[Risk Mitigation]]+Master20[[#This Row],[Master Plan]]+Master20[[#This Row],[Community Request]]+Master20[[#This Row],[Community need]]+Master20[[#This Row],[Offset Aging Inf.]]+Master20[[#This Row],[Energy Savings]]+Master20[[#This Row],[Gen Revenue]]-5))</f>
        <v>1002</v>
      </c>
      <c r="AI247" s="153"/>
      <c r="AJ247" s="153"/>
      <c r="AK247" s="153">
        <v>2020</v>
      </c>
      <c r="AL247" s="153">
        <v>2020</v>
      </c>
      <c r="AM247" s="153">
        <v>2021</v>
      </c>
      <c r="AN247" s="111"/>
      <c r="AO247" s="170"/>
    </row>
    <row r="248" spans="1:41" ht="60" hidden="1" x14ac:dyDescent="0.25">
      <c r="A248" s="103">
        <f t="shared" si="36"/>
        <v>247</v>
      </c>
      <c r="B248" s="153" t="s">
        <v>67</v>
      </c>
      <c r="C248" s="178" t="s">
        <v>1045</v>
      </c>
      <c r="D248" s="125" t="s">
        <v>677</v>
      </c>
      <c r="E248" s="125" t="s">
        <v>678</v>
      </c>
      <c r="F248" s="125" t="s">
        <v>98</v>
      </c>
      <c r="G248" s="125" t="s">
        <v>816</v>
      </c>
      <c r="H248" s="125">
        <f t="shared" si="34"/>
        <v>1000</v>
      </c>
      <c r="I248" s="155">
        <v>35000</v>
      </c>
      <c r="J248" s="155">
        <v>14750</v>
      </c>
      <c r="K248" s="155">
        <f>Master20[[#This Row],[Initial Budget]]-Master20[[#This Row],[Previously Committed Funds]]</f>
        <v>20250</v>
      </c>
      <c r="L248" s="155"/>
      <c r="M248" s="156">
        <v>600000</v>
      </c>
      <c r="N248" s="157">
        <f>Master20[[#This Row],[Design $ (Add/Deduct)]]+Master20[[#This Row],[Construction $ (Add/Ded)]]</f>
        <v>600000</v>
      </c>
      <c r="O248" s="192">
        <v>350000</v>
      </c>
      <c r="P248" s="153">
        <v>2018</v>
      </c>
      <c r="Q248" s="125" t="s">
        <v>32</v>
      </c>
      <c r="R248" s="153">
        <f t="shared" si="41"/>
        <v>1</v>
      </c>
      <c r="S248" s="153">
        <v>1</v>
      </c>
      <c r="T248" s="153">
        <f t="shared" si="40"/>
        <v>3</v>
      </c>
      <c r="U248" s="154" t="s">
        <v>37</v>
      </c>
      <c r="V248" s="153">
        <f t="shared" si="42"/>
        <v>3</v>
      </c>
      <c r="W248" s="153" t="s">
        <v>30</v>
      </c>
      <c r="X248" s="153">
        <v>0</v>
      </c>
      <c r="Y248" s="153">
        <v>0</v>
      </c>
      <c r="Z248" s="153">
        <v>0</v>
      </c>
      <c r="AA248" s="153">
        <v>0</v>
      </c>
      <c r="AB248" s="153">
        <v>0</v>
      </c>
      <c r="AC248" s="153">
        <v>0</v>
      </c>
      <c r="AD248" s="153">
        <v>0</v>
      </c>
      <c r="AE248" s="153"/>
      <c r="AF248" s="154" t="s">
        <v>29</v>
      </c>
      <c r="AG248" s="153">
        <f>VLOOKUP(Master20[[#This Row],[Elevated Priority]],Epriority,2,)</f>
        <v>0</v>
      </c>
      <c r="AH248" s="153">
        <f>IF(Master20[[#This Row],[Status]]="Active",Master20[[#This Row],[Status_Score]],IF(D248="","",R248+H248+T248+V248+AG248+AE248+Master20[[#This Row],[Risk Mitigation]]+Master20[[#This Row],[Master Plan]]+Master20[[#This Row],[Community Request]]+Master20[[#This Row],[Community need]]+Master20[[#This Row],[Offset Aging Inf.]]+Master20[[#This Row],[Energy Savings]]+Master20[[#This Row],[Gen Revenue]]-5))</f>
        <v>1002</v>
      </c>
      <c r="AI248" s="153" t="s">
        <v>718</v>
      </c>
      <c r="AJ248" s="153">
        <v>2019</v>
      </c>
      <c r="AK248" s="153">
        <v>2020</v>
      </c>
      <c r="AL248" s="153">
        <v>2019</v>
      </c>
      <c r="AM248" s="153">
        <v>2020</v>
      </c>
      <c r="AN248" s="111" t="s">
        <v>747</v>
      </c>
      <c r="AO248" s="170"/>
    </row>
    <row r="249" spans="1:41" ht="60" hidden="1" x14ac:dyDescent="0.25">
      <c r="A249" s="103">
        <f t="shared" si="36"/>
        <v>248</v>
      </c>
      <c r="B249" s="153" t="s">
        <v>72</v>
      </c>
      <c r="C249" s="178" t="s">
        <v>1045</v>
      </c>
      <c r="D249" s="125" t="s">
        <v>74</v>
      </c>
      <c r="E249" s="125" t="s">
        <v>844</v>
      </c>
      <c r="F249" s="125" t="s">
        <v>843</v>
      </c>
      <c r="G249" s="125" t="s">
        <v>816</v>
      </c>
      <c r="H249" s="125">
        <f t="shared" si="34"/>
        <v>1000</v>
      </c>
      <c r="I249" s="155"/>
      <c r="J249" s="155"/>
      <c r="K249" s="155">
        <f>Master20[[#This Row],[Initial Budget]]-Master20[[#This Row],[Previously Committed Funds]]</f>
        <v>0</v>
      </c>
      <c r="L249" s="155"/>
      <c r="M249" s="156"/>
      <c r="N249" s="157">
        <f>Master20[[#This Row],[Design $ (Add/Deduct)]]+Master20[[#This Row],[Construction $ (Add/Ded)]]</f>
        <v>0</v>
      </c>
      <c r="O249" s="192">
        <v>500000</v>
      </c>
      <c r="P249" s="153">
        <v>2018</v>
      </c>
      <c r="Q249" s="125" t="s">
        <v>32</v>
      </c>
      <c r="R249" s="153">
        <f>VLOOKUP(Q249,Importance, 2, FALSE)</f>
        <v>1</v>
      </c>
      <c r="S249" s="153">
        <v>1</v>
      </c>
      <c r="T249" s="153">
        <f t="shared" si="40"/>
        <v>3</v>
      </c>
      <c r="U249" s="154" t="s">
        <v>37</v>
      </c>
      <c r="V249" s="153">
        <f t="shared" si="42"/>
        <v>3</v>
      </c>
      <c r="W249" s="153" t="s">
        <v>38</v>
      </c>
      <c r="X249" s="153"/>
      <c r="Y249" s="153"/>
      <c r="Z249" s="153"/>
      <c r="AA249" s="153"/>
      <c r="AB249" s="153"/>
      <c r="AC249" s="153"/>
      <c r="AD249" s="153"/>
      <c r="AE249" s="153"/>
      <c r="AF249" s="154" t="s">
        <v>29</v>
      </c>
      <c r="AG249" s="153">
        <f>VLOOKUP(Master20[[#This Row],[Elevated Priority]],Epriority,2,)</f>
        <v>0</v>
      </c>
      <c r="AH249" s="153">
        <f>IF(Master20[[#This Row],[Status]]="Active",Master20[[#This Row],[Status_Score]],IF(D249="","",R249+H249+T249+V249+AG249+AE249+Master20[[#This Row],[Risk Mitigation]]+Master20[[#This Row],[Master Plan]]+Master20[[#This Row],[Community Request]]+Master20[[#This Row],[Community need]]+Master20[[#This Row],[Offset Aging Inf.]]+Master20[[#This Row],[Energy Savings]]+Master20[[#This Row],[Gen Revenue]]-5))</f>
        <v>1002</v>
      </c>
      <c r="AI249" s="153" t="s">
        <v>758</v>
      </c>
      <c r="AJ249" s="153">
        <v>2019</v>
      </c>
      <c r="AK249" s="153">
        <v>2020</v>
      </c>
      <c r="AL249" s="153">
        <v>2019</v>
      </c>
      <c r="AM249" s="153">
        <v>2020</v>
      </c>
      <c r="AN249" s="111"/>
      <c r="AO249" s="170"/>
    </row>
    <row r="250" spans="1:41" ht="75" hidden="1" x14ac:dyDescent="0.25">
      <c r="A250" s="103">
        <f t="shared" si="36"/>
        <v>249</v>
      </c>
      <c r="B250" s="153" t="s">
        <v>1195</v>
      </c>
      <c r="C250" s="178" t="s">
        <v>1045</v>
      </c>
      <c r="D250" s="125" t="s">
        <v>116</v>
      </c>
      <c r="E250" s="125" t="s">
        <v>955</v>
      </c>
      <c r="F250" s="125" t="s">
        <v>690</v>
      </c>
      <c r="G250" s="125" t="s">
        <v>816</v>
      </c>
      <c r="H250" s="125">
        <f t="shared" si="34"/>
        <v>1000</v>
      </c>
      <c r="I250" s="155"/>
      <c r="J250" s="155"/>
      <c r="K250" s="155">
        <f>Master20[[#This Row],[Initial Budget]]-Master20[[#This Row],[Previously Committed Funds]]</f>
        <v>0</v>
      </c>
      <c r="L250" s="155"/>
      <c r="M250" s="156"/>
      <c r="N250" s="157">
        <f>Master20[[#This Row],[Design $ (Add/Deduct)]]+Master20[[#This Row],[Construction $ (Add/Ded)]]</f>
        <v>0</v>
      </c>
      <c r="O250" s="192">
        <v>250000</v>
      </c>
      <c r="P250" s="153">
        <v>2018</v>
      </c>
      <c r="Q250" s="125" t="s">
        <v>32</v>
      </c>
      <c r="R250" s="153">
        <f t="shared" ref="R250:R259" si="43">VLOOKUP(Q250,Importance,2,FALSE)</f>
        <v>1</v>
      </c>
      <c r="S250" s="153">
        <v>2</v>
      </c>
      <c r="T250" s="153">
        <f t="shared" si="40"/>
        <v>6</v>
      </c>
      <c r="U250" s="154" t="s">
        <v>41</v>
      </c>
      <c r="V250" s="153">
        <f t="shared" si="42"/>
        <v>4</v>
      </c>
      <c r="W250" s="153" t="s">
        <v>30</v>
      </c>
      <c r="X250" s="153">
        <v>0</v>
      </c>
      <c r="Y250" s="153">
        <v>0</v>
      </c>
      <c r="Z250" s="153">
        <v>0</v>
      </c>
      <c r="AA250" s="153">
        <v>0</v>
      </c>
      <c r="AB250" s="153">
        <v>0</v>
      </c>
      <c r="AC250" s="153">
        <v>0</v>
      </c>
      <c r="AD250" s="153">
        <v>0</v>
      </c>
      <c r="AE250" s="153"/>
      <c r="AF250" s="154" t="s">
        <v>29</v>
      </c>
      <c r="AG250" s="153">
        <f>VLOOKUP(Master20[[#This Row],[Elevated Priority]],Epriority,2,)</f>
        <v>0</v>
      </c>
      <c r="AH250" s="153">
        <f>IF(Master20[[#This Row],[Status]]="Active",Master20[[#This Row],[Status_Score]],IF(D250="","",R250+H250+T250+V250+AG250+AE250+Master20[[#This Row],[Risk Mitigation]]+Master20[[#This Row],[Master Plan]]+Master20[[#This Row],[Community Request]]+Master20[[#This Row],[Community need]]+Master20[[#This Row],[Offset Aging Inf.]]+Master20[[#This Row],[Energy Savings]]+Master20[[#This Row],[Gen Revenue]]-5))</f>
        <v>1006</v>
      </c>
      <c r="AI250" s="153" t="s">
        <v>754</v>
      </c>
      <c r="AJ250" s="153">
        <v>2020</v>
      </c>
      <c r="AK250" s="153">
        <v>2021</v>
      </c>
      <c r="AL250" s="153">
        <v>2020</v>
      </c>
      <c r="AM250" s="153">
        <v>2021</v>
      </c>
      <c r="AN250" s="111"/>
      <c r="AO250" s="170"/>
    </row>
    <row r="251" spans="1:41" ht="45" hidden="1" x14ac:dyDescent="0.25">
      <c r="A251" s="103">
        <f t="shared" si="36"/>
        <v>250</v>
      </c>
      <c r="B251" s="153" t="s">
        <v>923</v>
      </c>
      <c r="C251" s="178" t="s">
        <v>1045</v>
      </c>
      <c r="D251" s="125" t="s">
        <v>786</v>
      </c>
      <c r="E251" s="125" t="s">
        <v>787</v>
      </c>
      <c r="F251" s="125" t="s">
        <v>204</v>
      </c>
      <c r="G251" s="125" t="s">
        <v>816</v>
      </c>
      <c r="H251" s="125">
        <f t="shared" si="34"/>
        <v>1000</v>
      </c>
      <c r="I251" s="155"/>
      <c r="J251" s="155"/>
      <c r="K251" s="155">
        <f>Master20[[#This Row],[Initial Budget]]-Master20[[#This Row],[Previously Committed Funds]]</f>
        <v>0</v>
      </c>
      <c r="L251" s="155"/>
      <c r="M251" s="156"/>
      <c r="N251" s="157">
        <f>Master20[[#This Row],[Design $ (Add/Deduct)]]+Master20[[#This Row],[Construction $ (Add/Ded)]]</f>
        <v>0</v>
      </c>
      <c r="O251" s="192">
        <v>600000</v>
      </c>
      <c r="P251" s="153">
        <v>2018</v>
      </c>
      <c r="Q251" s="125" t="s">
        <v>688</v>
      </c>
      <c r="R251" s="153">
        <f t="shared" si="43"/>
        <v>20</v>
      </c>
      <c r="S251" s="153">
        <v>4</v>
      </c>
      <c r="T251" s="153">
        <f t="shared" si="40"/>
        <v>12</v>
      </c>
      <c r="U251" s="154" t="s">
        <v>41</v>
      </c>
      <c r="V251" s="153">
        <f t="shared" si="42"/>
        <v>4</v>
      </c>
      <c r="W251" s="153" t="s">
        <v>30</v>
      </c>
      <c r="X251" s="153">
        <v>0</v>
      </c>
      <c r="Y251" s="153">
        <v>0</v>
      </c>
      <c r="Z251" s="153">
        <v>0</v>
      </c>
      <c r="AA251" s="153">
        <v>0</v>
      </c>
      <c r="AB251" s="153">
        <v>0</v>
      </c>
      <c r="AC251" s="153">
        <v>0</v>
      </c>
      <c r="AD251" s="153">
        <v>0</v>
      </c>
      <c r="AE251" s="153"/>
      <c r="AF251" s="154" t="s">
        <v>31</v>
      </c>
      <c r="AG251" s="153">
        <f>VLOOKUP(Master20[[#This Row],[Elevated Priority]],Epriority,2,)</f>
        <v>-25</v>
      </c>
      <c r="AH251" s="153">
        <f>IF(Master20[[#This Row],[Status]]="Active",Master20[[#This Row],[Status_Score]],IF(D251="","",R251+H251+T251+V251+AG251+AE251+Master20[[#This Row],[Risk Mitigation]]+Master20[[#This Row],[Master Plan]]+Master20[[#This Row],[Community Request]]+Master20[[#This Row],[Community need]]+Master20[[#This Row],[Offset Aging Inf.]]+Master20[[#This Row],[Energy Savings]]+Master20[[#This Row],[Gen Revenue]]-5))</f>
        <v>1006</v>
      </c>
      <c r="AI251" s="153" t="s">
        <v>718</v>
      </c>
      <c r="AJ251" s="153">
        <v>2020</v>
      </c>
      <c r="AK251" s="153">
        <v>2021</v>
      </c>
      <c r="AL251" s="153">
        <v>2020</v>
      </c>
      <c r="AM251" s="153">
        <v>2021</v>
      </c>
      <c r="AN251" s="111"/>
      <c r="AO251" s="170"/>
    </row>
    <row r="252" spans="1:41" ht="30" hidden="1" x14ac:dyDescent="0.25">
      <c r="A252" s="103">
        <f t="shared" si="36"/>
        <v>251</v>
      </c>
      <c r="B252" s="153" t="s">
        <v>1195</v>
      </c>
      <c r="C252" s="178" t="s">
        <v>1045</v>
      </c>
      <c r="D252" s="125" t="s">
        <v>839</v>
      </c>
      <c r="E252" s="125" t="s">
        <v>812</v>
      </c>
      <c r="F252" s="125" t="s">
        <v>813</v>
      </c>
      <c r="G252" s="125" t="s">
        <v>816</v>
      </c>
      <c r="H252" s="125">
        <f t="shared" si="34"/>
        <v>1000</v>
      </c>
      <c r="I252" s="155"/>
      <c r="J252" s="155"/>
      <c r="K252" s="155">
        <f>Master20[[#This Row],[Initial Budget]]-Master20[[#This Row],[Previously Committed Funds]]</f>
        <v>0</v>
      </c>
      <c r="L252" s="155"/>
      <c r="M252" s="156"/>
      <c r="N252" s="157">
        <f>Master20[[#This Row],[Design $ (Add/Deduct)]]+Master20[[#This Row],[Construction $ (Add/Ded)]]</f>
        <v>0</v>
      </c>
      <c r="O252" s="192">
        <v>1250000</v>
      </c>
      <c r="P252" s="153">
        <v>2020</v>
      </c>
      <c r="Q252" s="125" t="s">
        <v>688</v>
      </c>
      <c r="R252" s="153">
        <f t="shared" si="43"/>
        <v>20</v>
      </c>
      <c r="S252" s="153">
        <v>1</v>
      </c>
      <c r="T252" s="153">
        <f t="shared" si="40"/>
        <v>3</v>
      </c>
      <c r="U252" s="154" t="s">
        <v>41</v>
      </c>
      <c r="V252" s="153">
        <f t="shared" si="42"/>
        <v>4</v>
      </c>
      <c r="W252" s="153" t="s">
        <v>34</v>
      </c>
      <c r="X252" s="153">
        <v>0</v>
      </c>
      <c r="Y252" s="153">
        <v>0</v>
      </c>
      <c r="Z252" s="153">
        <v>-3</v>
      </c>
      <c r="AA252" s="153">
        <v>-3</v>
      </c>
      <c r="AB252" s="153">
        <v>0</v>
      </c>
      <c r="AC252" s="153">
        <v>-5</v>
      </c>
      <c r="AD252" s="153">
        <v>-3</v>
      </c>
      <c r="AE252" s="153"/>
      <c r="AF252" s="154" t="s">
        <v>29</v>
      </c>
      <c r="AG252" s="153">
        <f>VLOOKUP(Master20[[#This Row],[Elevated Priority]],Epriority,2,)</f>
        <v>0</v>
      </c>
      <c r="AH252" s="153">
        <f>IF(Master20[[#This Row],[Status]]="Active",Master20[[#This Row],[Status_Score]],IF(D252="","",R252+H252+T252+V252+AG252+AE252+Master20[[#This Row],[Risk Mitigation]]+Master20[[#This Row],[Master Plan]]+Master20[[#This Row],[Community Request]]+Master20[[#This Row],[Community need]]+Master20[[#This Row],[Offset Aging Inf.]]+Master20[[#This Row],[Energy Savings]]+Master20[[#This Row],[Gen Revenue]]-5))</f>
        <v>1008</v>
      </c>
      <c r="AI252" s="153" t="s">
        <v>715</v>
      </c>
      <c r="AJ252" s="153">
        <v>2021</v>
      </c>
      <c r="AK252" s="153">
        <v>2022</v>
      </c>
      <c r="AL252" s="153">
        <v>2020</v>
      </c>
      <c r="AM252" s="153">
        <v>2021</v>
      </c>
      <c r="AN252" s="111" t="s">
        <v>975</v>
      </c>
      <c r="AO252" s="170"/>
    </row>
    <row r="253" spans="1:41" ht="60" hidden="1" x14ac:dyDescent="0.25">
      <c r="A253" s="103">
        <f t="shared" si="36"/>
        <v>252</v>
      </c>
      <c r="B253" s="153" t="s">
        <v>67</v>
      </c>
      <c r="C253" s="178" t="s">
        <v>995</v>
      </c>
      <c r="D253" s="125" t="s">
        <v>357</v>
      </c>
      <c r="E253" s="125" t="s">
        <v>358</v>
      </c>
      <c r="F253" s="125" t="s">
        <v>990</v>
      </c>
      <c r="G253" s="125" t="s">
        <v>816</v>
      </c>
      <c r="H253" s="125">
        <f t="shared" si="34"/>
        <v>1000</v>
      </c>
      <c r="I253" s="155">
        <v>100000</v>
      </c>
      <c r="J253" s="155"/>
      <c r="K253" s="155">
        <f>Master20[[#This Row],[Initial Budget]]-Master20[[#This Row],[Previously Committed Funds]]</f>
        <v>100000</v>
      </c>
      <c r="L253" s="155"/>
      <c r="M253" s="156"/>
      <c r="N253" s="157">
        <v>60000</v>
      </c>
      <c r="O253" s="192">
        <v>100000</v>
      </c>
      <c r="P253" s="153">
        <v>2018</v>
      </c>
      <c r="Q253" s="125" t="s">
        <v>36</v>
      </c>
      <c r="R253" s="153">
        <f t="shared" si="43"/>
        <v>10</v>
      </c>
      <c r="S253" s="153">
        <v>1</v>
      </c>
      <c r="T253" s="153">
        <f t="shared" si="40"/>
        <v>3</v>
      </c>
      <c r="U253" s="154" t="s">
        <v>41</v>
      </c>
      <c r="V253" s="153">
        <f t="shared" si="42"/>
        <v>4</v>
      </c>
      <c r="W253" s="153" t="s">
        <v>30</v>
      </c>
      <c r="X253" s="153">
        <v>0</v>
      </c>
      <c r="Y253" s="153">
        <v>0</v>
      </c>
      <c r="Z253" s="153">
        <v>0</v>
      </c>
      <c r="AA253" s="153">
        <v>0</v>
      </c>
      <c r="AB253" s="153">
        <v>0</v>
      </c>
      <c r="AC253" s="153">
        <v>0</v>
      </c>
      <c r="AD253" s="153">
        <v>-3</v>
      </c>
      <c r="AE253" s="153"/>
      <c r="AF253" s="154" t="s">
        <v>29</v>
      </c>
      <c r="AG253" s="153">
        <f>VLOOKUP(Master20[[#This Row],[Elevated Priority]],Epriority,2,)</f>
        <v>0</v>
      </c>
      <c r="AH253" s="153">
        <f>IF(Master20[[#This Row],[Status]]="Active",Master20[[#This Row],[Status_Score]],IF(D253="","",R253+H253+T253+V253+AG253+AE253+Master20[[#This Row],[Risk Mitigation]]+Master20[[#This Row],[Master Plan]]+Master20[[#This Row],[Community Request]]+Master20[[#This Row],[Community need]]+Master20[[#This Row],[Offset Aging Inf.]]+Master20[[#This Row],[Energy Savings]]+Master20[[#This Row],[Gen Revenue]]-5))</f>
        <v>1009</v>
      </c>
      <c r="AI253" s="114" t="s">
        <v>715</v>
      </c>
      <c r="AJ253" s="114">
        <v>2021</v>
      </c>
      <c r="AK253" s="114">
        <v>2022</v>
      </c>
      <c r="AL253" s="114">
        <v>2021</v>
      </c>
      <c r="AM253" s="114">
        <v>2023</v>
      </c>
      <c r="AN253" s="111" t="s">
        <v>1180</v>
      </c>
      <c r="AO253" s="170"/>
    </row>
    <row r="254" spans="1:41" ht="120" hidden="1" x14ac:dyDescent="0.25">
      <c r="A254" s="103">
        <f t="shared" si="36"/>
        <v>253</v>
      </c>
      <c r="B254" s="153" t="s">
        <v>1206</v>
      </c>
      <c r="C254" s="178" t="s">
        <v>1196</v>
      </c>
      <c r="D254" s="125" t="s">
        <v>122</v>
      </c>
      <c r="E254" s="125" t="s">
        <v>132</v>
      </c>
      <c r="F254" s="125" t="s">
        <v>1311</v>
      </c>
      <c r="G254" s="125" t="s">
        <v>816</v>
      </c>
      <c r="H254" s="125">
        <f t="shared" si="34"/>
        <v>1000</v>
      </c>
      <c r="I254" s="155">
        <v>249010</v>
      </c>
      <c r="J254" s="155"/>
      <c r="K254" s="155">
        <f>Master20[[#This Row],[Initial Budget]]-Master20[[#This Row],[Previously Committed Funds]]</f>
        <v>249010</v>
      </c>
      <c r="L254" s="155"/>
      <c r="M254" s="156"/>
      <c r="N254" s="157">
        <v>3250000</v>
      </c>
      <c r="O254" s="192">
        <v>2250000</v>
      </c>
      <c r="P254" s="153">
        <v>2018</v>
      </c>
      <c r="Q254" s="125" t="s">
        <v>830</v>
      </c>
      <c r="R254" s="153">
        <f t="shared" si="43"/>
        <v>10</v>
      </c>
      <c r="S254" s="153">
        <v>1</v>
      </c>
      <c r="T254" s="153">
        <f t="shared" si="40"/>
        <v>3</v>
      </c>
      <c r="U254" s="154" t="s">
        <v>33</v>
      </c>
      <c r="V254" s="153">
        <f t="shared" si="42"/>
        <v>1</v>
      </c>
      <c r="W254" s="153" t="s">
        <v>30</v>
      </c>
      <c r="X254" s="153">
        <v>0</v>
      </c>
      <c r="Y254" s="153">
        <v>0</v>
      </c>
      <c r="Z254" s="153">
        <v>0</v>
      </c>
      <c r="AA254" s="153">
        <v>0</v>
      </c>
      <c r="AB254" s="153">
        <v>0</v>
      </c>
      <c r="AC254" s="153">
        <v>0</v>
      </c>
      <c r="AD254" s="153">
        <v>0</v>
      </c>
      <c r="AE254" s="153"/>
      <c r="AF254" s="154" t="s">
        <v>29</v>
      </c>
      <c r="AG254" s="153">
        <f>VLOOKUP(Master20[[#This Row],[Elevated Priority]],Epriority,2,)</f>
        <v>0</v>
      </c>
      <c r="AH254" s="153">
        <f>IF(Master20[[#This Row],[Status]]="Active",Master20[[#This Row],[Status_Score]],IF(D254="","",R254+H254+T254+V254+AG254+AE254+Master20[[#This Row],[Risk Mitigation]]+Master20[[#This Row],[Master Plan]]+Master20[[#This Row],[Community Request]]+Master20[[#This Row],[Community need]]+Master20[[#This Row],[Offset Aging Inf.]]+Master20[[#This Row],[Energy Savings]]+Master20[[#This Row],[Gen Revenue]]-5))</f>
        <v>1009</v>
      </c>
      <c r="AI254" s="114" t="s">
        <v>716</v>
      </c>
      <c r="AJ254" s="114">
        <v>2021</v>
      </c>
      <c r="AK254" s="114">
        <v>2022</v>
      </c>
      <c r="AL254" s="114">
        <v>2021</v>
      </c>
      <c r="AM254" s="114">
        <v>2023</v>
      </c>
      <c r="AN254" s="111" t="s">
        <v>1146</v>
      </c>
      <c r="AO254" s="170"/>
    </row>
    <row r="255" spans="1:41" ht="30" hidden="1" x14ac:dyDescent="0.25">
      <c r="A255" s="103">
        <f t="shared" si="36"/>
        <v>254</v>
      </c>
      <c r="B255" s="153" t="s">
        <v>94</v>
      </c>
      <c r="C255" s="178" t="s">
        <v>1045</v>
      </c>
      <c r="D255" s="125" t="s">
        <v>134</v>
      </c>
      <c r="E255" s="125" t="s">
        <v>135</v>
      </c>
      <c r="F255" s="125" t="s">
        <v>878</v>
      </c>
      <c r="G255" s="125" t="s">
        <v>816</v>
      </c>
      <c r="H255" s="125">
        <f t="shared" si="34"/>
        <v>1000</v>
      </c>
      <c r="I255" s="155">
        <v>125000</v>
      </c>
      <c r="J255" s="155"/>
      <c r="K255" s="155">
        <f>Master20[[#This Row],[Initial Budget]]-Master20[[#This Row],[Previously Committed Funds]]</f>
        <v>125000</v>
      </c>
      <c r="L255" s="155"/>
      <c r="M255" s="156"/>
      <c r="N255" s="157">
        <f>Master20[[#This Row],[Design $ (Add/Deduct)]]+Master20[[#This Row],[Construction $ (Add/Ded)]]</f>
        <v>0</v>
      </c>
      <c r="O255" s="192">
        <v>550000</v>
      </c>
      <c r="P255" s="153">
        <v>2018</v>
      </c>
      <c r="Q255" s="125" t="s">
        <v>36</v>
      </c>
      <c r="R255" s="153">
        <f t="shared" si="43"/>
        <v>10</v>
      </c>
      <c r="S255" s="153">
        <v>1</v>
      </c>
      <c r="T255" s="153">
        <f t="shared" si="40"/>
        <v>3</v>
      </c>
      <c r="U255" s="154" t="s">
        <v>33</v>
      </c>
      <c r="V255" s="153">
        <f t="shared" si="42"/>
        <v>1</v>
      </c>
      <c r="W255" s="153" t="s">
        <v>30</v>
      </c>
      <c r="X255" s="153">
        <v>0</v>
      </c>
      <c r="Y255" s="153">
        <v>0</v>
      </c>
      <c r="Z255" s="153">
        <v>0</v>
      </c>
      <c r="AA255" s="153">
        <v>0</v>
      </c>
      <c r="AB255" s="153">
        <v>0</v>
      </c>
      <c r="AC255" s="153">
        <v>0</v>
      </c>
      <c r="AD255" s="153">
        <v>0</v>
      </c>
      <c r="AE255" s="153"/>
      <c r="AF255" s="154" t="s">
        <v>29</v>
      </c>
      <c r="AG255" s="153">
        <f>VLOOKUP(Master20[[#This Row],[Elevated Priority]],Epriority,2,)</f>
        <v>0</v>
      </c>
      <c r="AH255" s="153">
        <f>IF(Master20[[#This Row],[Status]]="Active",Master20[[#This Row],[Status_Score]],IF(D255="","",R255+H255+T255+V255+AG255+AE255+Master20[[#This Row],[Risk Mitigation]]+Master20[[#This Row],[Master Plan]]+Master20[[#This Row],[Community Request]]+Master20[[#This Row],[Community need]]+Master20[[#This Row],[Offset Aging Inf.]]+Master20[[#This Row],[Energy Savings]]+Master20[[#This Row],[Gen Revenue]]-5))</f>
        <v>1009</v>
      </c>
      <c r="AI255" s="153" t="s">
        <v>716</v>
      </c>
      <c r="AJ255" s="153">
        <v>2019</v>
      </c>
      <c r="AK255" s="153">
        <v>2021</v>
      </c>
      <c r="AL255" s="153">
        <v>2019</v>
      </c>
      <c r="AM255" s="153">
        <v>2021</v>
      </c>
      <c r="AN255" s="111"/>
      <c r="AO255" s="170"/>
    </row>
    <row r="256" spans="1:41" ht="30" hidden="1" x14ac:dyDescent="0.25">
      <c r="A256" s="103">
        <f t="shared" si="36"/>
        <v>255</v>
      </c>
      <c r="B256" s="153" t="s">
        <v>94</v>
      </c>
      <c r="C256" s="178" t="s">
        <v>1045</v>
      </c>
      <c r="D256" s="125" t="s">
        <v>136</v>
      </c>
      <c r="E256" s="125" t="s">
        <v>137</v>
      </c>
      <c r="F256" s="125" t="s">
        <v>879</v>
      </c>
      <c r="G256" s="125" t="s">
        <v>816</v>
      </c>
      <c r="H256" s="125">
        <f t="shared" si="34"/>
        <v>1000</v>
      </c>
      <c r="I256" s="155">
        <v>125000</v>
      </c>
      <c r="J256" s="155"/>
      <c r="K256" s="155">
        <f>Master20[[#This Row],[Initial Budget]]-Master20[[#This Row],[Previously Committed Funds]]</f>
        <v>125000</v>
      </c>
      <c r="L256" s="155"/>
      <c r="M256" s="156"/>
      <c r="N256" s="157">
        <f>Master20[[#This Row],[Design $ (Add/Deduct)]]+Master20[[#This Row],[Construction $ (Add/Ded)]]</f>
        <v>0</v>
      </c>
      <c r="O256" s="192">
        <v>550000</v>
      </c>
      <c r="P256" s="153">
        <v>2018</v>
      </c>
      <c r="Q256" s="125" t="s">
        <v>36</v>
      </c>
      <c r="R256" s="153">
        <f t="shared" si="43"/>
        <v>10</v>
      </c>
      <c r="S256" s="153">
        <v>1</v>
      </c>
      <c r="T256" s="153">
        <f t="shared" si="40"/>
        <v>3</v>
      </c>
      <c r="U256" s="154" t="s">
        <v>33</v>
      </c>
      <c r="V256" s="153">
        <f t="shared" si="42"/>
        <v>1</v>
      </c>
      <c r="W256" s="153" t="s">
        <v>30</v>
      </c>
      <c r="X256" s="153">
        <v>0</v>
      </c>
      <c r="Y256" s="153">
        <v>0</v>
      </c>
      <c r="Z256" s="153">
        <v>0</v>
      </c>
      <c r="AA256" s="153">
        <v>0</v>
      </c>
      <c r="AB256" s="153">
        <v>0</v>
      </c>
      <c r="AC256" s="153">
        <v>0</v>
      </c>
      <c r="AD256" s="153">
        <v>0</v>
      </c>
      <c r="AE256" s="153"/>
      <c r="AF256" s="154" t="s">
        <v>29</v>
      </c>
      <c r="AG256" s="153">
        <f>VLOOKUP(Master20[[#This Row],[Elevated Priority]],Epriority,2,)</f>
        <v>0</v>
      </c>
      <c r="AH256" s="153">
        <f>IF(Master20[[#This Row],[Status]]="Active",Master20[[#This Row],[Status_Score]],IF(D256="","",R256+H256+T256+V256+AG256+AE256+Master20[[#This Row],[Risk Mitigation]]+Master20[[#This Row],[Master Plan]]+Master20[[#This Row],[Community Request]]+Master20[[#This Row],[Community need]]+Master20[[#This Row],[Offset Aging Inf.]]+Master20[[#This Row],[Energy Savings]]+Master20[[#This Row],[Gen Revenue]]-5))</f>
        <v>1009</v>
      </c>
      <c r="AI256" s="153" t="s">
        <v>716</v>
      </c>
      <c r="AJ256" s="153">
        <v>2019</v>
      </c>
      <c r="AK256" s="153">
        <v>2021</v>
      </c>
      <c r="AL256" s="153">
        <v>2019</v>
      </c>
      <c r="AM256" s="153">
        <v>2021</v>
      </c>
      <c r="AN256" s="111"/>
      <c r="AO256" s="170"/>
    </row>
    <row r="257" spans="1:41" ht="30" hidden="1" x14ac:dyDescent="0.25">
      <c r="A257" s="103">
        <f t="shared" si="36"/>
        <v>256</v>
      </c>
      <c r="B257" s="153" t="s">
        <v>1195</v>
      </c>
      <c r="C257" s="178" t="s">
        <v>1045</v>
      </c>
      <c r="D257" s="125" t="s">
        <v>642</v>
      </c>
      <c r="E257" s="125" t="s">
        <v>643</v>
      </c>
      <c r="F257" s="125" t="s">
        <v>644</v>
      </c>
      <c r="G257" s="125" t="s">
        <v>816</v>
      </c>
      <c r="H257" s="125">
        <f t="shared" ref="H257:H306" si="44">VLOOKUP(G257,Status_Score,2,FALSE)</f>
        <v>1000</v>
      </c>
      <c r="I257" s="155"/>
      <c r="J257" s="155"/>
      <c r="K257" s="155">
        <f>Master20[[#This Row],[Initial Budget]]-Master20[[#This Row],[Previously Committed Funds]]</f>
        <v>0</v>
      </c>
      <c r="L257" s="155"/>
      <c r="M257" s="156">
        <v>550000</v>
      </c>
      <c r="N257" s="157">
        <f>Master20[[#This Row],[Design $ (Add/Deduct)]]+Master20[[#This Row],[Construction $ (Add/Ded)]]</f>
        <v>550000</v>
      </c>
      <c r="O257" s="192">
        <v>550000</v>
      </c>
      <c r="P257" s="153">
        <v>2018</v>
      </c>
      <c r="Q257" s="125" t="s">
        <v>36</v>
      </c>
      <c r="R257" s="153">
        <f t="shared" si="43"/>
        <v>10</v>
      </c>
      <c r="S257" s="153">
        <v>1</v>
      </c>
      <c r="T257" s="153">
        <f t="shared" si="40"/>
        <v>3</v>
      </c>
      <c r="U257" s="154" t="s">
        <v>33</v>
      </c>
      <c r="V257" s="153">
        <f t="shared" si="42"/>
        <v>1</v>
      </c>
      <c r="W257" s="153" t="s">
        <v>30</v>
      </c>
      <c r="X257" s="153">
        <v>0</v>
      </c>
      <c r="Y257" s="153">
        <v>0</v>
      </c>
      <c r="Z257" s="153">
        <v>0</v>
      </c>
      <c r="AA257" s="153">
        <v>0</v>
      </c>
      <c r="AB257" s="153">
        <v>0</v>
      </c>
      <c r="AC257" s="153">
        <v>0</v>
      </c>
      <c r="AD257" s="153">
        <v>0</v>
      </c>
      <c r="AE257" s="153"/>
      <c r="AF257" s="154" t="s">
        <v>29</v>
      </c>
      <c r="AG257" s="153">
        <f>VLOOKUP(Master20[[#This Row],[Elevated Priority]],Epriority,2,)</f>
        <v>0</v>
      </c>
      <c r="AH257" s="153">
        <f>IF(Master20[[#This Row],[Status]]="Active",Master20[[#This Row],[Status_Score]],IF(D257="","",R257+H257+T257+V257+AG257+AE257+Master20[[#This Row],[Risk Mitigation]]+Master20[[#This Row],[Master Plan]]+Master20[[#This Row],[Community Request]]+Master20[[#This Row],[Community need]]+Master20[[#This Row],[Offset Aging Inf.]]+Master20[[#This Row],[Energy Savings]]+Master20[[#This Row],[Gen Revenue]]-5))</f>
        <v>1009</v>
      </c>
      <c r="AI257" s="153" t="s">
        <v>760</v>
      </c>
      <c r="AJ257" s="153">
        <v>2019</v>
      </c>
      <c r="AK257" s="153">
        <v>2020</v>
      </c>
      <c r="AL257" s="153">
        <v>2019</v>
      </c>
      <c r="AM257" s="153">
        <v>2020</v>
      </c>
      <c r="AN257" s="111" t="s">
        <v>724</v>
      </c>
      <c r="AO257" s="170"/>
    </row>
    <row r="258" spans="1:41" ht="150" hidden="1" x14ac:dyDescent="0.25">
      <c r="A258" s="103">
        <f t="shared" si="36"/>
        <v>257</v>
      </c>
      <c r="B258" s="153" t="s">
        <v>67</v>
      </c>
      <c r="C258" s="178" t="s">
        <v>73</v>
      </c>
      <c r="D258" s="125" t="s">
        <v>640</v>
      </c>
      <c r="E258" s="125" t="s">
        <v>679</v>
      </c>
      <c r="F258" s="125" t="s">
        <v>877</v>
      </c>
      <c r="G258" s="125" t="s">
        <v>816</v>
      </c>
      <c r="H258" s="125">
        <f t="shared" si="44"/>
        <v>1000</v>
      </c>
      <c r="I258" s="155">
        <v>150000</v>
      </c>
      <c r="J258" s="155">
        <f>13467.55+12925.45</f>
        <v>26393</v>
      </c>
      <c r="K258" s="155">
        <f>Master20[[#This Row],[Initial Budget]]-Master20[[#This Row],[Previously Committed Funds]]</f>
        <v>123607</v>
      </c>
      <c r="L258" s="155"/>
      <c r="M258" s="156">
        <v>400000</v>
      </c>
      <c r="N258" s="157">
        <f>Master20[[#This Row],[Design $ (Add/Deduct)]]+Master20[[#This Row],[Construction $ (Add/Ded)]]</f>
        <v>400000</v>
      </c>
      <c r="O258" s="192">
        <v>650000</v>
      </c>
      <c r="P258" s="153">
        <v>2018</v>
      </c>
      <c r="Q258" s="125" t="s">
        <v>36</v>
      </c>
      <c r="R258" s="153">
        <f t="shared" si="43"/>
        <v>10</v>
      </c>
      <c r="S258" s="153">
        <v>1</v>
      </c>
      <c r="T258" s="153">
        <f t="shared" si="40"/>
        <v>3</v>
      </c>
      <c r="U258" s="154" t="s">
        <v>33</v>
      </c>
      <c r="V258" s="153">
        <f t="shared" si="42"/>
        <v>1</v>
      </c>
      <c r="W258" s="153" t="s">
        <v>30</v>
      </c>
      <c r="X258" s="153">
        <v>0</v>
      </c>
      <c r="Y258" s="153">
        <v>0</v>
      </c>
      <c r="Z258" s="153">
        <v>0</v>
      </c>
      <c r="AA258" s="153">
        <v>0</v>
      </c>
      <c r="AB258" s="153">
        <v>0</v>
      </c>
      <c r="AC258" s="153">
        <v>0</v>
      </c>
      <c r="AD258" s="153">
        <v>0</v>
      </c>
      <c r="AE258" s="153"/>
      <c r="AF258" s="154" t="s">
        <v>29</v>
      </c>
      <c r="AG258" s="153">
        <f>VLOOKUP(Master20[[#This Row],[Elevated Priority]],Epriority,2,)</f>
        <v>0</v>
      </c>
      <c r="AH258" s="153">
        <f>IF(Master20[[#This Row],[Status]]="Active",Master20[[#This Row],[Status_Score]],IF(D258="","",R258+H258+T258+V258+AG258+AE258+Master20[[#This Row],[Risk Mitigation]]+Master20[[#This Row],[Master Plan]]+Master20[[#This Row],[Community Request]]+Master20[[#This Row],[Community need]]+Master20[[#This Row],[Offset Aging Inf.]]+Master20[[#This Row],[Energy Savings]]+Master20[[#This Row],[Gen Revenue]]-5))</f>
        <v>1009</v>
      </c>
      <c r="AI258" s="153" t="s">
        <v>715</v>
      </c>
      <c r="AJ258" s="153">
        <v>2019</v>
      </c>
      <c r="AK258" s="153">
        <v>2020</v>
      </c>
      <c r="AL258" s="153">
        <v>2019</v>
      </c>
      <c r="AM258" s="153">
        <v>2020</v>
      </c>
      <c r="AN258" s="111" t="s">
        <v>157</v>
      </c>
      <c r="AO258" s="170"/>
    </row>
    <row r="259" spans="1:41" ht="30" hidden="1" x14ac:dyDescent="0.25">
      <c r="A259" s="103">
        <f t="shared" ref="A259:A290" si="45">A258+1</f>
        <v>258</v>
      </c>
      <c r="B259" s="153" t="s">
        <v>94</v>
      </c>
      <c r="C259" s="178" t="s">
        <v>1045</v>
      </c>
      <c r="D259" s="125" t="s">
        <v>139</v>
      </c>
      <c r="E259" s="125" t="s">
        <v>137</v>
      </c>
      <c r="F259" s="125" t="s">
        <v>879</v>
      </c>
      <c r="G259" s="125" t="s">
        <v>816</v>
      </c>
      <c r="H259" s="125">
        <f t="shared" si="44"/>
        <v>1000</v>
      </c>
      <c r="I259" s="155">
        <v>50000</v>
      </c>
      <c r="J259" s="155">
        <v>48635</v>
      </c>
      <c r="K259" s="155">
        <f>Master20[[#This Row],[Initial Budget]]-Master20[[#This Row],[Previously Committed Funds]]</f>
        <v>1365</v>
      </c>
      <c r="L259" s="155">
        <v>0</v>
      </c>
      <c r="M259" s="156">
        <v>0</v>
      </c>
      <c r="N259" s="157">
        <f>Master20[[#This Row],[Design $ (Add/Deduct)]]+Master20[[#This Row],[Construction $ (Add/Ded)]]</f>
        <v>0</v>
      </c>
      <c r="O259" s="192">
        <f>Master20[[#This Row],[Total Add]]+Master20[[#This Row],[Current Available Balance]]+Master20[[#This Row],[Previously Committed Funds]]</f>
        <v>50000</v>
      </c>
      <c r="P259" s="153">
        <v>2018</v>
      </c>
      <c r="Q259" s="125" t="s">
        <v>140</v>
      </c>
      <c r="R259" s="153">
        <f t="shared" si="43"/>
        <v>10</v>
      </c>
      <c r="S259" s="153">
        <v>1</v>
      </c>
      <c r="T259" s="153">
        <f t="shared" si="40"/>
        <v>3</v>
      </c>
      <c r="U259" s="154" t="s">
        <v>33</v>
      </c>
      <c r="V259" s="153">
        <f t="shared" si="42"/>
        <v>1</v>
      </c>
      <c r="W259" s="153" t="s">
        <v>30</v>
      </c>
      <c r="X259" s="153">
        <v>0</v>
      </c>
      <c r="Y259" s="153">
        <v>0</v>
      </c>
      <c r="Z259" s="153">
        <v>0</v>
      </c>
      <c r="AA259" s="153">
        <v>0</v>
      </c>
      <c r="AB259" s="153">
        <v>0</v>
      </c>
      <c r="AC259" s="153">
        <v>0</v>
      </c>
      <c r="AD259" s="153">
        <v>0</v>
      </c>
      <c r="AE259" s="153"/>
      <c r="AF259" s="154" t="s">
        <v>29</v>
      </c>
      <c r="AG259" s="153">
        <f>VLOOKUP(Master20[[#This Row],[Elevated Priority]],Epriority,2,)</f>
        <v>0</v>
      </c>
      <c r="AH259" s="153">
        <f>IF(Master20[[#This Row],[Status]]="Active",Master20[[#This Row],[Status_Score]],IF(D259="","",R259+H259+T259+V259+AG259+AE259+Master20[[#This Row],[Risk Mitigation]]+Master20[[#This Row],[Master Plan]]+Master20[[#This Row],[Community Request]]+Master20[[#This Row],[Community need]]+Master20[[#This Row],[Offset Aging Inf.]]+Master20[[#This Row],[Energy Savings]]+Master20[[#This Row],[Gen Revenue]]-5))</f>
        <v>1009</v>
      </c>
      <c r="AI259" s="153" t="s">
        <v>716</v>
      </c>
      <c r="AJ259" s="153"/>
      <c r="AK259" s="153"/>
      <c r="AL259" s="153" t="s">
        <v>1045</v>
      </c>
      <c r="AM259" s="153" t="s">
        <v>1045</v>
      </c>
      <c r="AN259" s="111" t="s">
        <v>937</v>
      </c>
      <c r="AO259" s="170"/>
    </row>
    <row r="260" spans="1:41" ht="33.75" hidden="1" customHeight="1" x14ac:dyDescent="0.25">
      <c r="A260" s="103">
        <f t="shared" si="45"/>
        <v>259</v>
      </c>
      <c r="B260" s="153" t="s">
        <v>1195</v>
      </c>
      <c r="C260" s="178" t="s">
        <v>1199</v>
      </c>
      <c r="D260" s="125" t="s">
        <v>721</v>
      </c>
      <c r="E260" s="125" t="s">
        <v>871</v>
      </c>
      <c r="F260" s="125" t="s">
        <v>683</v>
      </c>
      <c r="G260" s="125" t="s">
        <v>816</v>
      </c>
      <c r="H260" s="125">
        <f t="shared" si="44"/>
        <v>1000</v>
      </c>
      <c r="I260" s="155">
        <v>1400000</v>
      </c>
      <c r="J260" s="155">
        <v>17787.71</v>
      </c>
      <c r="K260" s="155">
        <f>Master20[[#This Row],[Initial Budget]]-Master20[[#This Row],[Previously Committed Funds]]</f>
        <v>1382212.29</v>
      </c>
      <c r="L260" s="155">
        <v>0</v>
      </c>
      <c r="M260" s="156">
        <v>-750000</v>
      </c>
      <c r="N260" s="157">
        <f>Master20[[#This Row],[Design $ (Add/Deduct)]]+Master20[[#This Row],[Construction $ (Add/Ded)]]</f>
        <v>-750000</v>
      </c>
      <c r="O260" s="192">
        <f>Master20[[#This Row],[Total Add]]+Master20[[#This Row],[Current Available Balance]]+Master20[[#This Row],[Previously Committed Funds]]</f>
        <v>650000</v>
      </c>
      <c r="P260" s="153">
        <v>2019</v>
      </c>
      <c r="Q260" s="125" t="s">
        <v>36</v>
      </c>
      <c r="R260" s="153">
        <f>VLOOKUP(Q260,Importance, 2, FALSE)</f>
        <v>10</v>
      </c>
      <c r="S260" s="153">
        <v>1</v>
      </c>
      <c r="T260" s="153">
        <f t="shared" si="40"/>
        <v>3</v>
      </c>
      <c r="U260" s="154" t="s">
        <v>37</v>
      </c>
      <c r="V260" s="153">
        <f t="shared" si="42"/>
        <v>3</v>
      </c>
      <c r="W260" s="153" t="s">
        <v>38</v>
      </c>
      <c r="X260" s="153"/>
      <c r="Y260" s="153"/>
      <c r="Z260" s="153"/>
      <c r="AA260" s="153"/>
      <c r="AB260" s="153"/>
      <c r="AC260" s="153"/>
      <c r="AD260" s="153"/>
      <c r="AE260" s="153"/>
      <c r="AF260" s="154" t="s">
        <v>29</v>
      </c>
      <c r="AG260" s="153">
        <f>VLOOKUP(Master20[[#This Row],[Elevated Priority]],Epriority,2,)</f>
        <v>0</v>
      </c>
      <c r="AH260" s="153">
        <f>IF(Master20[[#This Row],[Status]]="Active",Master20[[#This Row],[Status_Score]],IF(D260="","",R260+H260+T260+V260+AG260+AE260+Master20[[#This Row],[Risk Mitigation]]+Master20[[#This Row],[Master Plan]]+Master20[[#This Row],[Community Request]]+Master20[[#This Row],[Community need]]+Master20[[#This Row],[Offset Aging Inf.]]+Master20[[#This Row],[Energy Savings]]+Master20[[#This Row],[Gen Revenue]]-5))</f>
        <v>1011</v>
      </c>
      <c r="AI260" s="153" t="s">
        <v>758</v>
      </c>
      <c r="AJ260" s="153">
        <v>2019</v>
      </c>
      <c r="AK260" s="153">
        <v>2020</v>
      </c>
      <c r="AL260" s="153">
        <v>2019</v>
      </c>
      <c r="AM260" s="153">
        <v>2020</v>
      </c>
      <c r="AN260" s="111" t="s">
        <v>713</v>
      </c>
      <c r="AO260" s="170"/>
    </row>
    <row r="261" spans="1:41" ht="45" hidden="1" x14ac:dyDescent="0.25">
      <c r="A261" s="103">
        <f t="shared" si="45"/>
        <v>260</v>
      </c>
      <c r="B261" s="153" t="s">
        <v>65</v>
      </c>
      <c r="C261" s="178" t="s">
        <v>1045</v>
      </c>
      <c r="D261" s="125" t="s">
        <v>977</v>
      </c>
      <c r="E261" s="125" t="s">
        <v>161</v>
      </c>
      <c r="F261" s="125" t="s">
        <v>162</v>
      </c>
      <c r="G261" s="125" t="s">
        <v>816</v>
      </c>
      <c r="H261" s="125">
        <f t="shared" si="44"/>
        <v>1000</v>
      </c>
      <c r="I261" s="155">
        <v>50000</v>
      </c>
      <c r="J261" s="155"/>
      <c r="K261" s="155">
        <f>Master20[[#This Row],[Initial Budget]]-Master20[[#This Row],[Previously Committed Funds]]</f>
        <v>50000</v>
      </c>
      <c r="L261" s="155"/>
      <c r="M261" s="156"/>
      <c r="N261" s="157">
        <f>Master20[[#This Row],[Design $ (Add/Deduct)]]+Master20[[#This Row],[Construction $ (Add/Ded)]]</f>
        <v>0</v>
      </c>
      <c r="O261" s="192">
        <v>90000</v>
      </c>
      <c r="P261" s="153">
        <v>2018</v>
      </c>
      <c r="Q261" s="125" t="s">
        <v>36</v>
      </c>
      <c r="R261" s="153">
        <f t="shared" ref="R261:R292" si="46">VLOOKUP(Q261,Importance,2,FALSE)</f>
        <v>10</v>
      </c>
      <c r="S261" s="153">
        <v>1</v>
      </c>
      <c r="T261" s="153">
        <f t="shared" si="40"/>
        <v>3</v>
      </c>
      <c r="U261" s="154" t="s">
        <v>41</v>
      </c>
      <c r="V261" s="153">
        <f t="shared" si="42"/>
        <v>4</v>
      </c>
      <c r="W261" s="153" t="s">
        <v>30</v>
      </c>
      <c r="X261" s="153">
        <v>0</v>
      </c>
      <c r="Y261" s="153">
        <v>0</v>
      </c>
      <c r="Z261" s="153">
        <v>0</v>
      </c>
      <c r="AA261" s="153">
        <v>0</v>
      </c>
      <c r="AB261" s="153">
        <v>0</v>
      </c>
      <c r="AC261" s="153">
        <v>0</v>
      </c>
      <c r="AD261" s="153">
        <v>0</v>
      </c>
      <c r="AE261" s="153"/>
      <c r="AF261" s="154" t="s">
        <v>29</v>
      </c>
      <c r="AG261" s="153">
        <f>VLOOKUP(Master20[[#This Row],[Elevated Priority]],Epriority,2,)</f>
        <v>0</v>
      </c>
      <c r="AH261" s="153">
        <f>IF(Master20[[#This Row],[Status]]="Active",Master20[[#This Row],[Status_Score]],IF(D261="","",R261+H261+T261+V261+AG261+AE261+Master20[[#This Row],[Risk Mitigation]]+Master20[[#This Row],[Master Plan]]+Master20[[#This Row],[Community Request]]+Master20[[#This Row],[Community need]]+Master20[[#This Row],[Offset Aging Inf.]]+Master20[[#This Row],[Energy Savings]]+Master20[[#This Row],[Gen Revenue]]-5))</f>
        <v>1012</v>
      </c>
      <c r="AI261" s="114" t="s">
        <v>717</v>
      </c>
      <c r="AJ261" s="114">
        <v>2021</v>
      </c>
      <c r="AK261" s="114">
        <v>2022</v>
      </c>
      <c r="AL261" s="114">
        <v>2021</v>
      </c>
      <c r="AM261" s="114">
        <v>2022</v>
      </c>
      <c r="AN261" s="111" t="s">
        <v>1172</v>
      </c>
      <c r="AO261" s="170"/>
    </row>
    <row r="262" spans="1:41" ht="66" hidden="1" customHeight="1" x14ac:dyDescent="0.25">
      <c r="A262" s="103">
        <f t="shared" si="45"/>
        <v>261</v>
      </c>
      <c r="B262" s="153" t="s">
        <v>1195</v>
      </c>
      <c r="C262" s="178" t="s">
        <v>1045</v>
      </c>
      <c r="D262" s="125" t="s">
        <v>1019</v>
      </c>
      <c r="E262" s="125" t="s">
        <v>1039</v>
      </c>
      <c r="F262" s="125" t="s">
        <v>811</v>
      </c>
      <c r="G262" s="125" t="s">
        <v>816</v>
      </c>
      <c r="H262" s="125">
        <f t="shared" si="44"/>
        <v>1000</v>
      </c>
      <c r="I262" s="155"/>
      <c r="J262" s="155"/>
      <c r="K262" s="155">
        <f>Master20[[#This Row],[Initial Budget]]-Master20[[#This Row],[Previously Committed Funds]]</f>
        <v>0</v>
      </c>
      <c r="L262" s="155">
        <v>100000</v>
      </c>
      <c r="M262" s="156"/>
      <c r="N262" s="157">
        <f>Master20[[#This Row],[Design $ (Add/Deduct)]]+Master20[[#This Row],[Construction $ (Add/Ded)]]</f>
        <v>100000</v>
      </c>
      <c r="O262" s="192">
        <v>750000</v>
      </c>
      <c r="P262" s="153">
        <v>2020</v>
      </c>
      <c r="Q262" s="125" t="s">
        <v>36</v>
      </c>
      <c r="R262" s="153">
        <f t="shared" si="46"/>
        <v>10</v>
      </c>
      <c r="S262" s="153">
        <v>1</v>
      </c>
      <c r="T262" s="153">
        <f t="shared" si="40"/>
        <v>3</v>
      </c>
      <c r="U262" s="154" t="s">
        <v>41</v>
      </c>
      <c r="V262" s="153">
        <f t="shared" si="42"/>
        <v>4</v>
      </c>
      <c r="W262" s="153" t="s">
        <v>30</v>
      </c>
      <c r="X262" s="153">
        <v>0</v>
      </c>
      <c r="Y262" s="153">
        <v>0</v>
      </c>
      <c r="Z262" s="153">
        <v>0</v>
      </c>
      <c r="AA262" s="153">
        <v>0</v>
      </c>
      <c r="AB262" s="153">
        <v>0</v>
      </c>
      <c r="AC262" s="153">
        <v>0</v>
      </c>
      <c r="AD262" s="153">
        <v>0</v>
      </c>
      <c r="AE262" s="153"/>
      <c r="AF262" s="154" t="s">
        <v>29</v>
      </c>
      <c r="AG262" s="153">
        <f>VLOOKUP(Master20[[#This Row],[Elevated Priority]],Epriority,2,)</f>
        <v>0</v>
      </c>
      <c r="AH262" s="153">
        <f>IF(Master20[[#This Row],[Status]]="Active",Master20[[#This Row],[Status_Score]],IF(D262="","",R262+H262+T262+V262+AG262+AE262+Master20[[#This Row],[Risk Mitigation]]+Master20[[#This Row],[Master Plan]]+Master20[[#This Row],[Community Request]]+Master20[[#This Row],[Community need]]+Master20[[#This Row],[Offset Aging Inf.]]+Master20[[#This Row],[Energy Savings]]+Master20[[#This Row],[Gen Revenue]]-5))</f>
        <v>1012</v>
      </c>
      <c r="AI262" s="153" t="s">
        <v>715</v>
      </c>
      <c r="AJ262" s="153">
        <v>2020</v>
      </c>
      <c r="AK262" s="153">
        <v>2021</v>
      </c>
      <c r="AL262" s="153">
        <v>2020</v>
      </c>
      <c r="AM262" s="153">
        <v>2021</v>
      </c>
      <c r="AN262" s="111" t="s">
        <v>975</v>
      </c>
      <c r="AO262" s="170"/>
    </row>
    <row r="263" spans="1:41" ht="35.25" hidden="1" customHeight="1" x14ac:dyDescent="0.25">
      <c r="A263" s="103">
        <f t="shared" si="45"/>
        <v>262</v>
      </c>
      <c r="B263" s="153" t="s">
        <v>70</v>
      </c>
      <c r="C263" s="178" t="s">
        <v>1045</v>
      </c>
      <c r="D263" s="125" t="s">
        <v>294</v>
      </c>
      <c r="E263" s="125" t="s">
        <v>295</v>
      </c>
      <c r="F263" s="125" t="s">
        <v>820</v>
      </c>
      <c r="G263" s="125" t="s">
        <v>816</v>
      </c>
      <c r="H263" s="125">
        <f t="shared" si="44"/>
        <v>1000</v>
      </c>
      <c r="I263" s="155"/>
      <c r="J263" s="155"/>
      <c r="K263" s="155">
        <f>Master20[[#This Row],[Initial Budget]]-Master20[[#This Row],[Previously Committed Funds]]</f>
        <v>0</v>
      </c>
      <c r="L263" s="155"/>
      <c r="M263" s="156"/>
      <c r="N263" s="157">
        <f>Master20[[#This Row],[Design $ (Add/Deduct)]]+Master20[[#This Row],[Construction $ (Add/Ded)]]</f>
        <v>0</v>
      </c>
      <c r="O263" s="192">
        <v>750000</v>
      </c>
      <c r="P263" s="153">
        <v>2018</v>
      </c>
      <c r="Q263" s="125" t="s">
        <v>830</v>
      </c>
      <c r="R263" s="153">
        <f t="shared" si="46"/>
        <v>10</v>
      </c>
      <c r="S263" s="153">
        <v>1</v>
      </c>
      <c r="T263" s="153">
        <f t="shared" si="40"/>
        <v>3</v>
      </c>
      <c r="U263" s="154" t="s">
        <v>41</v>
      </c>
      <c r="V263" s="153">
        <f t="shared" si="42"/>
        <v>4</v>
      </c>
      <c r="W263" s="153" t="s">
        <v>30</v>
      </c>
      <c r="X263" s="153">
        <v>0</v>
      </c>
      <c r="Y263" s="153">
        <v>0</v>
      </c>
      <c r="Z263" s="153">
        <v>0</v>
      </c>
      <c r="AA263" s="153">
        <v>0</v>
      </c>
      <c r="AB263" s="153">
        <v>0</v>
      </c>
      <c r="AC263" s="153">
        <v>0</v>
      </c>
      <c r="AD263" s="153">
        <v>0</v>
      </c>
      <c r="AE263" s="153"/>
      <c r="AF263" s="154" t="s">
        <v>29</v>
      </c>
      <c r="AG263" s="153">
        <f>VLOOKUP(Master20[[#This Row],[Elevated Priority]],Epriority,2,)</f>
        <v>0</v>
      </c>
      <c r="AH263" s="153">
        <f>IF(Master20[[#This Row],[Status]]="Active",Master20[[#This Row],[Status_Score]],IF(D263="","",R263+H263+T263+V263+AG263+AE263+Master20[[#This Row],[Risk Mitigation]]+Master20[[#This Row],[Master Plan]]+Master20[[#This Row],[Community Request]]+Master20[[#This Row],[Community need]]+Master20[[#This Row],[Offset Aging Inf.]]+Master20[[#This Row],[Energy Savings]]+Master20[[#This Row],[Gen Revenue]]-5))</f>
        <v>1012</v>
      </c>
      <c r="AI263" s="153" t="s">
        <v>715</v>
      </c>
      <c r="AJ263" s="153">
        <v>2020</v>
      </c>
      <c r="AK263" s="153">
        <v>2021</v>
      </c>
      <c r="AL263" s="153">
        <v>2020</v>
      </c>
      <c r="AM263" s="153">
        <v>2021</v>
      </c>
      <c r="AN263" s="111" t="s">
        <v>979</v>
      </c>
      <c r="AO263" s="170"/>
    </row>
    <row r="264" spans="1:41" ht="165" hidden="1" x14ac:dyDescent="0.25">
      <c r="A264" s="103">
        <f t="shared" si="45"/>
        <v>263</v>
      </c>
      <c r="B264" s="153" t="s">
        <v>67</v>
      </c>
      <c r="C264" s="178" t="s">
        <v>1193</v>
      </c>
      <c r="D264" s="125" t="s">
        <v>262</v>
      </c>
      <c r="E264" s="125" t="s">
        <v>884</v>
      </c>
      <c r="F264" s="125" t="s">
        <v>885</v>
      </c>
      <c r="G264" s="125" t="s">
        <v>816</v>
      </c>
      <c r="H264" s="125">
        <f t="shared" si="44"/>
        <v>1000</v>
      </c>
      <c r="I264" s="155">
        <v>731290</v>
      </c>
      <c r="J264" s="155">
        <f>658856+48200</f>
        <v>707056</v>
      </c>
      <c r="K264" s="155">
        <f>Master20[[#This Row],[Initial Budget]]-Master20[[#This Row],[Previously Committed Funds]]</f>
        <v>24234</v>
      </c>
      <c r="L264" s="155"/>
      <c r="M264" s="156"/>
      <c r="N264" s="157">
        <f>Master20[[#This Row],[Design $ (Add/Deduct)]]+Master20[[#This Row],[Construction $ (Add/Ded)]]</f>
        <v>0</v>
      </c>
      <c r="O264" s="192">
        <v>730000</v>
      </c>
      <c r="P264" s="153">
        <v>2018</v>
      </c>
      <c r="Q264" s="125" t="s">
        <v>830</v>
      </c>
      <c r="R264" s="153">
        <f t="shared" si="46"/>
        <v>10</v>
      </c>
      <c r="S264" s="153">
        <v>3</v>
      </c>
      <c r="T264" s="153">
        <f t="shared" si="40"/>
        <v>9</v>
      </c>
      <c r="U264" s="154" t="s">
        <v>33</v>
      </c>
      <c r="V264" s="153">
        <f t="shared" si="42"/>
        <v>1</v>
      </c>
      <c r="W264" s="153" t="s">
        <v>30</v>
      </c>
      <c r="X264" s="153">
        <v>0</v>
      </c>
      <c r="Y264" s="153">
        <v>0</v>
      </c>
      <c r="Z264" s="153">
        <v>0</v>
      </c>
      <c r="AA264" s="153">
        <v>0</v>
      </c>
      <c r="AB264" s="153">
        <v>0</v>
      </c>
      <c r="AC264" s="153">
        <v>0</v>
      </c>
      <c r="AD264" s="153">
        <v>0</v>
      </c>
      <c r="AE264" s="153"/>
      <c r="AF264" s="154" t="s">
        <v>29</v>
      </c>
      <c r="AG264" s="153">
        <f>VLOOKUP(Master20[[#This Row],[Elevated Priority]],Epriority,2,)</f>
        <v>0</v>
      </c>
      <c r="AH264" s="153">
        <f>IF(Master20[[#This Row],[Status]]="Active",Master20[[#This Row],[Status_Score]],IF(D264="","",R264+H264+T264+V264+AG264+AE264+Master20[[#This Row],[Risk Mitigation]]+Master20[[#This Row],[Master Plan]]+Master20[[#This Row],[Community Request]]+Master20[[#This Row],[Community need]]+Master20[[#This Row],[Offset Aging Inf.]]+Master20[[#This Row],[Energy Savings]]+Master20[[#This Row],[Gen Revenue]]-5))</f>
        <v>1015</v>
      </c>
      <c r="AI264" s="114" t="s">
        <v>1052</v>
      </c>
      <c r="AJ264" s="114">
        <v>2021</v>
      </c>
      <c r="AK264" s="114">
        <v>2022</v>
      </c>
      <c r="AL264" s="114">
        <v>2021</v>
      </c>
      <c r="AM264" s="114">
        <v>2021</v>
      </c>
      <c r="AN264" s="111" t="s">
        <v>1159</v>
      </c>
      <c r="AO264" s="170"/>
    </row>
    <row r="265" spans="1:41" ht="30" hidden="1" x14ac:dyDescent="0.25">
      <c r="A265" s="103">
        <f t="shared" si="45"/>
        <v>264</v>
      </c>
      <c r="B265" s="153" t="s">
        <v>94</v>
      </c>
      <c r="C265" s="178" t="s">
        <v>1045</v>
      </c>
      <c r="D265" s="125" t="s">
        <v>267</v>
      </c>
      <c r="E265" s="125" t="s">
        <v>268</v>
      </c>
      <c r="F265" s="125" t="s">
        <v>269</v>
      </c>
      <c r="G265" s="125" t="s">
        <v>816</v>
      </c>
      <c r="H265" s="125">
        <f t="shared" si="44"/>
        <v>1000</v>
      </c>
      <c r="I265" s="155">
        <v>75000</v>
      </c>
      <c r="J265" s="155">
        <v>54090</v>
      </c>
      <c r="K265" s="155">
        <f>Master20[[#This Row],[Initial Budget]]-Master20[[#This Row],[Previously Committed Funds]]</f>
        <v>20910</v>
      </c>
      <c r="L265" s="155"/>
      <c r="M265" s="156">
        <v>650000</v>
      </c>
      <c r="N265" s="157">
        <f>Master20[[#This Row],[Design $ (Add/Deduct)]]+Master20[[#This Row],[Construction $ (Add/Ded)]]</f>
        <v>650000</v>
      </c>
      <c r="O265" s="192">
        <v>650000</v>
      </c>
      <c r="P265" s="153">
        <v>2018</v>
      </c>
      <c r="Q265" s="125" t="s">
        <v>36</v>
      </c>
      <c r="R265" s="153">
        <f t="shared" si="46"/>
        <v>10</v>
      </c>
      <c r="S265" s="153">
        <v>3</v>
      </c>
      <c r="T265" s="153">
        <f t="shared" si="40"/>
        <v>9</v>
      </c>
      <c r="U265" s="154" t="s">
        <v>33</v>
      </c>
      <c r="V265" s="153">
        <f t="shared" si="42"/>
        <v>1</v>
      </c>
      <c r="W265" s="153" t="s">
        <v>30</v>
      </c>
      <c r="X265" s="153">
        <v>0</v>
      </c>
      <c r="Y265" s="153">
        <v>0</v>
      </c>
      <c r="Z265" s="153">
        <v>0</v>
      </c>
      <c r="AA265" s="153">
        <v>0</v>
      </c>
      <c r="AB265" s="153">
        <v>0</v>
      </c>
      <c r="AC265" s="153">
        <v>0</v>
      </c>
      <c r="AD265" s="153">
        <v>0</v>
      </c>
      <c r="AE265" s="153"/>
      <c r="AF265" s="154" t="s">
        <v>29</v>
      </c>
      <c r="AG265" s="153">
        <f>VLOOKUP(Master20[[#This Row],[Elevated Priority]],Epriority,2,)</f>
        <v>0</v>
      </c>
      <c r="AH265" s="153">
        <f>IF(Master20[[#This Row],[Status]]="Active",Master20[[#This Row],[Status_Score]],IF(D265="","",R265+H265+T265+V265+AG265+AE265+Master20[[#This Row],[Risk Mitigation]]+Master20[[#This Row],[Master Plan]]+Master20[[#This Row],[Community Request]]+Master20[[#This Row],[Community need]]+Master20[[#This Row],[Offset Aging Inf.]]+Master20[[#This Row],[Energy Savings]]+Master20[[#This Row],[Gen Revenue]]-5))</f>
        <v>1015</v>
      </c>
      <c r="AI265" s="8" t="s">
        <v>716</v>
      </c>
      <c r="AJ265" s="114">
        <v>2021</v>
      </c>
      <c r="AK265" s="114">
        <v>2022</v>
      </c>
      <c r="AL265" s="114">
        <v>2021</v>
      </c>
      <c r="AM265" s="114">
        <v>2022</v>
      </c>
      <c r="AN265" s="111" t="s">
        <v>1157</v>
      </c>
      <c r="AO265" s="170"/>
    </row>
    <row r="266" spans="1:41" ht="30" hidden="1" x14ac:dyDescent="0.25">
      <c r="A266" s="103">
        <f t="shared" si="45"/>
        <v>265</v>
      </c>
      <c r="B266" s="153" t="s">
        <v>1201</v>
      </c>
      <c r="C266" s="178" t="s">
        <v>79</v>
      </c>
      <c r="D266" s="125" t="s">
        <v>1004</v>
      </c>
      <c r="E266" s="125" t="s">
        <v>776</v>
      </c>
      <c r="F266" s="125" t="s">
        <v>800</v>
      </c>
      <c r="G266" s="125" t="s">
        <v>816</v>
      </c>
      <c r="H266" s="125">
        <f t="shared" si="44"/>
        <v>1000</v>
      </c>
      <c r="I266" s="155">
        <f>836791</f>
        <v>836791</v>
      </c>
      <c r="J266" s="155">
        <v>675791</v>
      </c>
      <c r="K266" s="155">
        <f>Master20[[#This Row],[Initial Budget]]-Master20[[#This Row],[Previously Committed Funds]]</f>
        <v>161000</v>
      </c>
      <c r="L266" s="155"/>
      <c r="M266" s="156"/>
      <c r="N266" s="157">
        <f>Master20[[#This Row],[Design $ (Add/Deduct)]]+Master20[[#This Row],[Construction $ (Add/Ded)]]</f>
        <v>0</v>
      </c>
      <c r="O266" s="192">
        <v>850000</v>
      </c>
      <c r="P266" s="153">
        <v>2020</v>
      </c>
      <c r="Q266" s="125" t="s">
        <v>688</v>
      </c>
      <c r="R266" s="153">
        <f t="shared" si="46"/>
        <v>20</v>
      </c>
      <c r="S266" s="153">
        <v>1</v>
      </c>
      <c r="T266" s="153">
        <f t="shared" si="40"/>
        <v>3</v>
      </c>
      <c r="U266" s="154" t="s">
        <v>37</v>
      </c>
      <c r="V266" s="153">
        <f t="shared" si="42"/>
        <v>3</v>
      </c>
      <c r="W266" s="153" t="s">
        <v>34</v>
      </c>
      <c r="X266" s="153">
        <v>0</v>
      </c>
      <c r="Y266" s="153">
        <v>0</v>
      </c>
      <c r="Z266" s="153">
        <v>-3</v>
      </c>
      <c r="AA266" s="153">
        <v>0</v>
      </c>
      <c r="AB266" s="153">
        <v>0</v>
      </c>
      <c r="AC266" s="153">
        <v>0</v>
      </c>
      <c r="AD266" s="153">
        <v>-3</v>
      </c>
      <c r="AE266" s="153"/>
      <c r="AF266" s="154" t="s">
        <v>29</v>
      </c>
      <c r="AG266" s="153">
        <f>VLOOKUP(Master20[[#This Row],[Elevated Priority]],Epriority,2,)</f>
        <v>0</v>
      </c>
      <c r="AH266" s="153">
        <f>IF(Master20[[#This Row],[Status]]="Active",Master20[[#This Row],[Status_Score]],IF(D266="","",R266+H266+T266+V266+AG266+AE266+Master20[[#This Row],[Risk Mitigation]]+Master20[[#This Row],[Master Plan]]+Master20[[#This Row],[Community Request]]+Master20[[#This Row],[Community need]]+Master20[[#This Row],[Offset Aging Inf.]]+Master20[[#This Row],[Energy Savings]]+Master20[[#This Row],[Gen Revenue]]-5))</f>
        <v>1015</v>
      </c>
      <c r="AI266" s="114" t="s">
        <v>716</v>
      </c>
      <c r="AJ266" s="114">
        <v>2020</v>
      </c>
      <c r="AK266" s="114">
        <v>2021</v>
      </c>
      <c r="AL266" s="114">
        <v>2020</v>
      </c>
      <c r="AM266" s="114">
        <v>2022</v>
      </c>
      <c r="AN266" s="111" t="s">
        <v>1158</v>
      </c>
      <c r="AO266" s="170"/>
    </row>
    <row r="267" spans="1:41" hidden="1" x14ac:dyDescent="0.25">
      <c r="A267" s="103">
        <f t="shared" si="45"/>
        <v>266</v>
      </c>
      <c r="B267" s="174" t="s">
        <v>70</v>
      </c>
      <c r="C267" s="200" t="s">
        <v>1045</v>
      </c>
      <c r="D267" s="173" t="s">
        <v>1001</v>
      </c>
      <c r="E267" s="173" t="s">
        <v>859</v>
      </c>
      <c r="F267" s="173" t="s">
        <v>1320</v>
      </c>
      <c r="G267" s="173" t="s">
        <v>816</v>
      </c>
      <c r="H267" s="173">
        <f t="shared" si="44"/>
        <v>1000</v>
      </c>
      <c r="I267" s="188"/>
      <c r="J267" s="188"/>
      <c r="K267" s="188">
        <f>Master20[[#This Row],[Initial Budget]]-Master20[[#This Row],[Previously Committed Funds]]</f>
        <v>0</v>
      </c>
      <c r="L267" s="188"/>
      <c r="M267" s="189"/>
      <c r="N267" s="190">
        <f>Master20[[#This Row],[Design $ (Add/Deduct)]]+Master20[[#This Row],[Construction $ (Add/Ded)]]</f>
        <v>0</v>
      </c>
      <c r="O267" s="191">
        <v>150000</v>
      </c>
      <c r="P267" s="174">
        <v>2018</v>
      </c>
      <c r="Q267" s="173" t="s">
        <v>688</v>
      </c>
      <c r="R267" s="174">
        <f t="shared" si="46"/>
        <v>20</v>
      </c>
      <c r="S267" s="174" t="s">
        <v>29</v>
      </c>
      <c r="T267" s="174">
        <f t="shared" si="40"/>
        <v>0</v>
      </c>
      <c r="U267" s="174" t="s">
        <v>41</v>
      </c>
      <c r="V267" s="8">
        <f t="shared" si="42"/>
        <v>4</v>
      </c>
      <c r="W267" s="8" t="s">
        <v>30</v>
      </c>
      <c r="X267" s="8">
        <v>0</v>
      </c>
      <c r="Y267" s="8">
        <v>0</v>
      </c>
      <c r="Z267" s="8">
        <v>0</v>
      </c>
      <c r="AA267" s="8">
        <v>0</v>
      </c>
      <c r="AB267" s="8">
        <v>0</v>
      </c>
      <c r="AC267" s="8">
        <v>0</v>
      </c>
      <c r="AD267" s="8">
        <v>0</v>
      </c>
      <c r="AF267" s="17" t="s">
        <v>29</v>
      </c>
      <c r="AG267" s="8">
        <f>VLOOKUP(Master20[[#This Row],[Elevated Priority]],Epriority,2,)</f>
        <v>0</v>
      </c>
      <c r="AH267" s="174">
        <f>IF(Master20[[#This Row],[Status]]="Active",Master20[[#This Row],[Status_Score]],IF(D267="","",R267+H267+T267+V267+AG267+AE267+Master20[[#This Row],[Risk Mitigation]]+Master20[[#This Row],[Master Plan]]+Master20[[#This Row],[Community Request]]+Master20[[#This Row],[Community need]]+Master20[[#This Row],[Offset Aging Inf.]]+Master20[[#This Row],[Energy Savings]]+Master20[[#This Row],[Gen Revenue]]-5))</f>
        <v>1019</v>
      </c>
      <c r="AI267" s="8"/>
      <c r="AJ267" s="8">
        <v>2020</v>
      </c>
      <c r="AK267" s="8">
        <v>2021</v>
      </c>
      <c r="AL267" s="8">
        <v>2020</v>
      </c>
      <c r="AM267" s="8">
        <v>2021</v>
      </c>
      <c r="AN267" s="10" t="s">
        <v>978</v>
      </c>
      <c r="AO267" s="170"/>
    </row>
    <row r="268" spans="1:41" ht="90" hidden="1" x14ac:dyDescent="0.25">
      <c r="A268" s="103">
        <f t="shared" si="45"/>
        <v>267</v>
      </c>
      <c r="B268" s="153" t="s">
        <v>67</v>
      </c>
      <c r="C268" s="178" t="s">
        <v>73</v>
      </c>
      <c r="D268" s="125" t="s">
        <v>438</v>
      </c>
      <c r="E268" s="125" t="s">
        <v>439</v>
      </c>
      <c r="F268" s="125" t="s">
        <v>918</v>
      </c>
      <c r="G268" s="125" t="s">
        <v>816</v>
      </c>
      <c r="H268" s="125">
        <f t="shared" si="44"/>
        <v>1000</v>
      </c>
      <c r="I268" s="155"/>
      <c r="J268" s="155"/>
      <c r="K268" s="155">
        <f>Master20[[#This Row],[Initial Budget]]-Master20[[#This Row],[Previously Committed Funds]]</f>
        <v>0</v>
      </c>
      <c r="L268" s="155"/>
      <c r="M268" s="156"/>
      <c r="N268" s="157">
        <f>Master20[[#This Row],[Design $ (Add/Deduct)]]+Master20[[#This Row],[Construction $ (Add/Ded)]]</f>
        <v>0</v>
      </c>
      <c r="O268" s="192">
        <v>15000</v>
      </c>
      <c r="P268" s="153">
        <v>2018</v>
      </c>
      <c r="Q268" s="125" t="s">
        <v>687</v>
      </c>
      <c r="R268" s="153">
        <f t="shared" si="46"/>
        <v>30</v>
      </c>
      <c r="S268" s="153">
        <v>3</v>
      </c>
      <c r="T268" s="153">
        <f t="shared" si="40"/>
        <v>9</v>
      </c>
      <c r="U268" s="154" t="s">
        <v>43</v>
      </c>
      <c r="V268" s="153">
        <f t="shared" si="42"/>
        <v>16</v>
      </c>
      <c r="W268" s="153" t="s">
        <v>30</v>
      </c>
      <c r="X268" s="153">
        <v>0</v>
      </c>
      <c r="Y268" s="153">
        <v>0</v>
      </c>
      <c r="Z268" s="153">
        <v>0</v>
      </c>
      <c r="AA268" s="153">
        <v>0</v>
      </c>
      <c r="AB268" s="153">
        <v>0</v>
      </c>
      <c r="AC268" s="153">
        <v>0</v>
      </c>
      <c r="AD268" s="153">
        <v>0</v>
      </c>
      <c r="AE268" s="153"/>
      <c r="AF268" s="154" t="s">
        <v>39</v>
      </c>
      <c r="AG268" s="153">
        <f>VLOOKUP(Master20[[#This Row],[Elevated Priority]],Epriority,2,)</f>
        <v>-30</v>
      </c>
      <c r="AH268" s="153">
        <f>IF(Master20[[#This Row],[Status]]="Active",Master20[[#This Row],[Status_Score]],IF(D268="","",R268+H268+T268+V268+AG268+AE268+Master20[[#This Row],[Risk Mitigation]]+Master20[[#This Row],[Master Plan]]+Master20[[#This Row],[Community Request]]+Master20[[#This Row],[Community need]]+Master20[[#This Row],[Offset Aging Inf.]]+Master20[[#This Row],[Energy Savings]]+Master20[[#This Row],[Gen Revenue]]-5))</f>
        <v>1020</v>
      </c>
      <c r="AI268" s="153"/>
      <c r="AJ268" s="153"/>
      <c r="AK268" s="153"/>
      <c r="AL268" s="153" t="s">
        <v>1045</v>
      </c>
      <c r="AM268" s="153" t="s">
        <v>1045</v>
      </c>
      <c r="AN268" s="111"/>
      <c r="AO268" s="170"/>
    </row>
    <row r="269" spans="1:41" ht="30" hidden="1" x14ac:dyDescent="0.25">
      <c r="A269" s="103">
        <f t="shared" si="45"/>
        <v>268</v>
      </c>
      <c r="B269" s="153" t="s">
        <v>79</v>
      </c>
      <c r="C269" s="178" t="s">
        <v>1045</v>
      </c>
      <c r="D269" s="125" t="s">
        <v>199</v>
      </c>
      <c r="E269" s="125" t="s">
        <v>200</v>
      </c>
      <c r="F269" s="125" t="s">
        <v>201</v>
      </c>
      <c r="G269" s="125" t="s">
        <v>816</v>
      </c>
      <c r="H269" s="125">
        <f t="shared" si="44"/>
        <v>1000</v>
      </c>
      <c r="I269" s="155"/>
      <c r="J269" s="155"/>
      <c r="K269" s="155">
        <f>Master20[[#This Row],[Initial Budget]]-Master20[[#This Row],[Previously Committed Funds]]</f>
        <v>0</v>
      </c>
      <c r="L269" s="155"/>
      <c r="M269" s="156"/>
      <c r="N269" s="157">
        <f>Master20[[#This Row],[Design $ (Add/Deduct)]]+Master20[[#This Row],[Construction $ (Add/Ded)]]</f>
        <v>0</v>
      </c>
      <c r="O269" s="192">
        <v>30000</v>
      </c>
      <c r="P269" s="153">
        <v>2018</v>
      </c>
      <c r="Q269" s="125" t="s">
        <v>36</v>
      </c>
      <c r="R269" s="153">
        <f t="shared" si="46"/>
        <v>10</v>
      </c>
      <c r="S269" s="153">
        <v>4</v>
      </c>
      <c r="T269" s="153">
        <f t="shared" ref="T269:T300" si="47">VLOOKUP(S269,Department,2,FALSE)</f>
        <v>12</v>
      </c>
      <c r="U269" s="154" t="s">
        <v>41</v>
      </c>
      <c r="V269" s="153">
        <f t="shared" si="42"/>
        <v>4</v>
      </c>
      <c r="W269" s="153" t="s">
        <v>30</v>
      </c>
      <c r="X269" s="153">
        <v>0</v>
      </c>
      <c r="Y269" s="153">
        <v>0</v>
      </c>
      <c r="Z269" s="153">
        <v>0</v>
      </c>
      <c r="AA269" s="153">
        <v>0</v>
      </c>
      <c r="AB269" s="153">
        <v>0</v>
      </c>
      <c r="AC269" s="153">
        <v>0</v>
      </c>
      <c r="AD269" s="153">
        <v>0</v>
      </c>
      <c r="AE269" s="153"/>
      <c r="AF269" s="154" t="s">
        <v>29</v>
      </c>
      <c r="AG269" s="153">
        <f>VLOOKUP(Master20[[#This Row],[Elevated Priority]],Epriority,2,)</f>
        <v>0</v>
      </c>
      <c r="AH269" s="153">
        <f>IF(Master20[[#This Row],[Status]]="Active",Master20[[#This Row],[Status_Score]],IF(D269="","",R269+H269+T269+V269+AG269+AE269+Master20[[#This Row],[Risk Mitigation]]+Master20[[#This Row],[Master Plan]]+Master20[[#This Row],[Community Request]]+Master20[[#This Row],[Community need]]+Master20[[#This Row],[Offset Aging Inf.]]+Master20[[#This Row],[Energy Savings]]+Master20[[#This Row],[Gen Revenue]]-5))</f>
        <v>1021</v>
      </c>
      <c r="AI269" s="153"/>
      <c r="AJ269" s="153"/>
      <c r="AK269" s="153">
        <v>2020</v>
      </c>
      <c r="AL269" s="153" t="s">
        <v>1045</v>
      </c>
      <c r="AM269" s="153" t="s">
        <v>1045</v>
      </c>
      <c r="AN269" s="111"/>
      <c r="AO269" s="170"/>
    </row>
    <row r="270" spans="1:41" ht="30" hidden="1" x14ac:dyDescent="0.25">
      <c r="A270" s="103">
        <f t="shared" si="45"/>
        <v>269</v>
      </c>
      <c r="B270" s="153" t="s">
        <v>1195</v>
      </c>
      <c r="C270" s="178" t="s">
        <v>1045</v>
      </c>
      <c r="D270" s="125" t="s">
        <v>1002</v>
      </c>
      <c r="E270" s="125" t="s">
        <v>886</v>
      </c>
      <c r="F270" s="125" t="s">
        <v>809</v>
      </c>
      <c r="G270" s="125" t="s">
        <v>816</v>
      </c>
      <c r="H270" s="125">
        <f t="shared" si="44"/>
        <v>1000</v>
      </c>
      <c r="I270" s="155"/>
      <c r="J270" s="155"/>
      <c r="K270" s="155">
        <f>Master20[[#This Row],[Initial Budget]]-Master20[[#This Row],[Previously Committed Funds]]</f>
        <v>0</v>
      </c>
      <c r="L270" s="155">
        <v>40000</v>
      </c>
      <c r="M270" s="156"/>
      <c r="N270" s="157">
        <f>Master20[[#This Row],[Design $ (Add/Deduct)]]+Master20[[#This Row],[Construction $ (Add/Ded)]]</f>
        <v>40000</v>
      </c>
      <c r="O270" s="192">
        <v>350000</v>
      </c>
      <c r="P270" s="153">
        <v>2020</v>
      </c>
      <c r="Q270" s="125" t="s">
        <v>688</v>
      </c>
      <c r="R270" s="153">
        <f t="shared" si="46"/>
        <v>20</v>
      </c>
      <c r="S270" s="153">
        <v>1</v>
      </c>
      <c r="T270" s="153">
        <f t="shared" si="47"/>
        <v>3</v>
      </c>
      <c r="U270" s="154" t="s">
        <v>41</v>
      </c>
      <c r="V270" s="153">
        <f t="shared" si="42"/>
        <v>4</v>
      </c>
      <c r="W270" s="153" t="s">
        <v>30</v>
      </c>
      <c r="X270" s="153">
        <v>0</v>
      </c>
      <c r="Y270" s="153">
        <v>0</v>
      </c>
      <c r="Z270" s="153">
        <v>0</v>
      </c>
      <c r="AA270" s="153">
        <v>0</v>
      </c>
      <c r="AB270" s="153">
        <v>0</v>
      </c>
      <c r="AC270" s="153">
        <v>0</v>
      </c>
      <c r="AD270" s="153">
        <v>0</v>
      </c>
      <c r="AE270" s="153"/>
      <c r="AF270" s="154" t="s">
        <v>29</v>
      </c>
      <c r="AG270" s="153">
        <f>VLOOKUP(Master20[[#This Row],[Elevated Priority]],Epriority,2,)</f>
        <v>0</v>
      </c>
      <c r="AH270" s="153">
        <f>IF(Master20[[#This Row],[Status]]="Active",Master20[[#This Row],[Status_Score]],IF(D270="","",R270+H270+T270+V270+AG270+AE270+Master20[[#This Row],[Risk Mitigation]]+Master20[[#This Row],[Master Plan]]+Master20[[#This Row],[Community Request]]+Master20[[#This Row],[Community need]]+Master20[[#This Row],[Offset Aging Inf.]]+Master20[[#This Row],[Energy Savings]]+Master20[[#This Row],[Gen Revenue]]-5))</f>
        <v>1022</v>
      </c>
      <c r="AI270" s="8"/>
      <c r="AJ270" s="8">
        <v>2020</v>
      </c>
      <c r="AK270" s="8">
        <v>2021</v>
      </c>
      <c r="AL270" s="8">
        <v>2020</v>
      </c>
      <c r="AM270" s="8">
        <v>2021</v>
      </c>
      <c r="AN270" s="10" t="s">
        <v>975</v>
      </c>
      <c r="AO270" s="170"/>
    </row>
    <row r="271" spans="1:41" ht="30" hidden="1" x14ac:dyDescent="0.25">
      <c r="A271" s="103">
        <f t="shared" si="45"/>
        <v>270</v>
      </c>
      <c r="B271" s="153" t="s">
        <v>79</v>
      </c>
      <c r="C271" s="178" t="s">
        <v>1045</v>
      </c>
      <c r="D271" s="125" t="s">
        <v>779</v>
      </c>
      <c r="E271" s="125" t="s">
        <v>802</v>
      </c>
      <c r="F271" s="125" t="s">
        <v>803</v>
      </c>
      <c r="G271" s="125" t="s">
        <v>816</v>
      </c>
      <c r="H271" s="125">
        <f t="shared" si="44"/>
        <v>1000</v>
      </c>
      <c r="I271" s="155"/>
      <c r="J271" s="155"/>
      <c r="K271" s="155">
        <f>Master20[[#This Row],[Initial Budget]]-Master20[[#This Row],[Previously Committed Funds]]</f>
        <v>0</v>
      </c>
      <c r="L271" s="155"/>
      <c r="M271" s="156"/>
      <c r="N271" s="157">
        <f>Master20[[#This Row],[Design $ (Add/Deduct)]]+Master20[[#This Row],[Construction $ (Add/Ded)]]</f>
        <v>0</v>
      </c>
      <c r="O271" s="192">
        <v>150000</v>
      </c>
      <c r="P271" s="153">
        <v>2020</v>
      </c>
      <c r="Q271" s="125" t="s">
        <v>688</v>
      </c>
      <c r="R271" s="153">
        <f t="shared" si="46"/>
        <v>20</v>
      </c>
      <c r="S271" s="153">
        <v>3</v>
      </c>
      <c r="T271" s="153">
        <f t="shared" si="47"/>
        <v>9</v>
      </c>
      <c r="U271" s="154" t="s">
        <v>33</v>
      </c>
      <c r="V271" s="153">
        <f t="shared" si="42"/>
        <v>1</v>
      </c>
      <c r="W271" s="153" t="s">
        <v>30</v>
      </c>
      <c r="X271" s="153">
        <v>0</v>
      </c>
      <c r="Y271" s="153">
        <v>0</v>
      </c>
      <c r="Z271" s="153">
        <v>0</v>
      </c>
      <c r="AA271" s="153">
        <v>0</v>
      </c>
      <c r="AB271" s="153">
        <v>0</v>
      </c>
      <c r="AC271" s="153">
        <v>0</v>
      </c>
      <c r="AD271" s="153">
        <v>0</v>
      </c>
      <c r="AE271" s="153"/>
      <c r="AF271" s="154" t="s">
        <v>29</v>
      </c>
      <c r="AG271" s="153">
        <f>VLOOKUP(Master20[[#This Row],[Elevated Priority]],Epriority,2,)</f>
        <v>0</v>
      </c>
      <c r="AH271" s="153">
        <f>IF(Master20[[#This Row],[Status]]="Active",Master20[[#This Row],[Status_Score]],IF(D271="","",R271+H271+T271+V271+AG271+AE271+Master20[[#This Row],[Risk Mitigation]]+Master20[[#This Row],[Master Plan]]+Master20[[#This Row],[Community Request]]+Master20[[#This Row],[Community need]]+Master20[[#This Row],[Offset Aging Inf.]]+Master20[[#This Row],[Energy Savings]]+Master20[[#This Row],[Gen Revenue]]-5))</f>
        <v>1025</v>
      </c>
      <c r="AI271" s="153" t="s">
        <v>758</v>
      </c>
      <c r="AJ271" s="153">
        <v>2020</v>
      </c>
      <c r="AK271" s="153">
        <v>2020</v>
      </c>
      <c r="AL271" s="153">
        <v>2020</v>
      </c>
      <c r="AM271" s="153">
        <v>2021</v>
      </c>
      <c r="AN271" s="111"/>
      <c r="AO271" s="170"/>
    </row>
    <row r="272" spans="1:41" ht="45" hidden="1" x14ac:dyDescent="0.25">
      <c r="A272" s="103">
        <f t="shared" si="45"/>
        <v>271</v>
      </c>
      <c r="B272" s="153" t="s">
        <v>143</v>
      </c>
      <c r="C272" s="178" t="s">
        <v>299</v>
      </c>
      <c r="D272" s="125" t="s">
        <v>414</v>
      </c>
      <c r="E272" s="125" t="s">
        <v>414</v>
      </c>
      <c r="F272" s="125" t="s">
        <v>415</v>
      </c>
      <c r="G272" s="125" t="s">
        <v>816</v>
      </c>
      <c r="H272" s="125">
        <f t="shared" si="44"/>
        <v>1000</v>
      </c>
      <c r="I272" s="155"/>
      <c r="J272" s="155"/>
      <c r="K272" s="155">
        <f>Master20[[#This Row],[Initial Budget]]-Master20[[#This Row],[Previously Committed Funds]]</f>
        <v>0</v>
      </c>
      <c r="L272" s="155"/>
      <c r="M272" s="156"/>
      <c r="N272" s="157">
        <f>Master20[[#This Row],[Design $ (Add/Deduct)]]+Master20[[#This Row],[Construction $ (Add/Ded)]]</f>
        <v>0</v>
      </c>
      <c r="O272" s="192">
        <v>250000</v>
      </c>
      <c r="P272" s="153">
        <v>2018</v>
      </c>
      <c r="Q272" s="125" t="s">
        <v>688</v>
      </c>
      <c r="R272" s="153">
        <f t="shared" si="46"/>
        <v>20</v>
      </c>
      <c r="S272" s="153">
        <v>2</v>
      </c>
      <c r="T272" s="153">
        <f t="shared" si="47"/>
        <v>6</v>
      </c>
      <c r="U272" s="154" t="s">
        <v>41</v>
      </c>
      <c r="V272" s="153">
        <f t="shared" si="42"/>
        <v>4</v>
      </c>
      <c r="W272" s="153" t="s">
        <v>30</v>
      </c>
      <c r="X272" s="153">
        <v>0</v>
      </c>
      <c r="Y272" s="153">
        <v>0</v>
      </c>
      <c r="Z272" s="153">
        <v>0</v>
      </c>
      <c r="AA272" s="153">
        <v>0</v>
      </c>
      <c r="AB272" s="153">
        <v>0</v>
      </c>
      <c r="AC272" s="153">
        <v>0</v>
      </c>
      <c r="AD272" s="153">
        <v>0</v>
      </c>
      <c r="AE272" s="153"/>
      <c r="AF272" s="154" t="s">
        <v>29</v>
      </c>
      <c r="AG272" s="153">
        <f>VLOOKUP(Master20[[#This Row],[Elevated Priority]],Epriority,2,)</f>
        <v>0</v>
      </c>
      <c r="AH272" s="153">
        <f>IF(Master20[[#This Row],[Status]]="Active",Master20[[#This Row],[Status_Score]],IF(D272="","",R272+H272+T272+V272+AG272+AE272+Master20[[#This Row],[Risk Mitigation]]+Master20[[#This Row],[Master Plan]]+Master20[[#This Row],[Community Request]]+Master20[[#This Row],[Community need]]+Master20[[#This Row],[Offset Aging Inf.]]+Master20[[#This Row],[Energy Savings]]+Master20[[#This Row],[Gen Revenue]]-5))</f>
        <v>1025</v>
      </c>
      <c r="AI272" s="153" t="s">
        <v>718</v>
      </c>
      <c r="AJ272" s="153">
        <v>2020</v>
      </c>
      <c r="AK272" s="153">
        <v>2021</v>
      </c>
      <c r="AL272" s="153">
        <v>2020</v>
      </c>
      <c r="AM272" s="153">
        <v>2021</v>
      </c>
      <c r="AN272" s="111"/>
      <c r="AO272" s="170"/>
    </row>
    <row r="273" spans="1:41" ht="45" hidden="1" x14ac:dyDescent="0.25">
      <c r="A273" s="103">
        <f t="shared" si="45"/>
        <v>272</v>
      </c>
      <c r="B273" s="153" t="s">
        <v>94</v>
      </c>
      <c r="C273" s="178" t="s">
        <v>646</v>
      </c>
      <c r="D273" s="125" t="s">
        <v>753</v>
      </c>
      <c r="E273" s="125" t="s">
        <v>854</v>
      </c>
      <c r="F273" s="125" t="s">
        <v>880</v>
      </c>
      <c r="G273" s="125" t="s">
        <v>816</v>
      </c>
      <c r="H273" s="125">
        <f t="shared" si="44"/>
        <v>1000</v>
      </c>
      <c r="I273" s="155"/>
      <c r="J273" s="155"/>
      <c r="K273" s="155">
        <f>Master20[[#This Row],[Initial Budget]]-Master20[[#This Row],[Previously Committed Funds]]</f>
        <v>0</v>
      </c>
      <c r="L273" s="155"/>
      <c r="M273" s="156"/>
      <c r="N273" s="157">
        <f>Master20[[#This Row],[Design $ (Add/Deduct)]]+Master20[[#This Row],[Construction $ (Add/Ded)]]</f>
        <v>0</v>
      </c>
      <c r="O273" s="192">
        <v>300000</v>
      </c>
      <c r="P273" s="153">
        <v>2019</v>
      </c>
      <c r="Q273" s="125" t="s">
        <v>36</v>
      </c>
      <c r="R273" s="153">
        <f t="shared" si="46"/>
        <v>10</v>
      </c>
      <c r="S273" s="153">
        <v>10</v>
      </c>
      <c r="T273" s="153">
        <f t="shared" si="47"/>
        <v>21</v>
      </c>
      <c r="U273" s="154" t="s">
        <v>33</v>
      </c>
      <c r="V273" s="153">
        <f t="shared" ref="V273:V304" si="48">VLOOKUP(U273,Urgency,2,FALSE)</f>
        <v>1</v>
      </c>
      <c r="W273" s="153" t="s">
        <v>30</v>
      </c>
      <c r="X273" s="153">
        <v>0</v>
      </c>
      <c r="Y273" s="153">
        <v>0</v>
      </c>
      <c r="Z273" s="153">
        <v>0</v>
      </c>
      <c r="AA273" s="153">
        <v>0</v>
      </c>
      <c r="AB273" s="153">
        <v>0</v>
      </c>
      <c r="AC273" s="153">
        <v>0</v>
      </c>
      <c r="AD273" s="153">
        <v>0</v>
      </c>
      <c r="AE273" s="153"/>
      <c r="AF273" s="154" t="s">
        <v>29</v>
      </c>
      <c r="AG273" s="153">
        <f>VLOOKUP(Master20[[#This Row],[Elevated Priority]],Epriority,2,)</f>
        <v>0</v>
      </c>
      <c r="AH273" s="153">
        <f>IF(Master20[[#This Row],[Status]]="Active",Master20[[#This Row],[Status_Score]],IF(D273="","",R273+H273+T273+V273+AG273+AE273+Master20[[#This Row],[Risk Mitigation]]+Master20[[#This Row],[Master Plan]]+Master20[[#This Row],[Community Request]]+Master20[[#This Row],[Community need]]+Master20[[#This Row],[Offset Aging Inf.]]+Master20[[#This Row],[Energy Savings]]+Master20[[#This Row],[Gen Revenue]]-5))</f>
        <v>1027</v>
      </c>
      <c r="AI273" s="153"/>
      <c r="AJ273" s="153">
        <v>2019</v>
      </c>
      <c r="AK273" s="153">
        <v>2020</v>
      </c>
      <c r="AL273" s="153">
        <v>2019</v>
      </c>
      <c r="AM273" s="153">
        <v>2020</v>
      </c>
      <c r="AN273" s="111" t="s">
        <v>654</v>
      </c>
      <c r="AO273" s="170"/>
    </row>
    <row r="274" spans="1:41" hidden="1" x14ac:dyDescent="0.25">
      <c r="A274" s="103">
        <f t="shared" si="45"/>
        <v>273</v>
      </c>
      <c r="B274" s="153" t="s">
        <v>79</v>
      </c>
      <c r="C274" s="178" t="s">
        <v>1045</v>
      </c>
      <c r="D274" s="125" t="s">
        <v>248</v>
      </c>
      <c r="E274" s="125" t="s">
        <v>249</v>
      </c>
      <c r="F274" s="125" t="s">
        <v>250</v>
      </c>
      <c r="G274" s="125" t="s">
        <v>816</v>
      </c>
      <c r="H274" s="125">
        <f t="shared" si="44"/>
        <v>1000</v>
      </c>
      <c r="I274" s="155"/>
      <c r="J274" s="155"/>
      <c r="K274" s="155">
        <f>Master20[[#This Row],[Initial Budget]]-Master20[[#This Row],[Previously Committed Funds]]</f>
        <v>0</v>
      </c>
      <c r="L274" s="155"/>
      <c r="M274" s="156"/>
      <c r="N274" s="157">
        <f>Master20[[#This Row],[Design $ (Add/Deduct)]]+Master20[[#This Row],[Construction $ (Add/Ded)]]</f>
        <v>0</v>
      </c>
      <c r="O274" s="192">
        <v>50000</v>
      </c>
      <c r="P274" s="153">
        <v>2018</v>
      </c>
      <c r="Q274" s="125" t="s">
        <v>36</v>
      </c>
      <c r="R274" s="153">
        <f t="shared" si="46"/>
        <v>10</v>
      </c>
      <c r="S274" s="153">
        <v>6</v>
      </c>
      <c r="T274" s="153">
        <f t="shared" si="47"/>
        <v>18</v>
      </c>
      <c r="U274" s="154" t="s">
        <v>41</v>
      </c>
      <c r="V274" s="153">
        <f t="shared" si="48"/>
        <v>4</v>
      </c>
      <c r="W274" s="153" t="s">
        <v>30</v>
      </c>
      <c r="X274" s="153">
        <v>0</v>
      </c>
      <c r="Y274" s="153">
        <v>0</v>
      </c>
      <c r="Z274" s="153">
        <v>0</v>
      </c>
      <c r="AA274" s="153">
        <v>0</v>
      </c>
      <c r="AB274" s="153">
        <v>0</v>
      </c>
      <c r="AC274" s="153">
        <v>0</v>
      </c>
      <c r="AD274" s="153">
        <v>0</v>
      </c>
      <c r="AE274" s="153"/>
      <c r="AF274" s="154" t="s">
        <v>29</v>
      </c>
      <c r="AG274" s="153">
        <f>VLOOKUP(Master20[[#This Row],[Elevated Priority]],Epriority,2,)</f>
        <v>0</v>
      </c>
      <c r="AH274" s="153">
        <f>IF(Master20[[#This Row],[Status]]="Active",Master20[[#This Row],[Status_Score]],IF(D274="","",R274+H274+T274+V274+AG274+AE274+Master20[[#This Row],[Risk Mitigation]]+Master20[[#This Row],[Master Plan]]+Master20[[#This Row],[Community Request]]+Master20[[#This Row],[Community need]]+Master20[[#This Row],[Offset Aging Inf.]]+Master20[[#This Row],[Energy Savings]]+Master20[[#This Row],[Gen Revenue]]-5))</f>
        <v>1027</v>
      </c>
      <c r="AI274" s="153"/>
      <c r="AJ274" s="153"/>
      <c r="AK274" s="153"/>
      <c r="AL274" s="153" t="s">
        <v>1045</v>
      </c>
      <c r="AM274" s="153" t="s">
        <v>1045</v>
      </c>
      <c r="AN274" s="111"/>
      <c r="AO274" s="170"/>
    </row>
    <row r="275" spans="1:41" ht="60" hidden="1" x14ac:dyDescent="0.25">
      <c r="A275" s="103">
        <f t="shared" si="45"/>
        <v>274</v>
      </c>
      <c r="B275" s="153" t="s">
        <v>70</v>
      </c>
      <c r="C275" s="178" t="s">
        <v>1045</v>
      </c>
      <c r="D275" s="125" t="s">
        <v>1104</v>
      </c>
      <c r="E275" s="125" t="s">
        <v>1106</v>
      </c>
      <c r="F275" s="125" t="s">
        <v>1105</v>
      </c>
      <c r="G275" s="125" t="s">
        <v>816</v>
      </c>
      <c r="H275" s="125">
        <f t="shared" si="44"/>
        <v>1000</v>
      </c>
      <c r="I275" s="155"/>
      <c r="J275" s="155"/>
      <c r="K275" s="155">
        <f>Master20[[#This Row],[Initial Budget]]-Master20[[#This Row],[Previously Committed Funds]]</f>
        <v>0</v>
      </c>
      <c r="L275" s="155">
        <v>75000</v>
      </c>
      <c r="M275" s="156">
        <v>675000</v>
      </c>
      <c r="N275" s="157">
        <f>Master20[[#This Row],[Design $ (Add/Deduct)]]+Master20[[#This Row],[Construction $ (Add/Ded)]]</f>
        <v>750000</v>
      </c>
      <c r="O275" s="192">
        <v>754000</v>
      </c>
      <c r="P275" s="153">
        <v>2022</v>
      </c>
      <c r="Q275" s="125" t="s">
        <v>686</v>
      </c>
      <c r="R275" s="153">
        <f t="shared" si="46"/>
        <v>60</v>
      </c>
      <c r="S275" s="153">
        <v>1</v>
      </c>
      <c r="T275" s="153">
        <f t="shared" si="47"/>
        <v>3</v>
      </c>
      <c r="U275" s="154" t="s">
        <v>37</v>
      </c>
      <c r="V275" s="153">
        <f t="shared" si="48"/>
        <v>3</v>
      </c>
      <c r="W275" s="153" t="s">
        <v>34</v>
      </c>
      <c r="X275" s="153">
        <v>0</v>
      </c>
      <c r="Y275" s="153">
        <v>0</v>
      </c>
      <c r="Z275" s="153">
        <v>-3</v>
      </c>
      <c r="AA275" s="153">
        <v>0</v>
      </c>
      <c r="AB275" s="153">
        <v>-2</v>
      </c>
      <c r="AC275" s="153">
        <v>0</v>
      </c>
      <c r="AD275" s="153">
        <v>-3</v>
      </c>
      <c r="AE275" s="153"/>
      <c r="AF275" s="154" t="s">
        <v>31</v>
      </c>
      <c r="AG275" s="153">
        <f>VLOOKUP(Master20[[#This Row],[Elevated Priority]],Epriority,2,)</f>
        <v>-25</v>
      </c>
      <c r="AH275" s="153">
        <f>IF(Master20[[#This Row],[Status]]="Active",Master20[[#This Row],[Status_Score]],IF(D275="","",R275+H275+T275+V275+AG275+AE275+Master20[[#This Row],[Risk Mitigation]]+Master20[[#This Row],[Master Plan]]+Master20[[#This Row],[Community Request]]+Master20[[#This Row],[Community need]]+Master20[[#This Row],[Offset Aging Inf.]]+Master20[[#This Row],[Energy Savings]]+Master20[[#This Row],[Gen Revenue]]-5))</f>
        <v>1028</v>
      </c>
      <c r="AI275" s="114"/>
      <c r="AJ275" s="114"/>
      <c r="AK275" s="114"/>
      <c r="AL275" s="114">
        <v>2021</v>
      </c>
      <c r="AM275" s="114">
        <v>2022</v>
      </c>
      <c r="AN275" s="111" t="s">
        <v>1178</v>
      </c>
      <c r="AO275" s="170"/>
    </row>
    <row r="276" spans="1:41" ht="35.1" hidden="1" customHeight="1" x14ac:dyDescent="0.25">
      <c r="A276" s="103">
        <f t="shared" si="45"/>
        <v>275</v>
      </c>
      <c r="B276" s="153" t="s">
        <v>70</v>
      </c>
      <c r="C276" s="178" t="s">
        <v>1045</v>
      </c>
      <c r="D276" s="125" t="s">
        <v>296</v>
      </c>
      <c r="E276" s="125" t="s">
        <v>297</v>
      </c>
      <c r="F276" s="125" t="s">
        <v>298</v>
      </c>
      <c r="G276" s="125" t="s">
        <v>816</v>
      </c>
      <c r="H276" s="125">
        <f t="shared" si="44"/>
        <v>1000</v>
      </c>
      <c r="I276" s="155"/>
      <c r="J276" s="155"/>
      <c r="K276" s="155">
        <f>Master20[[#This Row],[Initial Budget]]-Master20[[#This Row],[Previously Committed Funds]]</f>
        <v>0</v>
      </c>
      <c r="L276" s="155"/>
      <c r="M276" s="156"/>
      <c r="N276" s="157">
        <f>Master20[[#This Row],[Design $ (Add/Deduct)]]+Master20[[#This Row],[Construction $ (Add/Ded)]]</f>
        <v>0</v>
      </c>
      <c r="O276" s="192">
        <v>25000</v>
      </c>
      <c r="P276" s="153">
        <v>2018</v>
      </c>
      <c r="Q276" s="125" t="s">
        <v>687</v>
      </c>
      <c r="R276" s="153">
        <f t="shared" si="46"/>
        <v>30</v>
      </c>
      <c r="S276" s="153">
        <v>4</v>
      </c>
      <c r="T276" s="153">
        <f t="shared" si="47"/>
        <v>12</v>
      </c>
      <c r="U276" s="154" t="s">
        <v>41</v>
      </c>
      <c r="V276" s="153">
        <f t="shared" si="48"/>
        <v>4</v>
      </c>
      <c r="W276" s="153" t="s">
        <v>30</v>
      </c>
      <c r="X276" s="153">
        <v>0</v>
      </c>
      <c r="Y276" s="153">
        <v>0</v>
      </c>
      <c r="Z276" s="153">
        <v>0</v>
      </c>
      <c r="AA276" s="153">
        <v>0</v>
      </c>
      <c r="AB276" s="153">
        <v>0</v>
      </c>
      <c r="AC276" s="153">
        <v>0</v>
      </c>
      <c r="AD276" s="153">
        <v>0</v>
      </c>
      <c r="AE276" s="153"/>
      <c r="AF276" s="154" t="s">
        <v>29</v>
      </c>
      <c r="AG276" s="153">
        <f>VLOOKUP(Master20[[#This Row],[Elevated Priority]],Epriority,2,)</f>
        <v>0</v>
      </c>
      <c r="AH276" s="153">
        <f>IF(Master20[[#This Row],[Status]]="Active",Master20[[#This Row],[Status_Score]],IF(D276="","",R276+H276+T276+V276+AG276+AE276+Master20[[#This Row],[Risk Mitigation]]+Master20[[#This Row],[Master Plan]]+Master20[[#This Row],[Community Request]]+Master20[[#This Row],[Community need]]+Master20[[#This Row],[Offset Aging Inf.]]+Master20[[#This Row],[Energy Savings]]+Master20[[#This Row],[Gen Revenue]]-5))</f>
        <v>1041</v>
      </c>
      <c r="AI276" s="153"/>
      <c r="AJ276" s="153"/>
      <c r="AK276" s="153"/>
      <c r="AL276" s="153" t="s">
        <v>1045</v>
      </c>
      <c r="AM276" s="153" t="s">
        <v>1045</v>
      </c>
      <c r="AN276" s="111" t="s">
        <v>667</v>
      </c>
      <c r="AO276" s="170"/>
    </row>
    <row r="277" spans="1:41" ht="35.1" hidden="1" customHeight="1" x14ac:dyDescent="0.25">
      <c r="A277" s="103">
        <f t="shared" si="45"/>
        <v>276</v>
      </c>
      <c r="B277" s="153" t="s">
        <v>79</v>
      </c>
      <c r="C277" s="178" t="s">
        <v>1045</v>
      </c>
      <c r="D277" s="125" t="s">
        <v>981</v>
      </c>
      <c r="E277" s="125" t="s">
        <v>471</v>
      </c>
      <c r="F277" s="125" t="s">
        <v>472</v>
      </c>
      <c r="G277" s="125" t="s">
        <v>816</v>
      </c>
      <c r="H277" s="125">
        <f t="shared" si="44"/>
        <v>1000</v>
      </c>
      <c r="I277" s="155"/>
      <c r="J277" s="155"/>
      <c r="K277" s="155">
        <f>Master20[[#This Row],[Initial Budget]]-Master20[[#This Row],[Previously Committed Funds]]</f>
        <v>0</v>
      </c>
      <c r="L277" s="155"/>
      <c r="M277" s="156"/>
      <c r="N277" s="157">
        <f>Master20[[#This Row],[Design $ (Add/Deduct)]]+Master20[[#This Row],[Construction $ (Add/Ded)]]</f>
        <v>0</v>
      </c>
      <c r="O277" s="192">
        <v>350000</v>
      </c>
      <c r="P277" s="153">
        <v>2018</v>
      </c>
      <c r="Q277" s="125" t="s">
        <v>36</v>
      </c>
      <c r="R277" s="153">
        <f t="shared" si="46"/>
        <v>10</v>
      </c>
      <c r="S277" s="153">
        <v>12</v>
      </c>
      <c r="T277" s="153">
        <f t="shared" si="47"/>
        <v>22</v>
      </c>
      <c r="U277" s="154" t="s">
        <v>43</v>
      </c>
      <c r="V277" s="153">
        <f t="shared" si="48"/>
        <v>16</v>
      </c>
      <c r="W277" s="153" t="s">
        <v>30</v>
      </c>
      <c r="X277" s="153">
        <v>0</v>
      </c>
      <c r="Y277" s="153">
        <v>0</v>
      </c>
      <c r="Z277" s="153">
        <v>0</v>
      </c>
      <c r="AA277" s="153">
        <v>0</v>
      </c>
      <c r="AB277" s="153">
        <v>0</v>
      </c>
      <c r="AC277" s="153">
        <v>0</v>
      </c>
      <c r="AD277" s="153">
        <v>0</v>
      </c>
      <c r="AE277" s="153"/>
      <c r="AF277" s="154" t="s">
        <v>29</v>
      </c>
      <c r="AG277" s="153">
        <f>VLOOKUP(Master20[[#This Row],[Elevated Priority]],Epriority,2,)</f>
        <v>0</v>
      </c>
      <c r="AH277" s="153">
        <f>IF(Master20[[#This Row],[Status]]="Active",Master20[[#This Row],[Status_Score]],IF(D277="","",R277+H277+T277+V277+AG277+AE277+Master20[[#This Row],[Risk Mitigation]]+Master20[[#This Row],[Master Plan]]+Master20[[#This Row],[Community Request]]+Master20[[#This Row],[Community need]]+Master20[[#This Row],[Offset Aging Inf.]]+Master20[[#This Row],[Energy Savings]]+Master20[[#This Row],[Gen Revenue]]-5))</f>
        <v>1043</v>
      </c>
      <c r="AI277" s="153" t="s">
        <v>754</v>
      </c>
      <c r="AJ277" s="153">
        <v>2020</v>
      </c>
      <c r="AK277" s="153">
        <v>2021</v>
      </c>
      <c r="AL277" s="153">
        <v>2020</v>
      </c>
      <c r="AM277" s="153">
        <v>2021</v>
      </c>
      <c r="AN277" s="111"/>
      <c r="AO277" s="170"/>
    </row>
    <row r="278" spans="1:41" ht="35.1" hidden="1" customHeight="1" x14ac:dyDescent="0.25">
      <c r="A278" s="103">
        <f t="shared" si="45"/>
        <v>277</v>
      </c>
      <c r="B278" s="153" t="s">
        <v>1206</v>
      </c>
      <c r="C278" s="178" t="s">
        <v>1196</v>
      </c>
      <c r="D278" s="125" t="s">
        <v>1005</v>
      </c>
      <c r="E278" s="125" t="s">
        <v>831</v>
      </c>
      <c r="F278" s="125" t="s">
        <v>915</v>
      </c>
      <c r="G278" s="125" t="s">
        <v>816</v>
      </c>
      <c r="H278" s="125">
        <f t="shared" si="44"/>
        <v>1000</v>
      </c>
      <c r="I278" s="155">
        <v>2097410</v>
      </c>
      <c r="J278" s="155">
        <v>1769</v>
      </c>
      <c r="K278" s="155">
        <f>Master20[[#This Row],[Initial Budget]]-Master20[[#This Row],[Previously Committed Funds]]</f>
        <v>2095641</v>
      </c>
      <c r="L278" s="155">
        <v>0</v>
      </c>
      <c r="M278" s="156">
        <v>0</v>
      </c>
      <c r="N278" s="157">
        <f>Master20[[#This Row],[Design $ (Add/Deduct)]]+Master20[[#This Row],[Construction $ (Add/Ded)]]</f>
        <v>0</v>
      </c>
      <c r="O278" s="192">
        <f>Master20[[#This Row],[Total Add]]+Master20[[#This Row],[Current Available Balance]]+Master20[[#This Row],[Previously Committed Funds]]</f>
        <v>2097410</v>
      </c>
      <c r="P278" s="153">
        <v>2018</v>
      </c>
      <c r="Q278" s="125" t="s">
        <v>46</v>
      </c>
      <c r="R278" s="153">
        <f t="shared" si="46"/>
        <v>50</v>
      </c>
      <c r="S278" s="153">
        <v>10</v>
      </c>
      <c r="T278" s="153">
        <f t="shared" si="47"/>
        <v>21</v>
      </c>
      <c r="U278" s="154" t="s">
        <v>45</v>
      </c>
      <c r="V278" s="153">
        <f t="shared" si="48"/>
        <v>32</v>
      </c>
      <c r="W278" s="153" t="s">
        <v>34</v>
      </c>
      <c r="X278" s="153">
        <v>0</v>
      </c>
      <c r="Y278" s="153"/>
      <c r="Z278" s="153"/>
      <c r="AA278" s="153"/>
      <c r="AB278" s="153">
        <v>-2</v>
      </c>
      <c r="AC278" s="153"/>
      <c r="AD278" s="153"/>
      <c r="AE278" s="153"/>
      <c r="AF278" s="154" t="s">
        <v>35</v>
      </c>
      <c r="AG278" s="153">
        <f>VLOOKUP(Master20[[#This Row],[Elevated Priority]],Epriority,2,)</f>
        <v>-50</v>
      </c>
      <c r="AH278" s="153">
        <f>IF(Master20[[#This Row],[Status]]="Active",Master20[[#This Row],[Status_Score]],IF(D278="","",R278+H278+T278+V278+AG278+AE278+Master20[[#This Row],[Risk Mitigation]]+Master20[[#This Row],[Master Plan]]+Master20[[#This Row],[Community Request]]+Master20[[#This Row],[Community need]]+Master20[[#This Row],[Offset Aging Inf.]]+Master20[[#This Row],[Energy Savings]]+Master20[[#This Row],[Gen Revenue]]-5))</f>
        <v>1046</v>
      </c>
      <c r="AI278" s="114" t="s">
        <v>717</v>
      </c>
      <c r="AJ278" s="114">
        <v>2017</v>
      </c>
      <c r="AK278" s="114">
        <v>2022</v>
      </c>
      <c r="AL278" s="114">
        <v>2017</v>
      </c>
      <c r="AM278" s="114">
        <v>2022</v>
      </c>
      <c r="AN278" s="10" t="s">
        <v>1147</v>
      </c>
      <c r="AO278" s="170"/>
    </row>
    <row r="279" spans="1:41" ht="35.1" hidden="1" customHeight="1" x14ac:dyDescent="0.25">
      <c r="A279" s="103">
        <f t="shared" si="45"/>
        <v>278</v>
      </c>
      <c r="B279" s="153" t="s">
        <v>94</v>
      </c>
      <c r="C279" s="178" t="s">
        <v>1045</v>
      </c>
      <c r="D279" s="125" t="s">
        <v>613</v>
      </c>
      <c r="E279" s="125" t="s">
        <v>898</v>
      </c>
      <c r="F279" s="125" t="s">
        <v>879</v>
      </c>
      <c r="G279" s="125" t="s">
        <v>816</v>
      </c>
      <c r="H279" s="125">
        <f t="shared" si="44"/>
        <v>1000</v>
      </c>
      <c r="I279" s="155">
        <v>294000</v>
      </c>
      <c r="J279" s="155">
        <v>294000</v>
      </c>
      <c r="K279" s="155">
        <f>Master20[[#This Row],[Initial Budget]]-Master20[[#This Row],[Previously Committed Funds]]</f>
        <v>0</v>
      </c>
      <c r="L279" s="155"/>
      <c r="M279" s="156"/>
      <c r="N279" s="157">
        <f>Master20[[#This Row],[Design $ (Add/Deduct)]]+Master20[[#This Row],[Construction $ (Add/Ded)]]</f>
        <v>0</v>
      </c>
      <c r="O279" s="192">
        <v>294000</v>
      </c>
      <c r="P279" s="153">
        <v>2019</v>
      </c>
      <c r="Q279" s="125" t="s">
        <v>688</v>
      </c>
      <c r="R279" s="153">
        <f t="shared" si="46"/>
        <v>20</v>
      </c>
      <c r="S279" s="153">
        <v>28</v>
      </c>
      <c r="T279" s="153">
        <f t="shared" si="47"/>
        <v>30</v>
      </c>
      <c r="U279" s="154" t="s">
        <v>41</v>
      </c>
      <c r="V279" s="153">
        <f t="shared" si="48"/>
        <v>4</v>
      </c>
      <c r="W279" s="153" t="s">
        <v>30</v>
      </c>
      <c r="X279" s="153">
        <v>0</v>
      </c>
      <c r="Y279" s="153">
        <v>0</v>
      </c>
      <c r="Z279" s="153">
        <v>0</v>
      </c>
      <c r="AA279" s="153">
        <v>0</v>
      </c>
      <c r="AB279" s="153">
        <v>0</v>
      </c>
      <c r="AC279" s="153">
        <v>0</v>
      </c>
      <c r="AD279" s="153">
        <v>0</v>
      </c>
      <c r="AE279" s="153"/>
      <c r="AF279" s="154" t="s">
        <v>29</v>
      </c>
      <c r="AG279" s="153">
        <f>VLOOKUP(Master20[[#This Row],[Elevated Priority]],Epriority,2,)</f>
        <v>0</v>
      </c>
      <c r="AH279" s="153">
        <f>IF(Master20[[#This Row],[Status]]="Active",Master20[[#This Row],[Status_Score]],IF(D279="","",R279+H279+T279+V279+AG279+AE279+Master20[[#This Row],[Risk Mitigation]]+Master20[[#This Row],[Master Plan]]+Master20[[#This Row],[Community Request]]+Master20[[#This Row],[Community need]]+Master20[[#This Row],[Offset Aging Inf.]]+Master20[[#This Row],[Energy Savings]]+Master20[[#This Row],[Gen Revenue]]-5))</f>
        <v>1049</v>
      </c>
      <c r="AI279" s="114"/>
      <c r="AJ279" s="114">
        <v>2022</v>
      </c>
      <c r="AK279" s="114">
        <v>2023</v>
      </c>
      <c r="AL279" s="114">
        <v>2022</v>
      </c>
      <c r="AM279" s="114">
        <v>2022</v>
      </c>
      <c r="AN279" s="111" t="s">
        <v>1164</v>
      </c>
      <c r="AO279" s="170"/>
    </row>
    <row r="280" spans="1:41" ht="35.1" hidden="1" customHeight="1" x14ac:dyDescent="0.25">
      <c r="A280" s="103">
        <f t="shared" si="45"/>
        <v>279</v>
      </c>
      <c r="B280" s="153" t="s">
        <v>67</v>
      </c>
      <c r="C280" s="178" t="s">
        <v>995</v>
      </c>
      <c r="D280" s="125" t="s">
        <v>794</v>
      </c>
      <c r="E280" s="125" t="s">
        <v>794</v>
      </c>
      <c r="F280" s="125" t="s">
        <v>882</v>
      </c>
      <c r="G280" s="125" t="s">
        <v>816</v>
      </c>
      <c r="H280" s="125">
        <f t="shared" si="44"/>
        <v>1000</v>
      </c>
      <c r="I280" s="155"/>
      <c r="J280" s="155"/>
      <c r="K280" s="155">
        <f>Master20[[#This Row],[Initial Budget]]-Master20[[#This Row],[Previously Committed Funds]]</f>
        <v>0</v>
      </c>
      <c r="L280" s="155"/>
      <c r="M280" s="156"/>
      <c r="N280" s="157">
        <f>Master20[[#This Row],[Design $ (Add/Deduct)]]+Master20[[#This Row],[Construction $ (Add/Ded)]]</f>
        <v>0</v>
      </c>
      <c r="O280" s="192">
        <v>40000</v>
      </c>
      <c r="P280" s="153">
        <v>2020</v>
      </c>
      <c r="Q280" s="125" t="s">
        <v>46</v>
      </c>
      <c r="R280" s="153">
        <f t="shared" si="46"/>
        <v>50</v>
      </c>
      <c r="S280" s="153">
        <v>1</v>
      </c>
      <c r="T280" s="153">
        <f t="shared" si="47"/>
        <v>3</v>
      </c>
      <c r="U280" s="154" t="s">
        <v>41</v>
      </c>
      <c r="V280" s="153">
        <f t="shared" si="48"/>
        <v>4</v>
      </c>
      <c r="W280" s="153" t="s">
        <v>30</v>
      </c>
      <c r="X280" s="153">
        <v>0</v>
      </c>
      <c r="Y280" s="153">
        <v>0</v>
      </c>
      <c r="Z280" s="153">
        <v>0</v>
      </c>
      <c r="AA280" s="153">
        <v>0</v>
      </c>
      <c r="AB280" s="153">
        <v>0</v>
      </c>
      <c r="AC280" s="153">
        <v>0</v>
      </c>
      <c r="AD280" s="153">
        <v>0</v>
      </c>
      <c r="AE280" s="153"/>
      <c r="AF280" s="154" t="s">
        <v>29</v>
      </c>
      <c r="AG280" s="153">
        <f>VLOOKUP(Master20[[#This Row],[Elevated Priority]],Epriority,2,)</f>
        <v>0</v>
      </c>
      <c r="AH280" s="153">
        <f>IF(Master20[[#This Row],[Status]]="Active",Master20[[#This Row],[Status_Score]],IF(D280="","",R280+H280+T280+V280+AG280+AE280+Master20[[#This Row],[Risk Mitigation]]+Master20[[#This Row],[Master Plan]]+Master20[[#This Row],[Community Request]]+Master20[[#This Row],[Community need]]+Master20[[#This Row],[Offset Aging Inf.]]+Master20[[#This Row],[Energy Savings]]+Master20[[#This Row],[Gen Revenue]]-5))</f>
        <v>1052</v>
      </c>
      <c r="AI280" s="153" t="s">
        <v>1053</v>
      </c>
      <c r="AJ280" s="153"/>
      <c r="AK280" s="153">
        <v>2021</v>
      </c>
      <c r="AL280" s="153"/>
      <c r="AM280" s="153">
        <v>2021</v>
      </c>
      <c r="AN280" s="111"/>
      <c r="AO280" s="170"/>
    </row>
    <row r="281" spans="1:41" ht="35.1" hidden="1" customHeight="1" x14ac:dyDescent="0.25">
      <c r="A281" s="103">
        <f t="shared" si="45"/>
        <v>280</v>
      </c>
      <c r="B281" s="153" t="s">
        <v>67</v>
      </c>
      <c r="C281" s="178" t="s">
        <v>995</v>
      </c>
      <c r="D281" s="125" t="s">
        <v>973</v>
      </c>
      <c r="E281" s="125" t="s">
        <v>973</v>
      </c>
      <c r="F281" s="125" t="s">
        <v>882</v>
      </c>
      <c r="G281" s="125" t="s">
        <v>816</v>
      </c>
      <c r="H281" s="125">
        <f t="shared" si="44"/>
        <v>1000</v>
      </c>
      <c r="I281" s="155"/>
      <c r="J281" s="155"/>
      <c r="K281" s="155">
        <f>Master20[[#This Row],[Initial Budget]]-Master20[[#This Row],[Previously Committed Funds]]</f>
        <v>0</v>
      </c>
      <c r="L281" s="155">
        <v>0</v>
      </c>
      <c r="M281" s="156">
        <v>0</v>
      </c>
      <c r="N281" s="157">
        <f>Master20[[#This Row],[Design $ (Add/Deduct)]]+Master20[[#This Row],[Construction $ (Add/Ded)]]</f>
        <v>0</v>
      </c>
      <c r="O281" s="192">
        <v>40000</v>
      </c>
      <c r="P281" s="153">
        <v>2020</v>
      </c>
      <c r="Q281" s="125" t="s">
        <v>46</v>
      </c>
      <c r="R281" s="153">
        <f t="shared" si="46"/>
        <v>50</v>
      </c>
      <c r="S281" s="153">
        <v>1</v>
      </c>
      <c r="T281" s="153">
        <f t="shared" si="47"/>
        <v>3</v>
      </c>
      <c r="U281" s="154" t="s">
        <v>41</v>
      </c>
      <c r="V281" s="153">
        <f t="shared" si="48"/>
        <v>4</v>
      </c>
      <c r="W281" s="153" t="s">
        <v>30</v>
      </c>
      <c r="X281" s="153">
        <v>0</v>
      </c>
      <c r="Y281" s="153">
        <v>0</v>
      </c>
      <c r="Z281" s="153">
        <v>0</v>
      </c>
      <c r="AA281" s="153">
        <v>0</v>
      </c>
      <c r="AB281" s="153">
        <v>0</v>
      </c>
      <c r="AC281" s="153">
        <v>0</v>
      </c>
      <c r="AD281" s="153">
        <v>0</v>
      </c>
      <c r="AE281" s="153"/>
      <c r="AF281" s="154" t="s">
        <v>29</v>
      </c>
      <c r="AG281" s="153">
        <f>VLOOKUP(Master20[[#This Row],[Elevated Priority]],Epriority,2,)</f>
        <v>0</v>
      </c>
      <c r="AH281" s="153">
        <f>IF(Master20[[#This Row],[Status]]="Active",Master20[[#This Row],[Status_Score]],IF(D281="","",R281+H281+T281+V281+AG281+AE281+Master20[[#This Row],[Risk Mitigation]]+Master20[[#This Row],[Master Plan]]+Master20[[#This Row],[Community Request]]+Master20[[#This Row],[Community need]]+Master20[[#This Row],[Offset Aging Inf.]]+Master20[[#This Row],[Energy Savings]]+Master20[[#This Row],[Gen Revenue]]-5))</f>
        <v>1052</v>
      </c>
      <c r="AI281" s="153" t="s">
        <v>1053</v>
      </c>
      <c r="AJ281" s="153">
        <v>2019</v>
      </c>
      <c r="AK281" s="153">
        <v>2020</v>
      </c>
      <c r="AL281" s="153">
        <v>2019</v>
      </c>
      <c r="AM281" s="153">
        <v>2021</v>
      </c>
      <c r="AN281" s="111"/>
      <c r="AO281" s="170"/>
    </row>
    <row r="282" spans="1:41" ht="35.1" hidden="1" customHeight="1" x14ac:dyDescent="0.25">
      <c r="A282" s="103">
        <f t="shared" si="45"/>
        <v>281</v>
      </c>
      <c r="B282" s="153" t="s">
        <v>143</v>
      </c>
      <c r="C282" s="178" t="s">
        <v>1045</v>
      </c>
      <c r="D282" s="125" t="s">
        <v>767</v>
      </c>
      <c r="E282" s="125" t="s">
        <v>1035</v>
      </c>
      <c r="F282" s="125" t="s">
        <v>769</v>
      </c>
      <c r="G282" s="125" t="s">
        <v>816</v>
      </c>
      <c r="H282" s="125">
        <f t="shared" si="44"/>
        <v>1000</v>
      </c>
      <c r="I282" s="155"/>
      <c r="J282" s="155"/>
      <c r="K282" s="155">
        <f>Master20[[#This Row],[Initial Budget]]-Master20[[#This Row],[Previously Committed Funds]]</f>
        <v>0</v>
      </c>
      <c r="L282" s="155"/>
      <c r="M282" s="156"/>
      <c r="N282" s="157">
        <f>Master20[[#This Row],[Design $ (Add/Deduct)]]+Master20[[#This Row],[Construction $ (Add/Ded)]]</f>
        <v>0</v>
      </c>
      <c r="O282" s="192">
        <v>25000</v>
      </c>
      <c r="P282" s="153">
        <v>2020</v>
      </c>
      <c r="Q282" s="125" t="s">
        <v>686</v>
      </c>
      <c r="R282" s="153">
        <f t="shared" si="46"/>
        <v>60</v>
      </c>
      <c r="S282" s="153">
        <v>2</v>
      </c>
      <c r="T282" s="153">
        <f t="shared" si="47"/>
        <v>6</v>
      </c>
      <c r="U282" s="154" t="s">
        <v>37</v>
      </c>
      <c r="V282" s="153">
        <f t="shared" si="48"/>
        <v>3</v>
      </c>
      <c r="W282" s="153" t="s">
        <v>34</v>
      </c>
      <c r="X282" s="153">
        <v>0</v>
      </c>
      <c r="Y282" s="153">
        <v>0</v>
      </c>
      <c r="Z282" s="153">
        <v>-3</v>
      </c>
      <c r="AA282" s="153">
        <v>0</v>
      </c>
      <c r="AB282" s="153">
        <v>-2</v>
      </c>
      <c r="AC282" s="153">
        <v>0</v>
      </c>
      <c r="AD282" s="153">
        <v>0</v>
      </c>
      <c r="AE282" s="153"/>
      <c r="AF282" s="154" t="s">
        <v>29</v>
      </c>
      <c r="AG282" s="153">
        <f>VLOOKUP(Master20[[#This Row],[Elevated Priority]],Epriority,2,)</f>
        <v>0</v>
      </c>
      <c r="AH282" s="153">
        <f>IF(Master20[[#This Row],[Status]]="Active",Master20[[#This Row],[Status_Score]],IF(D282="","",R282+H282+T282+V282+AG282+AE282+Master20[[#This Row],[Risk Mitigation]]+Master20[[#This Row],[Master Plan]]+Master20[[#This Row],[Community Request]]+Master20[[#This Row],[Community need]]+Master20[[#This Row],[Offset Aging Inf.]]+Master20[[#This Row],[Energy Savings]]+Master20[[#This Row],[Gen Revenue]]-5))</f>
        <v>1059</v>
      </c>
      <c r="AI282" s="8"/>
      <c r="AJ282" s="8">
        <v>2020</v>
      </c>
      <c r="AK282" s="8">
        <v>2021</v>
      </c>
      <c r="AL282" s="8">
        <v>2020</v>
      </c>
      <c r="AM282" s="8">
        <v>2021</v>
      </c>
      <c r="AN282" s="10"/>
      <c r="AO282" s="170"/>
    </row>
    <row r="283" spans="1:41" ht="35.1" hidden="1" customHeight="1" x14ac:dyDescent="0.25">
      <c r="A283" s="103">
        <f t="shared" si="45"/>
        <v>282</v>
      </c>
      <c r="B283" s="153" t="s">
        <v>1195</v>
      </c>
      <c r="C283" s="178" t="s">
        <v>1045</v>
      </c>
      <c r="D283" s="125" t="s">
        <v>478</v>
      </c>
      <c r="E283" s="125" t="s">
        <v>711</v>
      </c>
      <c r="F283" s="125" t="s">
        <v>480</v>
      </c>
      <c r="G283" s="125" t="s">
        <v>816</v>
      </c>
      <c r="H283" s="125">
        <f t="shared" si="44"/>
        <v>1000</v>
      </c>
      <c r="I283" s="155">
        <f>326250+108750</f>
        <v>435000</v>
      </c>
      <c r="J283" s="155">
        <v>15857</v>
      </c>
      <c r="K283" s="155">
        <f>Master20[[#This Row],[Initial Budget]]-Master20[[#This Row],[Previously Committed Funds]]</f>
        <v>419143</v>
      </c>
      <c r="L283" s="155">
        <v>0</v>
      </c>
      <c r="M283" s="156">
        <v>0</v>
      </c>
      <c r="N283" s="157">
        <f>Master20[[#This Row],[Design $ (Add/Deduct)]]+Master20[[#This Row],[Construction $ (Add/Ded)]]</f>
        <v>0</v>
      </c>
      <c r="O283" s="192">
        <f>Master20[[#This Row],[Total Add]]+Master20[[#This Row],[Current Available Balance]]+Master20[[#This Row],[Previously Committed Funds]]</f>
        <v>435000</v>
      </c>
      <c r="P283" s="153">
        <v>2018</v>
      </c>
      <c r="Q283" s="125" t="s">
        <v>686</v>
      </c>
      <c r="R283" s="153">
        <f t="shared" si="46"/>
        <v>60</v>
      </c>
      <c r="S283" s="153">
        <v>1</v>
      </c>
      <c r="T283" s="153">
        <f t="shared" si="47"/>
        <v>3</v>
      </c>
      <c r="U283" s="154" t="s">
        <v>37</v>
      </c>
      <c r="V283" s="153">
        <f t="shared" si="48"/>
        <v>3</v>
      </c>
      <c r="W283" s="153" t="s">
        <v>34</v>
      </c>
      <c r="X283" s="153">
        <v>0</v>
      </c>
      <c r="Y283" s="153">
        <v>0</v>
      </c>
      <c r="Z283" s="153">
        <v>0</v>
      </c>
      <c r="AA283" s="153">
        <v>0</v>
      </c>
      <c r="AB283" s="153">
        <v>0</v>
      </c>
      <c r="AC283" s="153">
        <v>0</v>
      </c>
      <c r="AD283" s="153">
        <v>0</v>
      </c>
      <c r="AE283" s="153"/>
      <c r="AF283" s="154" t="s">
        <v>29</v>
      </c>
      <c r="AG283" s="153">
        <f>VLOOKUP(Master20[[#This Row],[Elevated Priority]],Epriority,2,)</f>
        <v>0</v>
      </c>
      <c r="AH283" s="153">
        <f>IF(Master20[[#This Row],[Status]]="Active",Master20[[#This Row],[Status_Score]],IF(D283="","",R283+H283+T283+V283+AG283+AE283+Master20[[#This Row],[Risk Mitigation]]+Master20[[#This Row],[Master Plan]]+Master20[[#This Row],[Community Request]]+Master20[[#This Row],[Community need]]+Master20[[#This Row],[Offset Aging Inf.]]+Master20[[#This Row],[Energy Savings]]+Master20[[#This Row],[Gen Revenue]]-5))</f>
        <v>1061</v>
      </c>
      <c r="AI283" s="153" t="s">
        <v>759</v>
      </c>
      <c r="AJ283" s="153">
        <v>2018</v>
      </c>
      <c r="AK283" s="153">
        <v>2020</v>
      </c>
      <c r="AL283" s="153">
        <v>2018</v>
      </c>
      <c r="AM283" s="153">
        <v>2020</v>
      </c>
      <c r="AN283" s="111" t="s">
        <v>748</v>
      </c>
      <c r="AO283" s="170"/>
    </row>
    <row r="284" spans="1:41" ht="35.1" hidden="1" customHeight="1" x14ac:dyDescent="0.25">
      <c r="A284" s="103">
        <f t="shared" si="45"/>
        <v>283</v>
      </c>
      <c r="B284" s="153" t="s">
        <v>67</v>
      </c>
      <c r="C284" s="178" t="s">
        <v>995</v>
      </c>
      <c r="D284" s="125" t="s">
        <v>453</v>
      </c>
      <c r="E284" s="125" t="s">
        <v>454</v>
      </c>
      <c r="F284" s="125"/>
      <c r="G284" s="125" t="s">
        <v>816</v>
      </c>
      <c r="H284" s="125">
        <f t="shared" si="44"/>
        <v>1000</v>
      </c>
      <c r="I284" s="155"/>
      <c r="J284" s="155"/>
      <c r="K284" s="155">
        <f>Master20[[#This Row],[Initial Budget]]-Master20[[#This Row],[Previously Committed Funds]]</f>
        <v>0</v>
      </c>
      <c r="L284" s="155"/>
      <c r="M284" s="156"/>
      <c r="N284" s="157">
        <f>Master20[[#This Row],[Design $ (Add/Deduct)]]+Master20[[#This Row],[Construction $ (Add/Ded)]]</f>
        <v>0</v>
      </c>
      <c r="O284" s="192">
        <v>60000</v>
      </c>
      <c r="P284" s="153">
        <v>2018</v>
      </c>
      <c r="Q284" s="125" t="s">
        <v>687</v>
      </c>
      <c r="R284" s="153">
        <f t="shared" si="46"/>
        <v>30</v>
      </c>
      <c r="S284" s="153">
        <v>8</v>
      </c>
      <c r="T284" s="153">
        <f t="shared" si="47"/>
        <v>20</v>
      </c>
      <c r="U284" s="154" t="s">
        <v>43</v>
      </c>
      <c r="V284" s="153">
        <f t="shared" si="48"/>
        <v>16</v>
      </c>
      <c r="W284" s="153" t="s">
        <v>30</v>
      </c>
      <c r="X284" s="153">
        <v>0</v>
      </c>
      <c r="Y284" s="153">
        <v>0</v>
      </c>
      <c r="Z284" s="153">
        <v>0</v>
      </c>
      <c r="AA284" s="153">
        <v>0</v>
      </c>
      <c r="AB284" s="153">
        <v>0</v>
      </c>
      <c r="AC284" s="153">
        <v>0</v>
      </c>
      <c r="AD284" s="153">
        <v>0</v>
      </c>
      <c r="AE284" s="153"/>
      <c r="AF284" s="154" t="s">
        <v>29</v>
      </c>
      <c r="AG284" s="153">
        <f>VLOOKUP(Master20[[#This Row],[Elevated Priority]],Epriority,2,)</f>
        <v>0</v>
      </c>
      <c r="AH284" s="153">
        <f>IF(Master20[[#This Row],[Status]]="Active",Master20[[#This Row],[Status_Score]],IF(D284="","",R284+H284+T284+V284+AG284+AE284+Master20[[#This Row],[Risk Mitigation]]+Master20[[#This Row],[Master Plan]]+Master20[[#This Row],[Community Request]]+Master20[[#This Row],[Community need]]+Master20[[#This Row],[Offset Aging Inf.]]+Master20[[#This Row],[Energy Savings]]+Master20[[#This Row],[Gen Revenue]]-5))</f>
        <v>1061</v>
      </c>
      <c r="AI284" s="153"/>
      <c r="AJ284" s="153">
        <v>2023</v>
      </c>
      <c r="AK284" s="153">
        <v>2024</v>
      </c>
      <c r="AL284" s="153" t="s">
        <v>1045</v>
      </c>
      <c r="AM284" s="153" t="s">
        <v>1045</v>
      </c>
      <c r="AN284" s="111"/>
      <c r="AO284" s="170"/>
    </row>
    <row r="285" spans="1:41" ht="35.1" hidden="1" customHeight="1" x14ac:dyDescent="0.25">
      <c r="A285" s="103">
        <f t="shared" si="45"/>
        <v>284</v>
      </c>
      <c r="B285" s="153" t="s">
        <v>143</v>
      </c>
      <c r="C285" s="178" t="s">
        <v>1045</v>
      </c>
      <c r="D285" s="125" t="s">
        <v>333</v>
      </c>
      <c r="E285" s="125" t="s">
        <v>334</v>
      </c>
      <c r="F285" s="125" t="s">
        <v>894</v>
      </c>
      <c r="G285" s="125" t="s">
        <v>816</v>
      </c>
      <c r="H285" s="125">
        <f t="shared" si="44"/>
        <v>1000</v>
      </c>
      <c r="I285" s="155"/>
      <c r="J285" s="155"/>
      <c r="K285" s="155">
        <f>Master20[[#This Row],[Initial Budget]]-Master20[[#This Row],[Previously Committed Funds]]</f>
        <v>0</v>
      </c>
      <c r="L285" s="155"/>
      <c r="M285" s="156"/>
      <c r="N285" s="157">
        <f>Master20[[#This Row],[Design $ (Add/Deduct)]]+Master20[[#This Row],[Construction $ (Add/Ded)]]</f>
        <v>0</v>
      </c>
      <c r="O285" s="192">
        <v>40000</v>
      </c>
      <c r="P285" s="153">
        <v>2018</v>
      </c>
      <c r="Q285" s="125" t="s">
        <v>686</v>
      </c>
      <c r="R285" s="153">
        <f t="shared" si="46"/>
        <v>60</v>
      </c>
      <c r="S285" s="153">
        <v>1</v>
      </c>
      <c r="T285" s="153">
        <f t="shared" si="47"/>
        <v>3</v>
      </c>
      <c r="U285" s="154" t="s">
        <v>41</v>
      </c>
      <c r="V285" s="153">
        <f t="shared" si="48"/>
        <v>4</v>
      </c>
      <c r="W285" s="153" t="s">
        <v>30</v>
      </c>
      <c r="X285" s="153">
        <v>0</v>
      </c>
      <c r="Y285" s="153">
        <v>0</v>
      </c>
      <c r="Z285" s="153">
        <v>0</v>
      </c>
      <c r="AA285" s="153">
        <v>0</v>
      </c>
      <c r="AB285" s="153">
        <v>0</v>
      </c>
      <c r="AC285" s="153">
        <v>0</v>
      </c>
      <c r="AD285" s="153">
        <v>0</v>
      </c>
      <c r="AE285" s="153"/>
      <c r="AF285" s="154" t="s">
        <v>29</v>
      </c>
      <c r="AG285" s="153">
        <f>VLOOKUP(Master20[[#This Row],[Elevated Priority]],Epriority,2,)</f>
        <v>0</v>
      </c>
      <c r="AH285" s="153">
        <f>IF(Master20[[#This Row],[Status]]="Active",Master20[[#This Row],[Status_Score]],IF(D285="","",R285+H285+T285+V285+AG285+AE285+Master20[[#This Row],[Risk Mitigation]]+Master20[[#This Row],[Master Plan]]+Master20[[#This Row],[Community Request]]+Master20[[#This Row],[Community need]]+Master20[[#This Row],[Offset Aging Inf.]]+Master20[[#This Row],[Energy Savings]]+Master20[[#This Row],[Gen Revenue]]-5))</f>
        <v>1062</v>
      </c>
      <c r="AI285" s="153"/>
      <c r="AJ285" s="153"/>
      <c r="AK285" s="153"/>
      <c r="AL285" s="153" t="s">
        <v>1045</v>
      </c>
      <c r="AM285" s="153" t="s">
        <v>1045</v>
      </c>
      <c r="AN285" s="111" t="s">
        <v>664</v>
      </c>
      <c r="AO285" s="170"/>
    </row>
    <row r="286" spans="1:41" ht="35.1" hidden="1" customHeight="1" x14ac:dyDescent="0.25">
      <c r="A286" s="103">
        <f t="shared" si="45"/>
        <v>285</v>
      </c>
      <c r="B286" s="153" t="s">
        <v>143</v>
      </c>
      <c r="C286" s="183" t="s">
        <v>1045</v>
      </c>
      <c r="D286" s="180" t="s">
        <v>144</v>
      </c>
      <c r="E286" s="180" t="s">
        <v>145</v>
      </c>
      <c r="F286" s="180" t="s">
        <v>146</v>
      </c>
      <c r="G286" s="180" t="s">
        <v>816</v>
      </c>
      <c r="H286" s="180">
        <f t="shared" si="44"/>
        <v>1000</v>
      </c>
      <c r="I286" s="155"/>
      <c r="J286" s="155"/>
      <c r="K286" s="155">
        <f>Master20[[#This Row],[Initial Budget]]-Master20[[#This Row],[Previously Committed Funds]]</f>
        <v>0</v>
      </c>
      <c r="L286" s="155"/>
      <c r="M286" s="156"/>
      <c r="N286" s="157">
        <f>Master20[[#This Row],[Design $ (Add/Deduct)]]+Master20[[#This Row],[Construction $ (Add/Ded)]]</f>
        <v>0</v>
      </c>
      <c r="O286" s="184">
        <v>50000</v>
      </c>
      <c r="P286" s="185">
        <v>2018</v>
      </c>
      <c r="Q286" s="125" t="s">
        <v>686</v>
      </c>
      <c r="R286" s="153">
        <f t="shared" si="46"/>
        <v>60</v>
      </c>
      <c r="S286" s="153">
        <v>2</v>
      </c>
      <c r="T286" s="153">
        <f t="shared" si="47"/>
        <v>6</v>
      </c>
      <c r="U286" s="185" t="s">
        <v>41</v>
      </c>
      <c r="V286" s="153">
        <f t="shared" si="48"/>
        <v>4</v>
      </c>
      <c r="W286" s="185" t="s">
        <v>34</v>
      </c>
      <c r="X286" s="153">
        <v>0</v>
      </c>
      <c r="Y286" s="153">
        <v>0</v>
      </c>
      <c r="Z286" s="153">
        <v>0</v>
      </c>
      <c r="AA286" s="153">
        <v>0</v>
      </c>
      <c r="AB286" s="153">
        <v>0</v>
      </c>
      <c r="AC286" s="153">
        <v>0</v>
      </c>
      <c r="AD286" s="153">
        <v>-1</v>
      </c>
      <c r="AE286" s="153"/>
      <c r="AF286" s="154" t="s">
        <v>29</v>
      </c>
      <c r="AG286" s="185">
        <f>VLOOKUP(Master20[[#This Row],[Elevated Priority]],Epriority,2,)</f>
        <v>0</v>
      </c>
      <c r="AH286" s="153">
        <f>IF(Master20[[#This Row],[Status]]="Active",Master20[[#This Row],[Status_Score]],IF(D286="","",R286+H286+T286+V286+AG286+AE286+Master20[[#This Row],[Risk Mitigation]]+Master20[[#This Row],[Master Plan]]+Master20[[#This Row],[Community Request]]+Master20[[#This Row],[Community need]]+Master20[[#This Row],[Offset Aging Inf.]]+Master20[[#This Row],[Energy Savings]]+Master20[[#This Row],[Gen Revenue]]-5))</f>
        <v>1064</v>
      </c>
      <c r="AI286" s="8"/>
      <c r="AJ286" s="8" t="s">
        <v>1045</v>
      </c>
      <c r="AK286" s="8" t="s">
        <v>1045</v>
      </c>
      <c r="AL286" s="8" t="s">
        <v>1045</v>
      </c>
      <c r="AM286" s="8" t="s">
        <v>1045</v>
      </c>
      <c r="AN286" s="10" t="s">
        <v>942</v>
      </c>
      <c r="AO286" s="170"/>
    </row>
    <row r="287" spans="1:41" ht="35.1" hidden="1" customHeight="1" x14ac:dyDescent="0.25">
      <c r="A287" s="103">
        <f t="shared" si="45"/>
        <v>286</v>
      </c>
      <c r="B287" s="153" t="s">
        <v>220</v>
      </c>
      <c r="C287" s="183" t="s">
        <v>1045</v>
      </c>
      <c r="D287" s="180" t="s">
        <v>772</v>
      </c>
      <c r="E287" s="180" t="s">
        <v>1215</v>
      </c>
      <c r="F287" s="180" t="s">
        <v>838</v>
      </c>
      <c r="G287" s="180" t="s">
        <v>816</v>
      </c>
      <c r="H287" s="180">
        <f t="shared" si="44"/>
        <v>1000</v>
      </c>
      <c r="I287" s="155"/>
      <c r="J287" s="155"/>
      <c r="K287" s="155">
        <f>Master20[[#This Row],[Initial Budget]]-Master20[[#This Row],[Previously Committed Funds]]</f>
        <v>0</v>
      </c>
      <c r="L287" s="155"/>
      <c r="M287" s="156"/>
      <c r="N287" s="157">
        <f>Master20[[#This Row],[Design $ (Add/Deduct)]]+Master20[[#This Row],[Construction $ (Add/Ded)]]</f>
        <v>0</v>
      </c>
      <c r="O287" s="184" t="s">
        <v>224</v>
      </c>
      <c r="P287" s="185">
        <v>2018</v>
      </c>
      <c r="Q287" s="125" t="s">
        <v>686</v>
      </c>
      <c r="R287" s="153">
        <f t="shared" si="46"/>
        <v>60</v>
      </c>
      <c r="S287" s="153">
        <v>2</v>
      </c>
      <c r="T287" s="153">
        <f t="shared" si="47"/>
        <v>6</v>
      </c>
      <c r="U287" s="185" t="s">
        <v>41</v>
      </c>
      <c r="V287" s="153">
        <f t="shared" si="48"/>
        <v>4</v>
      </c>
      <c r="W287" s="185" t="s">
        <v>34</v>
      </c>
      <c r="X287" s="153">
        <v>0</v>
      </c>
      <c r="Y287" s="153">
        <v>0</v>
      </c>
      <c r="Z287" s="153">
        <v>0</v>
      </c>
      <c r="AA287" s="153">
        <v>0</v>
      </c>
      <c r="AB287" s="153">
        <v>0</v>
      </c>
      <c r="AC287" s="153">
        <v>0</v>
      </c>
      <c r="AD287" s="153">
        <v>0</v>
      </c>
      <c r="AE287" s="153"/>
      <c r="AF287" s="154" t="s">
        <v>29</v>
      </c>
      <c r="AG287" s="185">
        <f>VLOOKUP(Master20[[#This Row],[Elevated Priority]],Epriority,2,)</f>
        <v>0</v>
      </c>
      <c r="AH287" s="153">
        <f>IF(Master20[[#This Row],[Status]]="Active",Master20[[#This Row],[Status_Score]],IF(D287="","",R287+H287+T287+V287+AG287+AE287+Master20[[#This Row],[Risk Mitigation]]+Master20[[#This Row],[Master Plan]]+Master20[[#This Row],[Community Request]]+Master20[[#This Row],[Community need]]+Master20[[#This Row],[Offset Aging Inf.]]+Master20[[#This Row],[Energy Savings]]+Master20[[#This Row],[Gen Revenue]]-5))</f>
        <v>1065</v>
      </c>
      <c r="AI287" s="8"/>
      <c r="AJ287" s="8" t="s">
        <v>1045</v>
      </c>
      <c r="AK287" s="8" t="s">
        <v>1045</v>
      </c>
      <c r="AL287" s="8" t="s">
        <v>1045</v>
      </c>
      <c r="AM287" s="8" t="s">
        <v>1045</v>
      </c>
      <c r="AN287" s="10" t="s">
        <v>942</v>
      </c>
      <c r="AO287" s="170"/>
    </row>
    <row r="288" spans="1:41" ht="35.1" hidden="1" customHeight="1" x14ac:dyDescent="0.25">
      <c r="A288" s="103">
        <f t="shared" si="45"/>
        <v>287</v>
      </c>
      <c r="B288" s="153" t="s">
        <v>1195</v>
      </c>
      <c r="C288" s="183" t="s">
        <v>1197</v>
      </c>
      <c r="D288" s="180" t="s">
        <v>345</v>
      </c>
      <c r="E288" s="180" t="s">
        <v>346</v>
      </c>
      <c r="F288" s="180" t="s">
        <v>347</v>
      </c>
      <c r="G288" s="180" t="s">
        <v>816</v>
      </c>
      <c r="H288" s="180">
        <f t="shared" si="44"/>
        <v>1000</v>
      </c>
      <c r="I288" s="155"/>
      <c r="J288" s="155"/>
      <c r="K288" s="155">
        <f>Master20[[#This Row],[Initial Budget]]-Master20[[#This Row],[Previously Committed Funds]]</f>
        <v>0</v>
      </c>
      <c r="L288" s="155"/>
      <c r="M288" s="156"/>
      <c r="N288" s="157">
        <f>Master20[[#This Row],[Design $ (Add/Deduct)]]+Master20[[#This Row],[Construction $ (Add/Ded)]]</f>
        <v>0</v>
      </c>
      <c r="O288" s="184">
        <v>75000</v>
      </c>
      <c r="P288" s="185">
        <v>2018</v>
      </c>
      <c r="Q288" s="125" t="s">
        <v>687</v>
      </c>
      <c r="R288" s="153">
        <f t="shared" si="46"/>
        <v>30</v>
      </c>
      <c r="S288" s="153">
        <v>3</v>
      </c>
      <c r="T288" s="153">
        <f t="shared" si="47"/>
        <v>9</v>
      </c>
      <c r="U288" s="185" t="s">
        <v>45</v>
      </c>
      <c r="V288" s="153">
        <f t="shared" si="48"/>
        <v>32</v>
      </c>
      <c r="W288" s="185" t="s">
        <v>30</v>
      </c>
      <c r="X288" s="153">
        <v>0</v>
      </c>
      <c r="Y288" s="153">
        <v>0</v>
      </c>
      <c r="Z288" s="153">
        <v>0</v>
      </c>
      <c r="AA288" s="153">
        <v>0</v>
      </c>
      <c r="AB288" s="153">
        <v>0</v>
      </c>
      <c r="AC288" s="153">
        <v>0</v>
      </c>
      <c r="AD288" s="153">
        <v>0</v>
      </c>
      <c r="AE288" s="153"/>
      <c r="AF288" s="154" t="s">
        <v>29</v>
      </c>
      <c r="AG288" s="185">
        <f>VLOOKUP(Master20[[#This Row],[Elevated Priority]],Epriority,2,)</f>
        <v>0</v>
      </c>
      <c r="AH288" s="153">
        <f>IF(Master20[[#This Row],[Status]]="Active",Master20[[#This Row],[Status_Score]],IF(D288="","",R288+H288+T288+V288+AG288+AE288+Master20[[#This Row],[Risk Mitigation]]+Master20[[#This Row],[Master Plan]]+Master20[[#This Row],[Community Request]]+Master20[[#This Row],[Community need]]+Master20[[#This Row],[Offset Aging Inf.]]+Master20[[#This Row],[Energy Savings]]+Master20[[#This Row],[Gen Revenue]]-5))</f>
        <v>1066</v>
      </c>
      <c r="AI288" s="153"/>
      <c r="AJ288" s="153"/>
      <c r="AK288" s="153"/>
      <c r="AL288" s="153" t="s">
        <v>1045</v>
      </c>
      <c r="AM288" s="153" t="s">
        <v>1045</v>
      </c>
      <c r="AN288" s="111"/>
      <c r="AO288" s="170"/>
    </row>
    <row r="289" spans="1:41" ht="35.1" hidden="1" customHeight="1" x14ac:dyDescent="0.25">
      <c r="A289" s="103">
        <f t="shared" si="45"/>
        <v>288</v>
      </c>
      <c r="B289" s="153" t="s">
        <v>94</v>
      </c>
      <c r="C289" s="183" t="s">
        <v>1045</v>
      </c>
      <c r="D289" s="180" t="s">
        <v>592</v>
      </c>
      <c r="E289" s="180" t="s">
        <v>593</v>
      </c>
      <c r="F289" s="180"/>
      <c r="G289" s="180" t="s">
        <v>816</v>
      </c>
      <c r="H289" s="180">
        <f t="shared" si="44"/>
        <v>1000</v>
      </c>
      <c r="I289" s="155"/>
      <c r="J289" s="155"/>
      <c r="K289" s="155">
        <f>Master20[[#This Row],[Initial Budget]]-Master20[[#This Row],[Previously Committed Funds]]</f>
        <v>0</v>
      </c>
      <c r="L289" s="155"/>
      <c r="M289" s="156"/>
      <c r="N289" s="157">
        <f>Master20[[#This Row],[Design $ (Add/Deduct)]]+Master20[[#This Row],[Construction $ (Add/Ded)]]</f>
        <v>0</v>
      </c>
      <c r="O289" s="184">
        <v>350000</v>
      </c>
      <c r="P289" s="182">
        <v>2019</v>
      </c>
      <c r="Q289" s="125" t="s">
        <v>686</v>
      </c>
      <c r="R289" s="153">
        <f t="shared" si="46"/>
        <v>60</v>
      </c>
      <c r="S289" s="153">
        <v>16</v>
      </c>
      <c r="T289" s="153">
        <f t="shared" si="47"/>
        <v>24</v>
      </c>
      <c r="U289" s="185" t="s">
        <v>43</v>
      </c>
      <c r="V289" s="153">
        <f t="shared" si="48"/>
        <v>16</v>
      </c>
      <c r="W289" s="185" t="s">
        <v>34</v>
      </c>
      <c r="X289" s="153">
        <v>0</v>
      </c>
      <c r="Y289" s="153">
        <v>0</v>
      </c>
      <c r="Z289" s="153">
        <v>-3</v>
      </c>
      <c r="AA289" s="153">
        <v>0</v>
      </c>
      <c r="AB289" s="153">
        <v>0</v>
      </c>
      <c r="AC289" s="153">
        <v>0</v>
      </c>
      <c r="AD289" s="153">
        <v>0</v>
      </c>
      <c r="AE289" s="153"/>
      <c r="AF289" s="154" t="s">
        <v>29</v>
      </c>
      <c r="AG289" s="185">
        <f>VLOOKUP(Master20[[#This Row],[Elevated Priority]],Epriority,2,)</f>
        <v>0</v>
      </c>
      <c r="AH289" s="153">
        <f>IF(Master20[[#This Row],[Status]]="Active",Master20[[#This Row],[Status_Score]],IF(D289="","",R289+H289+T289+V289+AG289+AE289+Master20[[#This Row],[Risk Mitigation]]+Master20[[#This Row],[Master Plan]]+Master20[[#This Row],[Community Request]]+Master20[[#This Row],[Community need]]+Master20[[#This Row],[Offset Aging Inf.]]+Master20[[#This Row],[Energy Savings]]+Master20[[#This Row],[Gen Revenue]]-5))</f>
        <v>1092</v>
      </c>
      <c r="AI289" s="153"/>
      <c r="AJ289" s="153"/>
      <c r="AK289" s="153"/>
      <c r="AL289" s="153" t="s">
        <v>1045</v>
      </c>
      <c r="AM289" s="153" t="s">
        <v>1045</v>
      </c>
      <c r="AN289" s="111" t="s">
        <v>985</v>
      </c>
      <c r="AO289" s="170"/>
    </row>
    <row r="290" spans="1:41" ht="35.1" hidden="1" customHeight="1" x14ac:dyDescent="0.25">
      <c r="A290" s="103">
        <f t="shared" si="45"/>
        <v>289</v>
      </c>
      <c r="B290" s="153" t="s">
        <v>1200</v>
      </c>
      <c r="C290" s="183" t="s">
        <v>646</v>
      </c>
      <c r="D290" s="180" t="s">
        <v>745</v>
      </c>
      <c r="E290" s="180" t="s">
        <v>675</v>
      </c>
      <c r="F290" s="180" t="s">
        <v>676</v>
      </c>
      <c r="G290" s="180" t="s">
        <v>816</v>
      </c>
      <c r="H290" s="180">
        <f t="shared" si="44"/>
        <v>1000</v>
      </c>
      <c r="I290" s="155">
        <v>200000</v>
      </c>
      <c r="J290" s="155">
        <v>19607</v>
      </c>
      <c r="K290" s="155">
        <f>Master20[[#This Row],[Initial Budget]]-Master20[[#This Row],[Previously Committed Funds]]</f>
        <v>180393</v>
      </c>
      <c r="L290" s="155">
        <v>0</v>
      </c>
      <c r="M290" s="156">
        <v>0</v>
      </c>
      <c r="N290" s="157">
        <f>Master20[[#This Row],[Design $ (Add/Deduct)]]+Master20[[#This Row],[Construction $ (Add/Ded)]]</f>
        <v>0</v>
      </c>
      <c r="O290" s="186">
        <v>250000</v>
      </c>
      <c r="P290" s="185">
        <v>2019</v>
      </c>
      <c r="Q290" s="125" t="s">
        <v>686</v>
      </c>
      <c r="R290" s="153">
        <f t="shared" si="46"/>
        <v>60</v>
      </c>
      <c r="S290" s="153">
        <v>1</v>
      </c>
      <c r="T290" s="153">
        <f t="shared" si="47"/>
        <v>3</v>
      </c>
      <c r="U290" s="185" t="s">
        <v>47</v>
      </c>
      <c r="V290" s="153">
        <f t="shared" si="48"/>
        <v>64</v>
      </c>
      <c r="W290" s="185" t="s">
        <v>38</v>
      </c>
      <c r="X290" s="153"/>
      <c r="Y290" s="153"/>
      <c r="Z290" s="153"/>
      <c r="AA290" s="153"/>
      <c r="AB290" s="153"/>
      <c r="AC290" s="153"/>
      <c r="AD290" s="153"/>
      <c r="AE290" s="153"/>
      <c r="AF290" s="154" t="s">
        <v>29</v>
      </c>
      <c r="AG290" s="185">
        <f>VLOOKUP(Master20[[#This Row],[Elevated Priority]],Epriority,2,)</f>
        <v>0</v>
      </c>
      <c r="AH290" s="153">
        <f>IF(Master20[[#This Row],[Status]]="Active",Master20[[#This Row],[Status_Score]],IF(D290="","",R290+H290+T290+V290+AG290+AE290+Master20[[#This Row],[Risk Mitigation]]+Master20[[#This Row],[Master Plan]]+Master20[[#This Row],[Community Request]]+Master20[[#This Row],[Community need]]+Master20[[#This Row],[Offset Aging Inf.]]+Master20[[#This Row],[Energy Savings]]+Master20[[#This Row],[Gen Revenue]]-5))</f>
        <v>1122</v>
      </c>
      <c r="AI290" s="153" t="s">
        <v>758</v>
      </c>
      <c r="AJ290" s="153">
        <v>2019</v>
      </c>
      <c r="AK290" s="153">
        <v>2020</v>
      </c>
      <c r="AL290" s="153">
        <v>2019</v>
      </c>
      <c r="AM290" s="153">
        <v>2020</v>
      </c>
      <c r="AN290" s="111"/>
      <c r="AO290" s="170"/>
    </row>
    <row r="291" spans="1:41" ht="35.1" customHeight="1" x14ac:dyDescent="0.25">
      <c r="A291" s="158"/>
      <c r="B291" s="166" t="s">
        <v>214</v>
      </c>
      <c r="C291" s="159" t="s">
        <v>1045</v>
      </c>
      <c r="D291" s="167" t="s">
        <v>1401</v>
      </c>
      <c r="E291" s="160" t="s">
        <v>1402</v>
      </c>
      <c r="F291" s="168" t="s">
        <v>1403</v>
      </c>
      <c r="G291" s="161" t="s">
        <v>29</v>
      </c>
      <c r="H291" s="160">
        <f t="shared" si="44"/>
        <v>0</v>
      </c>
      <c r="I291" s="161"/>
      <c r="J291" s="161"/>
      <c r="K291" s="161">
        <f>Master20[[#This Row],[Initial Budget]]-Master20[[#This Row],[Previously Committed Funds]]</f>
        <v>0</v>
      </c>
      <c r="L291" s="161"/>
      <c r="M291" s="162"/>
      <c r="N291" s="163">
        <f>Master20[[#This Row],[Design $ (Add/Deduct)]]+Master20[[#This Row],[Construction $ (Add/Ded)]]</f>
        <v>0</v>
      </c>
      <c r="O291" s="171"/>
      <c r="P291" s="164">
        <v>2023</v>
      </c>
      <c r="Q291" s="165" t="s">
        <v>32</v>
      </c>
      <c r="R291" s="166">
        <f t="shared" si="46"/>
        <v>1</v>
      </c>
      <c r="S291" s="166">
        <v>1</v>
      </c>
      <c r="T291" s="166">
        <f t="shared" si="47"/>
        <v>3</v>
      </c>
      <c r="U291" s="164" t="s">
        <v>37</v>
      </c>
      <c r="V291" s="166">
        <f t="shared" si="48"/>
        <v>3</v>
      </c>
      <c r="W291" s="164" t="s">
        <v>29</v>
      </c>
      <c r="X291" s="166"/>
      <c r="Y291" s="166">
        <v>0</v>
      </c>
      <c r="Z291" s="166">
        <v>0</v>
      </c>
      <c r="AA291" s="166">
        <v>0</v>
      </c>
      <c r="AB291" s="166">
        <v>0</v>
      </c>
      <c r="AC291" s="166">
        <v>0</v>
      </c>
      <c r="AD291" s="166">
        <v>0</v>
      </c>
      <c r="AE291" s="166"/>
      <c r="AF291" s="169" t="s">
        <v>29</v>
      </c>
      <c r="AG291" s="164">
        <f>VLOOKUP(Master20[[#This Row],[Elevated Priority]],Epriority,2,)</f>
        <v>0</v>
      </c>
      <c r="AH291" s="166">
        <f>IF(Master20[[#This Row],[Status]]="Active",Master20[[#This Row],[Status_Score]],IF(D291="","",R291+H291+T291+V291+AG291+AE291+Master20[[#This Row],[Risk Mitigation]]+Master20[[#This Row],[Master Plan]]+Master20[[#This Row],[Community Request]]+Master20[[#This Row],[Community need]]+Master20[[#This Row],[Offset Aging Inf.]]+Master20[[#This Row],[Energy Savings]]+Master20[[#This Row],[Gen Revenue]]-5))</f>
        <v>2</v>
      </c>
      <c r="AI291" s="166"/>
      <c r="AJ291" s="166"/>
      <c r="AK291" s="166"/>
      <c r="AL291" s="166"/>
      <c r="AM291" s="166"/>
      <c r="AN291" s="165"/>
      <c r="AO291" s="170"/>
    </row>
    <row r="292" spans="1:41" ht="35.1" customHeight="1" x14ac:dyDescent="0.25">
      <c r="A292" s="158"/>
      <c r="B292" s="166"/>
      <c r="C292" s="159"/>
      <c r="D292" s="167"/>
      <c r="E292" s="160"/>
      <c r="F292" s="168"/>
      <c r="G292" s="161" t="s">
        <v>29</v>
      </c>
      <c r="H292" s="160">
        <f t="shared" si="44"/>
        <v>0</v>
      </c>
      <c r="I292" s="161"/>
      <c r="J292" s="161"/>
      <c r="K292" s="161">
        <f>Master20[[#This Row],[Initial Budget]]-Master20[[#This Row],[Previously Committed Funds]]</f>
        <v>0</v>
      </c>
      <c r="L292" s="161"/>
      <c r="M292" s="162"/>
      <c r="N292" s="163">
        <f>Master20[[#This Row],[Design $ (Add/Deduct)]]+Master20[[#This Row],[Construction $ (Add/Ded)]]</f>
        <v>0</v>
      </c>
      <c r="O292" s="171"/>
      <c r="P292" s="164">
        <v>2023</v>
      </c>
      <c r="Q292" s="165" t="s">
        <v>29</v>
      </c>
      <c r="R292" s="166">
        <f t="shared" si="46"/>
        <v>0</v>
      </c>
      <c r="S292" s="166" t="s">
        <v>29</v>
      </c>
      <c r="T292" s="166">
        <f t="shared" si="47"/>
        <v>0</v>
      </c>
      <c r="U292" s="164" t="s">
        <v>29</v>
      </c>
      <c r="V292" s="166">
        <f t="shared" si="48"/>
        <v>0</v>
      </c>
      <c r="W292" s="164" t="s">
        <v>29</v>
      </c>
      <c r="X292" s="166"/>
      <c r="Y292" s="166">
        <v>0</v>
      </c>
      <c r="Z292" s="166">
        <v>0</v>
      </c>
      <c r="AA292" s="166">
        <v>0</v>
      </c>
      <c r="AB292" s="166">
        <v>0</v>
      </c>
      <c r="AC292" s="166">
        <v>0</v>
      </c>
      <c r="AD292" s="166">
        <v>0</v>
      </c>
      <c r="AE292" s="166"/>
      <c r="AF292" s="169" t="s">
        <v>29</v>
      </c>
      <c r="AG292" s="164">
        <f>VLOOKUP(Master20[[#This Row],[Elevated Priority]],Epriority,2,)</f>
        <v>0</v>
      </c>
      <c r="AH292" s="166" t="str">
        <f>IF(Master20[[#This Row],[Status]]="Active",Master20[[#This Row],[Status_Score]],IF(D292="","",R292+H292+T292+V292+AG292+AE292+Master20[[#This Row],[Risk Mitigation]]+Master20[[#This Row],[Master Plan]]+Master20[[#This Row],[Community Request]]+Master20[[#This Row],[Community need]]+Master20[[#This Row],[Offset Aging Inf.]]+Master20[[#This Row],[Energy Savings]]+Master20[[#This Row],[Gen Revenue]]-5))</f>
        <v/>
      </c>
      <c r="AI292" s="166"/>
      <c r="AJ292" s="166"/>
      <c r="AK292" s="166"/>
      <c r="AL292" s="166"/>
      <c r="AM292" s="166"/>
      <c r="AN292" s="165"/>
      <c r="AO292" s="170"/>
    </row>
    <row r="293" spans="1:41" ht="35.1" customHeight="1" x14ac:dyDescent="0.25">
      <c r="A293" s="158"/>
      <c r="B293" s="166"/>
      <c r="C293" s="159"/>
      <c r="D293" s="167"/>
      <c r="E293" s="160"/>
      <c r="F293" s="168"/>
      <c r="G293" s="161" t="s">
        <v>29</v>
      </c>
      <c r="H293" s="160">
        <f t="shared" si="44"/>
        <v>0</v>
      </c>
      <c r="I293" s="161"/>
      <c r="J293" s="161"/>
      <c r="K293" s="161">
        <f>Master20[[#This Row],[Initial Budget]]-Master20[[#This Row],[Previously Committed Funds]]</f>
        <v>0</v>
      </c>
      <c r="L293" s="161"/>
      <c r="M293" s="162"/>
      <c r="N293" s="163">
        <f>Master20[[#This Row],[Design $ (Add/Deduct)]]+Master20[[#This Row],[Construction $ (Add/Ded)]]</f>
        <v>0</v>
      </c>
      <c r="O293" s="171"/>
      <c r="P293" s="164">
        <v>2023</v>
      </c>
      <c r="Q293" s="165" t="s">
        <v>29</v>
      </c>
      <c r="R293" s="166">
        <f t="shared" ref="R293:R306" si="49">VLOOKUP(Q293,Importance,2,FALSE)</f>
        <v>0</v>
      </c>
      <c r="S293" s="166" t="s">
        <v>29</v>
      </c>
      <c r="T293" s="166">
        <f t="shared" si="47"/>
        <v>0</v>
      </c>
      <c r="U293" s="164" t="s">
        <v>29</v>
      </c>
      <c r="V293" s="166">
        <f t="shared" si="48"/>
        <v>0</v>
      </c>
      <c r="W293" s="164" t="s">
        <v>29</v>
      </c>
      <c r="X293" s="166"/>
      <c r="Y293" s="166">
        <v>0</v>
      </c>
      <c r="Z293" s="166">
        <v>0</v>
      </c>
      <c r="AA293" s="166">
        <v>0</v>
      </c>
      <c r="AB293" s="166">
        <v>0</v>
      </c>
      <c r="AC293" s="166">
        <v>0</v>
      </c>
      <c r="AD293" s="166">
        <v>0</v>
      </c>
      <c r="AE293" s="166"/>
      <c r="AF293" s="169" t="s">
        <v>29</v>
      </c>
      <c r="AG293" s="164">
        <f>VLOOKUP(Master20[[#This Row],[Elevated Priority]],Epriority,2,)</f>
        <v>0</v>
      </c>
      <c r="AH293" s="166" t="str">
        <f>IF(Master20[[#This Row],[Status]]="Active",Master20[[#This Row],[Status_Score]],IF(D293="","",R293+H293+T293+V293+AG293+AE293+Master20[[#This Row],[Risk Mitigation]]+Master20[[#This Row],[Master Plan]]+Master20[[#This Row],[Community Request]]+Master20[[#This Row],[Community need]]+Master20[[#This Row],[Offset Aging Inf.]]+Master20[[#This Row],[Energy Savings]]+Master20[[#This Row],[Gen Revenue]]-5))</f>
        <v/>
      </c>
      <c r="AI293" s="166"/>
      <c r="AJ293" s="166"/>
      <c r="AK293" s="166"/>
      <c r="AL293" s="166"/>
      <c r="AM293" s="166"/>
      <c r="AN293" s="165"/>
      <c r="AO293" s="170"/>
    </row>
    <row r="294" spans="1:41" ht="35.1" customHeight="1" x14ac:dyDescent="0.25">
      <c r="A294" s="158"/>
      <c r="B294" s="166"/>
      <c r="C294" s="159"/>
      <c r="D294" s="167"/>
      <c r="E294" s="160"/>
      <c r="F294" s="168"/>
      <c r="G294" s="161" t="s">
        <v>29</v>
      </c>
      <c r="H294" s="160">
        <f t="shared" si="44"/>
        <v>0</v>
      </c>
      <c r="I294" s="161"/>
      <c r="J294" s="161"/>
      <c r="K294" s="161">
        <f>Master20[[#This Row],[Initial Budget]]-Master20[[#This Row],[Previously Committed Funds]]</f>
        <v>0</v>
      </c>
      <c r="L294" s="161"/>
      <c r="M294" s="162"/>
      <c r="N294" s="163">
        <f>Master20[[#This Row],[Design $ (Add/Deduct)]]+Master20[[#This Row],[Construction $ (Add/Ded)]]</f>
        <v>0</v>
      </c>
      <c r="O294" s="171"/>
      <c r="P294" s="164">
        <v>2023</v>
      </c>
      <c r="Q294" s="165" t="s">
        <v>29</v>
      </c>
      <c r="R294" s="166">
        <f t="shared" si="49"/>
        <v>0</v>
      </c>
      <c r="S294" s="166" t="s">
        <v>29</v>
      </c>
      <c r="T294" s="166">
        <f t="shared" si="47"/>
        <v>0</v>
      </c>
      <c r="U294" s="164" t="s">
        <v>29</v>
      </c>
      <c r="V294" s="166">
        <f t="shared" si="48"/>
        <v>0</v>
      </c>
      <c r="W294" s="164" t="s">
        <v>29</v>
      </c>
      <c r="X294" s="166"/>
      <c r="Y294" s="166">
        <v>0</v>
      </c>
      <c r="Z294" s="166">
        <v>0</v>
      </c>
      <c r="AA294" s="166">
        <v>0</v>
      </c>
      <c r="AB294" s="166">
        <v>0</v>
      </c>
      <c r="AC294" s="166">
        <v>0</v>
      </c>
      <c r="AD294" s="166">
        <v>0</v>
      </c>
      <c r="AE294" s="166"/>
      <c r="AF294" s="169" t="s">
        <v>29</v>
      </c>
      <c r="AG294" s="164">
        <f>VLOOKUP(Master20[[#This Row],[Elevated Priority]],Epriority,2,)</f>
        <v>0</v>
      </c>
      <c r="AH294" s="166" t="str">
        <f>IF(Master20[[#This Row],[Status]]="Active",Master20[[#This Row],[Status_Score]],IF(D294="","",R294+H294+T294+V294+AG294+AE294+Master20[[#This Row],[Risk Mitigation]]+Master20[[#This Row],[Master Plan]]+Master20[[#This Row],[Community Request]]+Master20[[#This Row],[Community need]]+Master20[[#This Row],[Offset Aging Inf.]]+Master20[[#This Row],[Energy Savings]]+Master20[[#This Row],[Gen Revenue]]-5))</f>
        <v/>
      </c>
      <c r="AI294" s="166"/>
      <c r="AJ294" s="166"/>
      <c r="AK294" s="166"/>
      <c r="AL294" s="166"/>
      <c r="AM294" s="166"/>
      <c r="AN294" s="165"/>
      <c r="AO294" s="170"/>
    </row>
    <row r="295" spans="1:41" ht="35.1" customHeight="1" x14ac:dyDescent="0.25">
      <c r="A295" s="158"/>
      <c r="B295" s="166"/>
      <c r="C295" s="159"/>
      <c r="D295" s="167"/>
      <c r="E295" s="160"/>
      <c r="F295" s="168"/>
      <c r="G295" s="161" t="s">
        <v>29</v>
      </c>
      <c r="H295" s="160">
        <f t="shared" si="44"/>
        <v>0</v>
      </c>
      <c r="I295" s="161"/>
      <c r="J295" s="161"/>
      <c r="K295" s="161">
        <f>Master20[[#This Row],[Initial Budget]]-Master20[[#This Row],[Previously Committed Funds]]</f>
        <v>0</v>
      </c>
      <c r="L295" s="161"/>
      <c r="M295" s="162"/>
      <c r="N295" s="163">
        <f>Master20[[#This Row],[Design $ (Add/Deduct)]]+Master20[[#This Row],[Construction $ (Add/Ded)]]</f>
        <v>0</v>
      </c>
      <c r="O295" s="171"/>
      <c r="P295" s="164">
        <v>2023</v>
      </c>
      <c r="Q295" s="165" t="s">
        <v>29</v>
      </c>
      <c r="R295" s="166">
        <f t="shared" si="49"/>
        <v>0</v>
      </c>
      <c r="S295" s="166" t="s">
        <v>29</v>
      </c>
      <c r="T295" s="166">
        <f t="shared" si="47"/>
        <v>0</v>
      </c>
      <c r="U295" s="164" t="s">
        <v>29</v>
      </c>
      <c r="V295" s="166">
        <f t="shared" si="48"/>
        <v>0</v>
      </c>
      <c r="W295" s="164" t="s">
        <v>29</v>
      </c>
      <c r="X295" s="166"/>
      <c r="Y295" s="166">
        <v>0</v>
      </c>
      <c r="Z295" s="166">
        <v>0</v>
      </c>
      <c r="AA295" s="166">
        <v>0</v>
      </c>
      <c r="AB295" s="166">
        <v>0</v>
      </c>
      <c r="AC295" s="166">
        <v>0</v>
      </c>
      <c r="AD295" s="166">
        <v>0</v>
      </c>
      <c r="AE295" s="166"/>
      <c r="AF295" s="169" t="s">
        <v>29</v>
      </c>
      <c r="AG295" s="164">
        <f>VLOOKUP(Master20[[#This Row],[Elevated Priority]],Epriority,2,)</f>
        <v>0</v>
      </c>
      <c r="AH295" s="166" t="str">
        <f>IF(Master20[[#This Row],[Status]]="Active",Master20[[#This Row],[Status_Score]],IF(D295="","",R295+H295+T295+V295+AG295+AE295+Master20[[#This Row],[Risk Mitigation]]+Master20[[#This Row],[Master Plan]]+Master20[[#This Row],[Community Request]]+Master20[[#This Row],[Community need]]+Master20[[#This Row],[Offset Aging Inf.]]+Master20[[#This Row],[Energy Savings]]+Master20[[#This Row],[Gen Revenue]]-5))</f>
        <v/>
      </c>
      <c r="AI295" s="166"/>
      <c r="AJ295" s="166"/>
      <c r="AK295" s="166"/>
      <c r="AL295" s="166"/>
      <c r="AM295" s="166"/>
      <c r="AN295" s="165"/>
      <c r="AO295" s="170"/>
    </row>
    <row r="296" spans="1:41" ht="35.1" customHeight="1" x14ac:dyDescent="0.25">
      <c r="A296" s="158"/>
      <c r="B296" s="166"/>
      <c r="C296" s="159"/>
      <c r="D296" s="167"/>
      <c r="E296" s="160"/>
      <c r="F296" s="168"/>
      <c r="G296" s="161" t="s">
        <v>29</v>
      </c>
      <c r="H296" s="160">
        <f t="shared" si="44"/>
        <v>0</v>
      </c>
      <c r="I296" s="161"/>
      <c r="J296" s="161"/>
      <c r="K296" s="161">
        <f>Master20[[#This Row],[Initial Budget]]-Master20[[#This Row],[Previously Committed Funds]]</f>
        <v>0</v>
      </c>
      <c r="L296" s="161"/>
      <c r="M296" s="162"/>
      <c r="N296" s="163">
        <f>Master20[[#This Row],[Design $ (Add/Deduct)]]+Master20[[#This Row],[Construction $ (Add/Ded)]]</f>
        <v>0</v>
      </c>
      <c r="O296" s="171"/>
      <c r="P296" s="164">
        <v>2023</v>
      </c>
      <c r="Q296" s="165" t="s">
        <v>29</v>
      </c>
      <c r="R296" s="166">
        <f t="shared" si="49"/>
        <v>0</v>
      </c>
      <c r="S296" s="166" t="s">
        <v>29</v>
      </c>
      <c r="T296" s="166">
        <f t="shared" si="47"/>
        <v>0</v>
      </c>
      <c r="U296" s="164" t="s">
        <v>29</v>
      </c>
      <c r="V296" s="166">
        <f t="shared" si="48"/>
        <v>0</v>
      </c>
      <c r="W296" s="164" t="s">
        <v>29</v>
      </c>
      <c r="X296" s="166"/>
      <c r="Y296" s="166">
        <v>0</v>
      </c>
      <c r="Z296" s="166">
        <v>0</v>
      </c>
      <c r="AA296" s="166">
        <v>0</v>
      </c>
      <c r="AB296" s="166">
        <v>0</v>
      </c>
      <c r="AC296" s="166">
        <v>0</v>
      </c>
      <c r="AD296" s="166">
        <v>0</v>
      </c>
      <c r="AE296" s="166"/>
      <c r="AF296" s="169" t="s">
        <v>29</v>
      </c>
      <c r="AG296" s="164">
        <f>VLOOKUP(Master20[[#This Row],[Elevated Priority]],Epriority,2,)</f>
        <v>0</v>
      </c>
      <c r="AH296" s="166" t="str">
        <f>IF(Master20[[#This Row],[Status]]="Active",Master20[[#This Row],[Status_Score]],IF(D296="","",R296+H296+T296+V296+AG296+AE296+Master20[[#This Row],[Risk Mitigation]]+Master20[[#This Row],[Master Plan]]+Master20[[#This Row],[Community Request]]+Master20[[#This Row],[Community need]]+Master20[[#This Row],[Offset Aging Inf.]]+Master20[[#This Row],[Energy Savings]]+Master20[[#This Row],[Gen Revenue]]-5))</f>
        <v/>
      </c>
      <c r="AI296" s="166"/>
      <c r="AJ296" s="166"/>
      <c r="AK296" s="166"/>
      <c r="AL296" s="166"/>
      <c r="AM296" s="166"/>
      <c r="AN296" s="165"/>
      <c r="AO296" s="170"/>
    </row>
    <row r="297" spans="1:41" ht="35.1" customHeight="1" x14ac:dyDescent="0.25">
      <c r="A297" s="158"/>
      <c r="B297" s="166"/>
      <c r="C297" s="159"/>
      <c r="D297" s="167"/>
      <c r="E297" s="160"/>
      <c r="F297" s="168"/>
      <c r="G297" s="161" t="s">
        <v>29</v>
      </c>
      <c r="H297" s="160">
        <f t="shared" si="44"/>
        <v>0</v>
      </c>
      <c r="I297" s="161"/>
      <c r="J297" s="161"/>
      <c r="K297" s="161">
        <f>Master20[[#This Row],[Initial Budget]]-Master20[[#This Row],[Previously Committed Funds]]</f>
        <v>0</v>
      </c>
      <c r="L297" s="161"/>
      <c r="M297" s="162"/>
      <c r="N297" s="163">
        <f>Master20[[#This Row],[Design $ (Add/Deduct)]]+Master20[[#This Row],[Construction $ (Add/Ded)]]</f>
        <v>0</v>
      </c>
      <c r="O297" s="171"/>
      <c r="P297" s="164">
        <v>2023</v>
      </c>
      <c r="Q297" s="165" t="s">
        <v>29</v>
      </c>
      <c r="R297" s="166">
        <f t="shared" si="49"/>
        <v>0</v>
      </c>
      <c r="S297" s="166" t="s">
        <v>29</v>
      </c>
      <c r="T297" s="166">
        <f t="shared" si="47"/>
        <v>0</v>
      </c>
      <c r="U297" s="164" t="s">
        <v>29</v>
      </c>
      <c r="V297" s="166">
        <f t="shared" si="48"/>
        <v>0</v>
      </c>
      <c r="W297" s="164" t="s">
        <v>29</v>
      </c>
      <c r="X297" s="166"/>
      <c r="Y297" s="166">
        <v>0</v>
      </c>
      <c r="Z297" s="166">
        <v>0</v>
      </c>
      <c r="AA297" s="166">
        <v>0</v>
      </c>
      <c r="AB297" s="166">
        <v>0</v>
      </c>
      <c r="AC297" s="166">
        <v>0</v>
      </c>
      <c r="AD297" s="166">
        <v>0</v>
      </c>
      <c r="AE297" s="166"/>
      <c r="AF297" s="169" t="s">
        <v>29</v>
      </c>
      <c r="AG297" s="164">
        <f>VLOOKUP(Master20[[#This Row],[Elevated Priority]],Epriority,2,)</f>
        <v>0</v>
      </c>
      <c r="AH297" s="166" t="str">
        <f>IF(Master20[[#This Row],[Status]]="Active",Master20[[#This Row],[Status_Score]],IF(D297="","",R297+H297+T297+V297+AG297+AE297+Master20[[#This Row],[Risk Mitigation]]+Master20[[#This Row],[Master Plan]]+Master20[[#This Row],[Community Request]]+Master20[[#This Row],[Community need]]+Master20[[#This Row],[Offset Aging Inf.]]+Master20[[#This Row],[Energy Savings]]+Master20[[#This Row],[Gen Revenue]]-5))</f>
        <v/>
      </c>
      <c r="AI297" s="166"/>
      <c r="AJ297" s="166"/>
      <c r="AK297" s="166"/>
      <c r="AL297" s="166"/>
      <c r="AM297" s="166"/>
      <c r="AN297" s="165"/>
      <c r="AO297" s="170"/>
    </row>
    <row r="298" spans="1:41" ht="35.1" customHeight="1" x14ac:dyDescent="0.25">
      <c r="A298" s="158"/>
      <c r="B298" s="166"/>
      <c r="C298" s="159"/>
      <c r="D298" s="167"/>
      <c r="E298" s="160"/>
      <c r="F298" s="168"/>
      <c r="G298" s="161" t="s">
        <v>29</v>
      </c>
      <c r="H298" s="160">
        <f t="shared" si="44"/>
        <v>0</v>
      </c>
      <c r="I298" s="161"/>
      <c r="J298" s="161"/>
      <c r="K298" s="161">
        <f>Master20[[#This Row],[Initial Budget]]-Master20[[#This Row],[Previously Committed Funds]]</f>
        <v>0</v>
      </c>
      <c r="L298" s="161"/>
      <c r="M298" s="162"/>
      <c r="N298" s="163">
        <f>Master20[[#This Row],[Design $ (Add/Deduct)]]+Master20[[#This Row],[Construction $ (Add/Ded)]]</f>
        <v>0</v>
      </c>
      <c r="O298" s="171"/>
      <c r="P298" s="164">
        <v>2023</v>
      </c>
      <c r="Q298" s="165" t="s">
        <v>29</v>
      </c>
      <c r="R298" s="166">
        <f t="shared" si="49"/>
        <v>0</v>
      </c>
      <c r="S298" s="166" t="s">
        <v>29</v>
      </c>
      <c r="T298" s="166">
        <f t="shared" si="47"/>
        <v>0</v>
      </c>
      <c r="U298" s="164" t="s">
        <v>29</v>
      </c>
      <c r="V298" s="166">
        <f t="shared" si="48"/>
        <v>0</v>
      </c>
      <c r="W298" s="164" t="s">
        <v>29</v>
      </c>
      <c r="X298" s="166"/>
      <c r="Y298" s="166">
        <v>0</v>
      </c>
      <c r="Z298" s="166">
        <v>0</v>
      </c>
      <c r="AA298" s="166">
        <v>0</v>
      </c>
      <c r="AB298" s="166">
        <v>0</v>
      </c>
      <c r="AC298" s="166">
        <v>0</v>
      </c>
      <c r="AD298" s="166">
        <v>0</v>
      </c>
      <c r="AE298" s="166"/>
      <c r="AF298" s="169" t="s">
        <v>29</v>
      </c>
      <c r="AG298" s="164">
        <f>VLOOKUP(Master20[[#This Row],[Elevated Priority]],Epriority,2,)</f>
        <v>0</v>
      </c>
      <c r="AH298" s="166" t="str">
        <f>IF(Master20[[#This Row],[Status]]="Active",Master20[[#This Row],[Status_Score]],IF(D298="","",R298+H298+T298+V298+AG298+AE298+Master20[[#This Row],[Risk Mitigation]]+Master20[[#This Row],[Master Plan]]+Master20[[#This Row],[Community Request]]+Master20[[#This Row],[Community need]]+Master20[[#This Row],[Offset Aging Inf.]]+Master20[[#This Row],[Energy Savings]]+Master20[[#This Row],[Gen Revenue]]-5))</f>
        <v/>
      </c>
      <c r="AI298" s="166"/>
      <c r="AJ298" s="166"/>
      <c r="AK298" s="166"/>
      <c r="AL298" s="166"/>
      <c r="AM298" s="166"/>
      <c r="AN298" s="165"/>
      <c r="AO298" s="170"/>
    </row>
    <row r="299" spans="1:41" ht="35.1" customHeight="1" x14ac:dyDescent="0.25">
      <c r="A299" s="158"/>
      <c r="B299" s="166"/>
      <c r="C299" s="159"/>
      <c r="D299" s="167"/>
      <c r="E299" s="160"/>
      <c r="F299" s="168"/>
      <c r="G299" s="161" t="s">
        <v>29</v>
      </c>
      <c r="H299" s="160">
        <f t="shared" si="44"/>
        <v>0</v>
      </c>
      <c r="I299" s="161"/>
      <c r="J299" s="161"/>
      <c r="K299" s="161">
        <f>Master20[[#This Row],[Initial Budget]]-Master20[[#This Row],[Previously Committed Funds]]</f>
        <v>0</v>
      </c>
      <c r="L299" s="161"/>
      <c r="M299" s="162"/>
      <c r="N299" s="163">
        <f>Master20[[#This Row],[Design $ (Add/Deduct)]]+Master20[[#This Row],[Construction $ (Add/Ded)]]</f>
        <v>0</v>
      </c>
      <c r="O299" s="171"/>
      <c r="P299" s="164">
        <v>2023</v>
      </c>
      <c r="Q299" s="165" t="s">
        <v>29</v>
      </c>
      <c r="R299" s="166">
        <f t="shared" si="49"/>
        <v>0</v>
      </c>
      <c r="S299" s="166" t="s">
        <v>29</v>
      </c>
      <c r="T299" s="166">
        <f t="shared" si="47"/>
        <v>0</v>
      </c>
      <c r="U299" s="164" t="s">
        <v>29</v>
      </c>
      <c r="V299" s="166">
        <f t="shared" si="48"/>
        <v>0</v>
      </c>
      <c r="W299" s="164" t="s">
        <v>29</v>
      </c>
      <c r="X299" s="166"/>
      <c r="Y299" s="166">
        <v>0</v>
      </c>
      <c r="Z299" s="166">
        <v>0</v>
      </c>
      <c r="AA299" s="166">
        <v>0</v>
      </c>
      <c r="AB299" s="166">
        <v>0</v>
      </c>
      <c r="AC299" s="166">
        <v>0</v>
      </c>
      <c r="AD299" s="166">
        <v>0</v>
      </c>
      <c r="AE299" s="166"/>
      <c r="AF299" s="169" t="s">
        <v>29</v>
      </c>
      <c r="AG299" s="164">
        <f>VLOOKUP(Master20[[#This Row],[Elevated Priority]],Epriority,2,)</f>
        <v>0</v>
      </c>
      <c r="AH299" s="166" t="str">
        <f>IF(Master20[[#This Row],[Status]]="Active",Master20[[#This Row],[Status_Score]],IF(D299="","",R299+H299+T299+V299+AG299+AE299+Master20[[#This Row],[Risk Mitigation]]+Master20[[#This Row],[Master Plan]]+Master20[[#This Row],[Community Request]]+Master20[[#This Row],[Community need]]+Master20[[#This Row],[Offset Aging Inf.]]+Master20[[#This Row],[Energy Savings]]+Master20[[#This Row],[Gen Revenue]]-5))</f>
        <v/>
      </c>
      <c r="AI299" s="166"/>
      <c r="AJ299" s="166"/>
      <c r="AK299" s="166"/>
      <c r="AL299" s="166"/>
      <c r="AM299" s="166"/>
      <c r="AN299" s="165"/>
      <c r="AO299" s="170"/>
    </row>
    <row r="300" spans="1:41" ht="35.1" customHeight="1" x14ac:dyDescent="0.25">
      <c r="A300" s="158"/>
      <c r="B300" s="166"/>
      <c r="C300" s="159"/>
      <c r="D300" s="167"/>
      <c r="E300" s="160"/>
      <c r="F300" s="168"/>
      <c r="G300" s="161" t="s">
        <v>29</v>
      </c>
      <c r="H300" s="160">
        <f t="shared" si="44"/>
        <v>0</v>
      </c>
      <c r="I300" s="161"/>
      <c r="J300" s="161"/>
      <c r="K300" s="161">
        <f>Master20[[#This Row],[Initial Budget]]-Master20[[#This Row],[Previously Committed Funds]]</f>
        <v>0</v>
      </c>
      <c r="L300" s="161"/>
      <c r="M300" s="162"/>
      <c r="N300" s="163">
        <f>Master20[[#This Row],[Design $ (Add/Deduct)]]+Master20[[#This Row],[Construction $ (Add/Ded)]]</f>
        <v>0</v>
      </c>
      <c r="O300" s="171"/>
      <c r="P300" s="164">
        <v>2023</v>
      </c>
      <c r="Q300" s="165" t="s">
        <v>29</v>
      </c>
      <c r="R300" s="166">
        <f t="shared" si="49"/>
        <v>0</v>
      </c>
      <c r="S300" s="166" t="s">
        <v>29</v>
      </c>
      <c r="T300" s="166">
        <f t="shared" si="47"/>
        <v>0</v>
      </c>
      <c r="U300" s="164" t="s">
        <v>29</v>
      </c>
      <c r="V300" s="166">
        <f t="shared" si="48"/>
        <v>0</v>
      </c>
      <c r="W300" s="164" t="s">
        <v>29</v>
      </c>
      <c r="X300" s="166"/>
      <c r="Y300" s="166">
        <v>0</v>
      </c>
      <c r="Z300" s="166">
        <v>0</v>
      </c>
      <c r="AA300" s="166">
        <v>0</v>
      </c>
      <c r="AB300" s="166">
        <v>0</v>
      </c>
      <c r="AC300" s="166">
        <v>0</v>
      </c>
      <c r="AD300" s="166">
        <v>0</v>
      </c>
      <c r="AE300" s="166"/>
      <c r="AF300" s="169" t="s">
        <v>29</v>
      </c>
      <c r="AG300" s="164">
        <f>VLOOKUP(Master20[[#This Row],[Elevated Priority]],Epriority,2,)</f>
        <v>0</v>
      </c>
      <c r="AH300" s="166" t="str">
        <f>IF(Master20[[#This Row],[Status]]="Active",Master20[[#This Row],[Status_Score]],IF(D300="","",R300+H300+T300+V300+AG300+AE300+Master20[[#This Row],[Risk Mitigation]]+Master20[[#This Row],[Master Plan]]+Master20[[#This Row],[Community Request]]+Master20[[#This Row],[Community need]]+Master20[[#This Row],[Offset Aging Inf.]]+Master20[[#This Row],[Energy Savings]]+Master20[[#This Row],[Gen Revenue]]-5))</f>
        <v/>
      </c>
      <c r="AI300" s="166"/>
      <c r="AJ300" s="166"/>
      <c r="AK300" s="166"/>
      <c r="AL300" s="166"/>
      <c r="AM300" s="166"/>
      <c r="AN300" s="165"/>
      <c r="AO300" s="170"/>
    </row>
    <row r="301" spans="1:41" ht="35.1" customHeight="1" x14ac:dyDescent="0.25">
      <c r="A301" s="158"/>
      <c r="B301" s="166"/>
      <c r="C301" s="159"/>
      <c r="D301" s="167"/>
      <c r="E301" s="160"/>
      <c r="F301" s="168"/>
      <c r="G301" s="161" t="s">
        <v>29</v>
      </c>
      <c r="H301" s="160">
        <f t="shared" si="44"/>
        <v>0</v>
      </c>
      <c r="I301" s="161"/>
      <c r="J301" s="161"/>
      <c r="K301" s="161">
        <f>Master20[[#This Row],[Initial Budget]]-Master20[[#This Row],[Previously Committed Funds]]</f>
        <v>0</v>
      </c>
      <c r="L301" s="161"/>
      <c r="M301" s="162"/>
      <c r="N301" s="163">
        <f>Master20[[#This Row],[Design $ (Add/Deduct)]]+Master20[[#This Row],[Construction $ (Add/Ded)]]</f>
        <v>0</v>
      </c>
      <c r="O301" s="171"/>
      <c r="P301" s="164">
        <v>2023</v>
      </c>
      <c r="Q301" s="165" t="s">
        <v>29</v>
      </c>
      <c r="R301" s="166">
        <f t="shared" si="49"/>
        <v>0</v>
      </c>
      <c r="S301" s="166" t="s">
        <v>29</v>
      </c>
      <c r="T301" s="166">
        <f t="shared" ref="T301:T306" si="50">VLOOKUP(S301,Department,2,FALSE)</f>
        <v>0</v>
      </c>
      <c r="U301" s="164" t="s">
        <v>29</v>
      </c>
      <c r="V301" s="166">
        <f t="shared" si="48"/>
        <v>0</v>
      </c>
      <c r="W301" s="164" t="s">
        <v>29</v>
      </c>
      <c r="X301" s="166"/>
      <c r="Y301" s="166">
        <v>0</v>
      </c>
      <c r="Z301" s="166">
        <v>0</v>
      </c>
      <c r="AA301" s="166">
        <v>0</v>
      </c>
      <c r="AB301" s="166">
        <v>0</v>
      </c>
      <c r="AC301" s="166">
        <v>0</v>
      </c>
      <c r="AD301" s="166">
        <v>0</v>
      </c>
      <c r="AE301" s="166"/>
      <c r="AF301" s="169" t="s">
        <v>29</v>
      </c>
      <c r="AG301" s="164">
        <f>VLOOKUP(Master20[[#This Row],[Elevated Priority]],Epriority,2,)</f>
        <v>0</v>
      </c>
      <c r="AH301" s="166" t="str">
        <f>IF(Master20[[#This Row],[Status]]="Active",Master20[[#This Row],[Status_Score]],IF(D301="","",R301+H301+T301+V301+AG301+AE301+Master20[[#This Row],[Risk Mitigation]]+Master20[[#This Row],[Master Plan]]+Master20[[#This Row],[Community Request]]+Master20[[#This Row],[Community need]]+Master20[[#This Row],[Offset Aging Inf.]]+Master20[[#This Row],[Energy Savings]]+Master20[[#This Row],[Gen Revenue]]-5))</f>
        <v/>
      </c>
      <c r="AI301" s="166"/>
      <c r="AJ301" s="166"/>
      <c r="AK301" s="166"/>
      <c r="AL301" s="166"/>
      <c r="AM301" s="166"/>
      <c r="AN301" s="165"/>
      <c r="AO301" s="170"/>
    </row>
    <row r="302" spans="1:41" ht="35.1" customHeight="1" x14ac:dyDescent="0.25">
      <c r="A302" s="158"/>
      <c r="B302" s="166"/>
      <c r="C302" s="159"/>
      <c r="D302" s="167"/>
      <c r="E302" s="160"/>
      <c r="F302" s="168"/>
      <c r="G302" s="161" t="s">
        <v>29</v>
      </c>
      <c r="H302" s="160">
        <f t="shared" si="44"/>
        <v>0</v>
      </c>
      <c r="I302" s="161"/>
      <c r="J302" s="161"/>
      <c r="K302" s="161">
        <f>Master20[[#This Row],[Initial Budget]]-Master20[[#This Row],[Previously Committed Funds]]</f>
        <v>0</v>
      </c>
      <c r="L302" s="161"/>
      <c r="M302" s="162"/>
      <c r="N302" s="163">
        <f>Master20[[#This Row],[Design $ (Add/Deduct)]]+Master20[[#This Row],[Construction $ (Add/Ded)]]</f>
        <v>0</v>
      </c>
      <c r="O302" s="171"/>
      <c r="P302" s="164">
        <v>2023</v>
      </c>
      <c r="Q302" s="165" t="s">
        <v>29</v>
      </c>
      <c r="R302" s="166">
        <f t="shared" si="49"/>
        <v>0</v>
      </c>
      <c r="S302" s="166" t="s">
        <v>29</v>
      </c>
      <c r="T302" s="166">
        <f t="shared" si="50"/>
        <v>0</v>
      </c>
      <c r="U302" s="164" t="s">
        <v>29</v>
      </c>
      <c r="V302" s="166">
        <f t="shared" si="48"/>
        <v>0</v>
      </c>
      <c r="W302" s="164" t="s">
        <v>29</v>
      </c>
      <c r="X302" s="166"/>
      <c r="Y302" s="166">
        <v>0</v>
      </c>
      <c r="Z302" s="166">
        <v>0</v>
      </c>
      <c r="AA302" s="166">
        <v>0</v>
      </c>
      <c r="AB302" s="166">
        <v>0</v>
      </c>
      <c r="AC302" s="166">
        <v>0</v>
      </c>
      <c r="AD302" s="166">
        <v>0</v>
      </c>
      <c r="AE302" s="166"/>
      <c r="AF302" s="169" t="s">
        <v>29</v>
      </c>
      <c r="AG302" s="164">
        <f>VLOOKUP(Master20[[#This Row],[Elevated Priority]],Epriority,2,)</f>
        <v>0</v>
      </c>
      <c r="AH302" s="166" t="str">
        <f>IF(Master20[[#This Row],[Status]]="Active",Master20[[#This Row],[Status_Score]],IF(D302="","",R302+H302+T302+V302+AG302+AE302+Master20[[#This Row],[Risk Mitigation]]+Master20[[#This Row],[Master Plan]]+Master20[[#This Row],[Community Request]]+Master20[[#This Row],[Community need]]+Master20[[#This Row],[Offset Aging Inf.]]+Master20[[#This Row],[Energy Savings]]+Master20[[#This Row],[Gen Revenue]]-5))</f>
        <v/>
      </c>
      <c r="AI302" s="166"/>
      <c r="AJ302" s="166"/>
      <c r="AK302" s="166"/>
      <c r="AL302" s="166"/>
      <c r="AM302" s="166"/>
      <c r="AN302" s="165"/>
      <c r="AO302" s="170"/>
    </row>
    <row r="303" spans="1:41" ht="35.1" customHeight="1" x14ac:dyDescent="0.25">
      <c r="A303" s="158"/>
      <c r="B303" s="166"/>
      <c r="C303" s="159"/>
      <c r="D303" s="167"/>
      <c r="E303" s="160"/>
      <c r="F303" s="168"/>
      <c r="G303" s="161" t="s">
        <v>29</v>
      </c>
      <c r="H303" s="160">
        <f t="shared" si="44"/>
        <v>0</v>
      </c>
      <c r="I303" s="161"/>
      <c r="J303" s="161"/>
      <c r="K303" s="161">
        <f>Master20[[#This Row],[Initial Budget]]-Master20[[#This Row],[Previously Committed Funds]]</f>
        <v>0</v>
      </c>
      <c r="L303" s="161"/>
      <c r="M303" s="162"/>
      <c r="N303" s="163">
        <f>Master20[[#This Row],[Design $ (Add/Deduct)]]+Master20[[#This Row],[Construction $ (Add/Ded)]]</f>
        <v>0</v>
      </c>
      <c r="O303" s="171"/>
      <c r="P303" s="164">
        <v>2023</v>
      </c>
      <c r="Q303" s="165" t="s">
        <v>29</v>
      </c>
      <c r="R303" s="166">
        <f t="shared" si="49"/>
        <v>0</v>
      </c>
      <c r="S303" s="166" t="s">
        <v>29</v>
      </c>
      <c r="T303" s="166">
        <f t="shared" si="50"/>
        <v>0</v>
      </c>
      <c r="U303" s="164" t="s">
        <v>29</v>
      </c>
      <c r="V303" s="166">
        <f t="shared" si="48"/>
        <v>0</v>
      </c>
      <c r="W303" s="164" t="s">
        <v>29</v>
      </c>
      <c r="X303" s="166"/>
      <c r="Y303" s="166">
        <v>0</v>
      </c>
      <c r="Z303" s="166">
        <v>0</v>
      </c>
      <c r="AA303" s="166">
        <v>0</v>
      </c>
      <c r="AB303" s="166">
        <v>0</v>
      </c>
      <c r="AC303" s="166">
        <v>0</v>
      </c>
      <c r="AD303" s="166">
        <v>0</v>
      </c>
      <c r="AE303" s="166"/>
      <c r="AF303" s="169" t="s">
        <v>29</v>
      </c>
      <c r="AG303" s="164">
        <f>VLOOKUP(Master20[[#This Row],[Elevated Priority]],Epriority,2,)</f>
        <v>0</v>
      </c>
      <c r="AH303" s="166" t="str">
        <f>IF(Master20[[#This Row],[Status]]="Active",Master20[[#This Row],[Status_Score]],IF(D303="","",R303+H303+T303+V303+AG303+AE303+Master20[[#This Row],[Risk Mitigation]]+Master20[[#This Row],[Master Plan]]+Master20[[#This Row],[Community Request]]+Master20[[#This Row],[Community need]]+Master20[[#This Row],[Offset Aging Inf.]]+Master20[[#This Row],[Energy Savings]]+Master20[[#This Row],[Gen Revenue]]-5))</f>
        <v/>
      </c>
      <c r="AI303" s="166"/>
      <c r="AJ303" s="166"/>
      <c r="AK303" s="166"/>
      <c r="AL303" s="166"/>
      <c r="AM303" s="166"/>
      <c r="AN303" s="165"/>
      <c r="AO303" s="170"/>
    </row>
    <row r="304" spans="1:41" ht="35.1" customHeight="1" x14ac:dyDescent="0.25">
      <c r="A304" s="158"/>
      <c r="B304" s="166"/>
      <c r="C304" s="159"/>
      <c r="D304" s="167"/>
      <c r="E304" s="160"/>
      <c r="F304" s="168"/>
      <c r="G304" s="161" t="s">
        <v>29</v>
      </c>
      <c r="H304" s="160">
        <f t="shared" si="44"/>
        <v>0</v>
      </c>
      <c r="I304" s="161"/>
      <c r="J304" s="161"/>
      <c r="K304" s="161">
        <f>Master20[[#This Row],[Initial Budget]]-Master20[[#This Row],[Previously Committed Funds]]</f>
        <v>0</v>
      </c>
      <c r="L304" s="161"/>
      <c r="M304" s="162"/>
      <c r="N304" s="163">
        <f>Master20[[#This Row],[Design $ (Add/Deduct)]]+Master20[[#This Row],[Construction $ (Add/Ded)]]</f>
        <v>0</v>
      </c>
      <c r="O304" s="171"/>
      <c r="P304" s="164">
        <v>2023</v>
      </c>
      <c r="Q304" s="165" t="s">
        <v>29</v>
      </c>
      <c r="R304" s="166">
        <f t="shared" si="49"/>
        <v>0</v>
      </c>
      <c r="S304" s="166" t="s">
        <v>29</v>
      </c>
      <c r="T304" s="166">
        <f t="shared" si="50"/>
        <v>0</v>
      </c>
      <c r="U304" s="164" t="s">
        <v>29</v>
      </c>
      <c r="V304" s="166">
        <f t="shared" si="48"/>
        <v>0</v>
      </c>
      <c r="W304" s="164" t="s">
        <v>29</v>
      </c>
      <c r="X304" s="166"/>
      <c r="Y304" s="166">
        <v>0</v>
      </c>
      <c r="Z304" s="166">
        <v>0</v>
      </c>
      <c r="AA304" s="166">
        <v>0</v>
      </c>
      <c r="AB304" s="166">
        <v>0</v>
      </c>
      <c r="AC304" s="166">
        <v>0</v>
      </c>
      <c r="AD304" s="166">
        <v>0</v>
      </c>
      <c r="AE304" s="166"/>
      <c r="AF304" s="169" t="s">
        <v>29</v>
      </c>
      <c r="AG304" s="164">
        <f>VLOOKUP(Master20[[#This Row],[Elevated Priority]],Epriority,2,)</f>
        <v>0</v>
      </c>
      <c r="AH304" s="166" t="str">
        <f>IF(Master20[[#This Row],[Status]]="Active",Master20[[#This Row],[Status_Score]],IF(D304="","",R304+H304+T304+V304+AG304+AE304+Master20[[#This Row],[Risk Mitigation]]+Master20[[#This Row],[Master Plan]]+Master20[[#This Row],[Community Request]]+Master20[[#This Row],[Community need]]+Master20[[#This Row],[Offset Aging Inf.]]+Master20[[#This Row],[Energy Savings]]+Master20[[#This Row],[Gen Revenue]]-5))</f>
        <v/>
      </c>
      <c r="AI304" s="166"/>
      <c r="AJ304" s="166"/>
      <c r="AK304" s="166"/>
      <c r="AL304" s="166"/>
      <c r="AM304" s="166"/>
      <c r="AN304" s="165"/>
      <c r="AO304" s="170"/>
    </row>
    <row r="305" spans="1:41" ht="35.1" customHeight="1" x14ac:dyDescent="0.25">
      <c r="A305" s="158"/>
      <c r="B305" s="166"/>
      <c r="C305" s="159"/>
      <c r="D305" s="167"/>
      <c r="E305" s="160"/>
      <c r="F305" s="168"/>
      <c r="G305" s="161" t="s">
        <v>29</v>
      </c>
      <c r="H305" s="160">
        <f t="shared" si="44"/>
        <v>0</v>
      </c>
      <c r="I305" s="161"/>
      <c r="J305" s="161"/>
      <c r="K305" s="161">
        <f>Master20[[#This Row],[Initial Budget]]-Master20[[#This Row],[Previously Committed Funds]]</f>
        <v>0</v>
      </c>
      <c r="L305" s="161"/>
      <c r="M305" s="162"/>
      <c r="N305" s="163">
        <f>Master20[[#This Row],[Design $ (Add/Deduct)]]+Master20[[#This Row],[Construction $ (Add/Ded)]]</f>
        <v>0</v>
      </c>
      <c r="O305" s="171"/>
      <c r="P305" s="164">
        <v>2023</v>
      </c>
      <c r="Q305" s="165" t="s">
        <v>29</v>
      </c>
      <c r="R305" s="166">
        <f t="shared" si="49"/>
        <v>0</v>
      </c>
      <c r="S305" s="166" t="s">
        <v>29</v>
      </c>
      <c r="T305" s="166">
        <f t="shared" si="50"/>
        <v>0</v>
      </c>
      <c r="U305" s="164" t="s">
        <v>29</v>
      </c>
      <c r="V305" s="166">
        <f t="shared" ref="V305:V306" si="51">VLOOKUP(U305,Urgency,2,FALSE)</f>
        <v>0</v>
      </c>
      <c r="W305" s="164" t="s">
        <v>29</v>
      </c>
      <c r="X305" s="166"/>
      <c r="Y305" s="166">
        <v>0</v>
      </c>
      <c r="Z305" s="166">
        <v>0</v>
      </c>
      <c r="AA305" s="166">
        <v>0</v>
      </c>
      <c r="AB305" s="166">
        <v>0</v>
      </c>
      <c r="AC305" s="166">
        <v>0</v>
      </c>
      <c r="AD305" s="166">
        <v>0</v>
      </c>
      <c r="AE305" s="166"/>
      <c r="AF305" s="169" t="s">
        <v>29</v>
      </c>
      <c r="AG305" s="164">
        <f>VLOOKUP(Master20[[#This Row],[Elevated Priority]],Epriority,2,)</f>
        <v>0</v>
      </c>
      <c r="AH305" s="166" t="str">
        <f>IF(Master20[[#This Row],[Status]]="Active",Master20[[#This Row],[Status_Score]],IF(D305="","",R305+H305+T305+V305+AG305+AE305+Master20[[#This Row],[Risk Mitigation]]+Master20[[#This Row],[Master Plan]]+Master20[[#This Row],[Community Request]]+Master20[[#This Row],[Community need]]+Master20[[#This Row],[Offset Aging Inf.]]+Master20[[#This Row],[Energy Savings]]+Master20[[#This Row],[Gen Revenue]]-5))</f>
        <v/>
      </c>
      <c r="AI305" s="166"/>
      <c r="AJ305" s="166"/>
      <c r="AK305" s="166"/>
      <c r="AL305" s="166"/>
      <c r="AM305" s="166"/>
      <c r="AN305" s="165"/>
      <c r="AO305" s="170"/>
    </row>
    <row r="306" spans="1:41" ht="35.1" customHeight="1" x14ac:dyDescent="0.25">
      <c r="A306" s="158"/>
      <c r="B306" s="166"/>
      <c r="C306" s="159"/>
      <c r="D306" s="167"/>
      <c r="E306" s="160"/>
      <c r="F306" s="168"/>
      <c r="G306" s="161" t="s">
        <v>29</v>
      </c>
      <c r="H306" s="160">
        <f t="shared" si="44"/>
        <v>0</v>
      </c>
      <c r="I306" s="161"/>
      <c r="J306" s="161"/>
      <c r="K306" s="161">
        <f>Master20[[#This Row],[Initial Budget]]-Master20[[#This Row],[Previously Committed Funds]]</f>
        <v>0</v>
      </c>
      <c r="L306" s="161"/>
      <c r="M306" s="162"/>
      <c r="N306" s="163">
        <f>Master20[[#This Row],[Design $ (Add/Deduct)]]+Master20[[#This Row],[Construction $ (Add/Ded)]]</f>
        <v>0</v>
      </c>
      <c r="O306" s="171"/>
      <c r="P306" s="164">
        <v>2023</v>
      </c>
      <c r="Q306" s="165" t="s">
        <v>29</v>
      </c>
      <c r="R306" s="166">
        <f t="shared" si="49"/>
        <v>0</v>
      </c>
      <c r="S306" s="166" t="s">
        <v>29</v>
      </c>
      <c r="T306" s="166">
        <f t="shared" si="50"/>
        <v>0</v>
      </c>
      <c r="U306" s="164" t="s">
        <v>29</v>
      </c>
      <c r="V306" s="166">
        <f t="shared" si="51"/>
        <v>0</v>
      </c>
      <c r="W306" s="164" t="s">
        <v>29</v>
      </c>
      <c r="X306" s="166"/>
      <c r="Y306" s="166">
        <v>0</v>
      </c>
      <c r="Z306" s="166">
        <v>0</v>
      </c>
      <c r="AA306" s="166">
        <v>0</v>
      </c>
      <c r="AB306" s="166">
        <v>0</v>
      </c>
      <c r="AC306" s="166">
        <v>0</v>
      </c>
      <c r="AD306" s="166">
        <v>0</v>
      </c>
      <c r="AE306" s="166"/>
      <c r="AF306" s="169" t="s">
        <v>29</v>
      </c>
      <c r="AG306" s="164">
        <f>VLOOKUP(Master20[[#This Row],[Elevated Priority]],Epriority,2,)</f>
        <v>0</v>
      </c>
      <c r="AH306" s="166" t="str">
        <f>IF(Master20[[#This Row],[Status]]="Active",Master20[[#This Row],[Status_Score]],IF(D306="","",R306+H306+T306+V306+AG306+AE306+Master20[[#This Row],[Risk Mitigation]]+Master20[[#This Row],[Master Plan]]+Master20[[#This Row],[Community Request]]+Master20[[#This Row],[Community need]]+Master20[[#This Row],[Offset Aging Inf.]]+Master20[[#This Row],[Energy Savings]]+Master20[[#This Row],[Gen Revenue]]-5))</f>
        <v/>
      </c>
      <c r="AI306" s="166"/>
      <c r="AJ306" s="166"/>
      <c r="AK306" s="166"/>
      <c r="AL306" s="166"/>
      <c r="AM306" s="166"/>
      <c r="AN306" s="165"/>
      <c r="AO306" s="170"/>
    </row>
  </sheetData>
  <conditionalFormatting sqref="D31:D43">
    <cfRule type="duplicateValues" priority="1"/>
  </conditionalFormatting>
  <conditionalFormatting sqref="D44 D58:D66">
    <cfRule type="duplicateValues" priority="4"/>
  </conditionalFormatting>
  <conditionalFormatting sqref="D45:D57">
    <cfRule type="duplicateValues" priority="2"/>
  </conditionalFormatting>
  <conditionalFormatting sqref="D67:D68">
    <cfRule type="duplicateValues" priority="28"/>
  </conditionalFormatting>
  <conditionalFormatting sqref="D286:D306">
    <cfRule type="duplicateValues" priority="138"/>
  </conditionalFormatting>
  <conditionalFormatting sqref="D307:D1048576 D1 D9:D30">
    <cfRule type="duplicateValues" priority="71"/>
  </conditionalFormatting>
  <conditionalFormatting sqref="D221:E285">
    <cfRule type="duplicateValues" priority="58"/>
  </conditionalFormatting>
  <conditionalFormatting sqref="S69:S74 AH69:AH74 S119 AH119 D69:D140 D142:D205">
    <cfRule type="duplicateValues" priority="137"/>
  </conditionalFormatting>
  <conditionalFormatting sqref="AJ74">
    <cfRule type="duplicateValues" priority="3"/>
  </conditionalFormatting>
  <dataValidations count="12">
    <dataValidation type="list" allowBlank="1" showInputMessage="1" showErrorMessage="1" sqref="AD7:AD8 X10:Y14 AC211 AC214 AC25 AC35 Y211 X35:Y35 X25:Y25 X7:AB8 X2:AD5 W2:W306" xr:uid="{00000000-0002-0000-0200-000000000000}">
      <formula1>Funding</formula1>
    </dataValidation>
    <dataValidation type="list" allowBlank="1" showInputMessage="1" showErrorMessage="1" sqref="Y26:Y27 Y22:Y23 Y9 Y34 Y40 Y44:Y45 Y51 Y60 Y67:Y68 Y72 Y74 Y167:Y192 Y82 Y86 Y90 Y92 Y97 Y99 Y104 Y111 Y117:Y118 Y120:Y122 Y129:Y131 Y134:Y136 Y138:Y139 Y142 Y144:Y145 Y153 Y155:Y157 Y159:Y164 Y196:Y198 Y200:Y203 Y206 Y208:Y210 Y212:Y214 Y147:Y151" xr:uid="{00000000-0002-0000-0200-000001000000}">
      <formula1>Energy</formula1>
    </dataValidation>
    <dataValidation type="list" allowBlank="1" showInputMessage="1" showErrorMessage="1" sqref="X9 X22:X23 X26:X27 X34 X40 X44:X45 X51 X60 X67:X68 X72 X74 X167:X192 X82 X86 X90 X92 X97 X99 X104 X111 X117:X118 X120:X122 X129:X131 X134:X136 X138:X139 X142 X144:X145 X153 X155:X157 X159:X164 X196:X198 X200:X203 X147:X151 X206:X212" xr:uid="{00000000-0002-0000-0200-000002000000}">
      <formula1>Revenue</formula1>
    </dataValidation>
    <dataValidation type="list" allowBlank="1" showInputMessage="1" showErrorMessage="1" sqref="AC40 AC34 AC26:AC27 AC22:AC23 AC6:AC14" xr:uid="{00000000-0002-0000-0200-000003000000}">
      <formula1>MasterPlan</formula1>
    </dataValidation>
    <dataValidation type="list" allowBlank="1" showInputMessage="1" showErrorMessage="1" sqref="Z9:Z306" xr:uid="{00000000-0002-0000-0200-000005000000}">
      <formula1>Age_Inf</formula1>
    </dataValidation>
    <dataValidation type="list" allowBlank="1" showInputMessage="1" showErrorMessage="1" sqref="AA9:AA306" xr:uid="{00000000-0002-0000-0200-000006000000}">
      <formula1>Com_Need</formula1>
    </dataValidation>
    <dataValidation type="list" allowBlank="1" showInputMessage="1" showErrorMessage="1" sqref="AB9:AB306" xr:uid="{00000000-0002-0000-0200-000007000000}">
      <formula1>Com_Request</formula1>
    </dataValidation>
    <dataValidation type="list" allowBlank="1" showInputMessage="1" showErrorMessage="1" sqref="AD9:AD306" xr:uid="{00000000-0002-0000-0200-000008000000}">
      <formula1>Risk</formula1>
    </dataValidation>
    <dataValidation type="list" allowBlank="1" showInputMessage="1" showErrorMessage="1" sqref="G2:G306" xr:uid="{00000000-0002-0000-0200-000009000000}">
      <formula1>Status</formula1>
    </dataValidation>
    <dataValidation type="list" allowBlank="1" showInputMessage="1" showErrorMessage="1" sqref="S2:S306" xr:uid="{00000000-0002-0000-0200-00000A000000}">
      <formula1>Department_List</formula1>
    </dataValidation>
    <dataValidation type="list" allowBlank="1" showInputMessage="1" showErrorMessage="1" sqref="U2:U306" xr:uid="{00000000-0002-0000-0200-00000B000000}">
      <formula1>Urgency_List</formula1>
    </dataValidation>
    <dataValidation type="list" allowBlank="1" showInputMessage="1" showErrorMessage="1" sqref="AF2:AF306" xr:uid="{00000000-0002-0000-0200-00000C000000}">
      <formula1>ele_pri</formula1>
    </dataValidation>
  </dataValidations>
  <pageMargins left="0.7" right="0.7" top="0.75" bottom="0.75" header="0.3" footer="0.3"/>
  <pageSetup paperSize="3" scale="74" fitToHeight="0" orientation="landscape" r:id="rId1"/>
  <rowBreaks count="13" manualBreakCount="13">
    <brk id="15" max="39" man="1"/>
    <brk id="31" max="39" man="1"/>
    <brk id="49" max="39" man="1"/>
    <brk id="68" max="39" man="1"/>
    <brk id="80" max="39" man="1"/>
    <brk id="97" max="39" man="1"/>
    <brk id="114" max="39" man="1"/>
    <brk id="138" max="39" man="1"/>
    <brk id="155" max="39" man="1"/>
    <brk id="167" max="39" man="1"/>
    <brk id="183" max="39" man="1"/>
    <brk id="195" max="39" man="1"/>
    <brk id="213" max="39" man="1"/>
  </rowBreaks>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D000000}">
          <x14:formula1>
            <xm:f>Database!$U$3:$U$4</xm:f>
          </x14:formula1>
          <xm:sqref>X238 X24 X91 X6 X199 X204:X205 X15:X21 X36:X39 X41:X43 X46:X50 X52:X59 X61:X66 X69:X71 X73 X75:X81 X83:X85 X87:X89 X93:X96 X98 X100:X103 X105:X110 X112:X116 X119 X123:X128 X132:X133 X137 X140:X141 X143 X146 X152 X154 X158 X165:X166 X28:X33 X193:X195</xm:sqref>
        </x14:dataValidation>
        <x14:dataValidation type="list" allowBlank="1" showInputMessage="1" showErrorMessage="1" xr:uid="{00000000-0002-0000-0200-00000E000000}">
          <x14:formula1>
            <xm:f>Database!$U$3:$U$8</xm:f>
          </x14:formula1>
          <xm:sqref>X213:X237 X239:X306</xm:sqref>
        </x14:dataValidation>
        <x14:dataValidation type="list" allowBlank="1" showInputMessage="1" showErrorMessage="1" xr:uid="{00000000-0002-0000-0200-00000F000000}">
          <x14:formula1>
            <xm:f>Database!$U$8:$U$9</xm:f>
          </x14:formula1>
          <xm:sqref>Y6 Y15:Y21 Y24 Y46:Y50 Y52:Y54 Y204 Y28:Y33 Y73 Y75 Y66 Y69 Y63:Y64 Y56:Y59 Y61 Y36:Y39 Y41:Y42 Y77 Y80 Y83:Y85 Y87 Y89 Y93:Y94 Y96 Y100:Y101 Y103 Y105:Y110 Y112:Y115 Y125:Y127 Y132 Y140 Y165 Y215:Y306</xm:sqref>
        </x14:dataValidation>
        <x14:dataValidation type="list" allowBlank="1" showInputMessage="1" showErrorMessage="1" xr:uid="{00000000-0002-0000-0200-000010000000}">
          <x14:formula1>
            <xm:f>Database!$U$14:$U$15</xm:f>
          </x14:formula1>
          <xm:sqref>AA6</xm:sqref>
        </x14:dataValidation>
        <x14:dataValidation type="list" allowBlank="1" showInputMessage="1" showErrorMessage="1" xr:uid="{00000000-0002-0000-0200-000011000000}">
          <x14:formula1>
            <xm:f>Database!$U$8:$U$10</xm:f>
          </x14:formula1>
          <xm:sqref>Y70:Y71 Y65 Y62 Y55 Y43 Y76 Y78:Y79 Y81 Y88 Y91 Y95 Y102 Y116 Y119 Y123:Y124 Y128 Y133 Y137 Y141 Y143 Y146 Y152 Y154 Y158 Y166 Y98 Y199 Y205 Y207 Y193:Y195</xm:sqref>
        </x14:dataValidation>
        <x14:dataValidation type="list" allowBlank="1" showInputMessage="1" showErrorMessage="1" xr:uid="{00000000-0002-0000-0200-000012000000}">
          <x14:formula1>
            <xm:f>Database!$U$13:$U$13</xm:f>
          </x14:formula1>
          <xm:sqref>Z6</xm:sqref>
        </x14:dataValidation>
        <x14:dataValidation type="list" allowBlank="1" showInputMessage="1" showErrorMessage="1" xr:uid="{00000000-0002-0000-0200-000013000000}">
          <x14:formula1>
            <xm:f>Database!$U$16:$U$17</xm:f>
          </x14:formula1>
          <xm:sqref>AB6</xm:sqref>
        </x14:dataValidation>
        <x14:dataValidation type="list" allowBlank="1" showInputMessage="1" showErrorMessage="1" xr:uid="{00000000-0002-0000-0200-000014000000}">
          <x14:formula1>
            <xm:f>Database!$W$11:$W$16</xm:f>
          </x14:formula1>
          <xm:sqref>AC36:AC39 AC212:AC213 AC28:AC33 AC15:AC21 AC24 AC215:AC306 AC41:AC210</xm:sqref>
        </x14:dataValidation>
        <x14:dataValidation type="list" allowBlank="1" showInputMessage="1" showErrorMessage="1" xr:uid="{00000000-0002-0000-0200-000015000000}">
          <x14:formula1>
            <xm:f>Database!$U$24:$U$25</xm:f>
          </x14:formula1>
          <xm:sqref>AD6</xm:sqref>
        </x14:dataValidation>
        <x14:dataValidation type="list" allowBlank="1" showInputMessage="1" showErrorMessage="1" xr:uid="{00000000-0002-0000-0200-000017000000}">
          <x14:formula1>
            <xm:f>Database!$D$3:$D$12</xm:f>
          </x14:formula1>
          <xm:sqref>Q2:Q306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FF51-96DA-4D18-9EDE-1F15B0368452}">
  <dimension ref="E6:P35"/>
  <sheetViews>
    <sheetView topLeftCell="A10" workbookViewId="0">
      <selection activeCell="G28" sqref="G28"/>
    </sheetView>
  </sheetViews>
  <sheetFormatPr defaultRowHeight="15" x14ac:dyDescent="0.25"/>
  <cols>
    <col min="5" max="5" width="11.85546875" bestFit="1" customWidth="1"/>
    <col min="7" max="7" width="19.42578125" bestFit="1" customWidth="1"/>
    <col min="9" max="9" width="11.85546875" bestFit="1" customWidth="1"/>
    <col min="13" max="13" width="15" bestFit="1" customWidth="1"/>
    <col min="15" max="16" width="11.85546875" bestFit="1" customWidth="1"/>
  </cols>
  <sheetData>
    <row r="6" spans="5:13" ht="15.75" thickBot="1" x14ac:dyDescent="0.3"/>
    <row r="7" spans="5:13" ht="24" thickBot="1" x14ac:dyDescent="0.3">
      <c r="E7" s="195">
        <f>G7</f>
        <v>5000000</v>
      </c>
      <c r="G7" s="196">
        <v>5000000</v>
      </c>
      <c r="I7" s="195"/>
      <c r="M7" s="196">
        <v>75000</v>
      </c>
    </row>
    <row r="8" spans="5:13" ht="24.75" thickTop="1" thickBot="1" x14ac:dyDescent="0.3">
      <c r="G8" s="197">
        <v>10000000</v>
      </c>
      <c r="I8" s="195"/>
      <c r="M8" s="197">
        <v>250000</v>
      </c>
    </row>
    <row r="9" spans="5:13" ht="24" thickBot="1" x14ac:dyDescent="0.3">
      <c r="G9" s="198">
        <v>10000000</v>
      </c>
      <c r="I9" s="195"/>
      <c r="M9" s="198">
        <v>75000</v>
      </c>
    </row>
    <row r="10" spans="5:13" ht="24" thickBot="1" x14ac:dyDescent="0.3">
      <c r="E10" s="195">
        <f>G10</f>
        <v>3250000</v>
      </c>
      <c r="G10" s="199">
        <v>3250000</v>
      </c>
      <c r="I10" s="195"/>
      <c r="M10" s="199">
        <v>75000</v>
      </c>
    </row>
    <row r="11" spans="5:13" ht="24" thickBot="1" x14ac:dyDescent="0.3">
      <c r="E11" s="195">
        <f>G11</f>
        <v>4000000</v>
      </c>
      <c r="G11" s="198">
        <v>4000000</v>
      </c>
      <c r="I11" s="195"/>
      <c r="M11" s="198">
        <v>50000</v>
      </c>
    </row>
    <row r="12" spans="5:13" ht="24" thickBot="1" x14ac:dyDescent="0.3">
      <c r="G12" s="199">
        <v>1500000</v>
      </c>
      <c r="I12" s="195"/>
      <c r="M12" s="199">
        <v>150000</v>
      </c>
    </row>
    <row r="13" spans="5:13" ht="24" thickBot="1" x14ac:dyDescent="0.3">
      <c r="E13" s="195">
        <f>G13</f>
        <v>250000</v>
      </c>
      <c r="G13" s="198">
        <v>250000</v>
      </c>
      <c r="I13" s="195">
        <f t="shared" ref="I13:I16" si="0">G13</f>
        <v>250000</v>
      </c>
      <c r="M13" s="198">
        <v>100000</v>
      </c>
    </row>
    <row r="14" spans="5:13" ht="24" thickBot="1" x14ac:dyDescent="0.3">
      <c r="E14" s="195">
        <f>G14</f>
        <v>60000</v>
      </c>
      <c r="G14" s="199">
        <v>60000</v>
      </c>
      <c r="I14" s="195">
        <f t="shared" si="0"/>
        <v>60000</v>
      </c>
      <c r="M14" s="199">
        <v>80000</v>
      </c>
    </row>
    <row r="15" spans="5:13" ht="24" thickBot="1" x14ac:dyDescent="0.3">
      <c r="E15" s="195">
        <f>G15</f>
        <v>100000</v>
      </c>
      <c r="G15" s="198">
        <v>100000</v>
      </c>
      <c r="I15" s="195">
        <f t="shared" si="0"/>
        <v>100000</v>
      </c>
    </row>
    <row r="16" spans="5:13" ht="24" thickBot="1" x14ac:dyDescent="0.3">
      <c r="E16" s="195">
        <f>G16</f>
        <v>60000</v>
      </c>
      <c r="G16" s="199">
        <v>60000</v>
      </c>
      <c r="I16" s="195">
        <f t="shared" si="0"/>
        <v>60000</v>
      </c>
    </row>
    <row r="18" spans="5:16" x14ac:dyDescent="0.25">
      <c r="E18" s="195">
        <f>SUM(E7:E16)</f>
        <v>12720000</v>
      </c>
      <c r="G18" s="195">
        <f>SUM(G7:G16)</f>
        <v>34220000</v>
      </c>
      <c r="I18" s="195">
        <f>SUM(I13:I17)</f>
        <v>470000</v>
      </c>
      <c r="M18" s="195">
        <f>SUM(M7:M15)</f>
        <v>855000</v>
      </c>
      <c r="O18">
        <v>3850000</v>
      </c>
      <c r="P18">
        <v>1200000</v>
      </c>
    </row>
    <row r="19" spans="5:16" x14ac:dyDescent="0.25">
      <c r="E19" s="195">
        <f>M18</f>
        <v>855000</v>
      </c>
      <c r="M19" s="195">
        <f>M18+G18</f>
        <v>35075000</v>
      </c>
      <c r="O19" s="195">
        <f>M19+O18</f>
        <v>38925000</v>
      </c>
      <c r="P19" s="195">
        <f>P18+O19</f>
        <v>40125000</v>
      </c>
    </row>
    <row r="20" spans="5:16" x14ac:dyDescent="0.25">
      <c r="E20" s="195">
        <f>E19+E18</f>
        <v>13575000</v>
      </c>
    </row>
    <row r="26" spans="5:16" x14ac:dyDescent="0.25">
      <c r="E26" t="s">
        <v>1381</v>
      </c>
      <c r="F26" t="s">
        <v>1382</v>
      </c>
      <c r="G26" t="s">
        <v>1383</v>
      </c>
    </row>
    <row r="27" spans="5:16" x14ac:dyDescent="0.25">
      <c r="E27" t="s">
        <v>1387</v>
      </c>
      <c r="F27" t="s">
        <v>1382</v>
      </c>
      <c r="G27" t="s">
        <v>1388</v>
      </c>
    </row>
    <row r="28" spans="5:16" x14ac:dyDescent="0.25">
      <c r="E28" t="s">
        <v>1389</v>
      </c>
      <c r="F28" t="s">
        <v>1382</v>
      </c>
      <c r="G28" t="s">
        <v>1390</v>
      </c>
    </row>
    <row r="29" spans="5:16" x14ac:dyDescent="0.25">
      <c r="E29" t="s">
        <v>1397</v>
      </c>
      <c r="F29" t="s">
        <v>1382</v>
      </c>
      <c r="G29" t="s">
        <v>1398</v>
      </c>
    </row>
    <row r="31" spans="5:16" x14ac:dyDescent="0.25">
      <c r="E31" t="s">
        <v>1395</v>
      </c>
      <c r="F31" t="s">
        <v>1385</v>
      </c>
      <c r="G31" t="s">
        <v>1396</v>
      </c>
    </row>
    <row r="32" spans="5:16" x14ac:dyDescent="0.25">
      <c r="E32" t="s">
        <v>1391</v>
      </c>
      <c r="F32" t="s">
        <v>1385</v>
      </c>
      <c r="G32" t="s">
        <v>1392</v>
      </c>
    </row>
    <row r="33" spans="5:7" x14ac:dyDescent="0.25">
      <c r="E33" t="s">
        <v>1393</v>
      </c>
      <c r="F33" t="s">
        <v>1385</v>
      </c>
      <c r="G33" t="s">
        <v>1394</v>
      </c>
    </row>
    <row r="34" spans="5:7" x14ac:dyDescent="0.25">
      <c r="E34" t="s">
        <v>1384</v>
      </c>
      <c r="F34" t="s">
        <v>1385</v>
      </c>
      <c r="G34" t="s">
        <v>1386</v>
      </c>
    </row>
    <row r="35" spans="5:7" x14ac:dyDescent="0.25">
      <c r="E35" t="s">
        <v>1399</v>
      </c>
      <c r="F35" t="s">
        <v>1385</v>
      </c>
      <c r="G35" t="s">
        <v>1400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K207"/>
  <sheetViews>
    <sheetView zoomScaleNormal="100" workbookViewId="0">
      <pane xSplit="5" topLeftCell="F1" activePane="topRight" state="frozen"/>
      <selection pane="topRight" activeCell="F34" sqref="F34"/>
    </sheetView>
  </sheetViews>
  <sheetFormatPr defaultColWidth="9.140625" defaultRowHeight="15" x14ac:dyDescent="0.25"/>
  <cols>
    <col min="1" max="1" width="5" style="103" customWidth="1"/>
    <col min="2" max="2" width="28.140625" style="1" bestFit="1" customWidth="1"/>
    <col min="3" max="3" width="39.7109375" style="10" customWidth="1"/>
    <col min="4" max="4" width="28.5703125" style="10" customWidth="1"/>
    <col min="5" max="5" width="33.42578125" style="3" customWidth="1"/>
    <col min="6" max="6" width="12.28515625" style="3" customWidth="1"/>
    <col min="7" max="8" width="12.42578125" style="3" customWidth="1"/>
    <col min="9" max="9" width="12.85546875" style="3" customWidth="1"/>
    <col min="10" max="10" width="20.42578125" style="3" customWidth="1"/>
    <col min="11" max="12" width="14.28515625" style="3" customWidth="1"/>
    <col min="13" max="13" width="15.85546875" style="101" customWidth="1"/>
    <col min="14" max="14" width="18.85546875" style="32" customWidth="1"/>
    <col min="15" max="15" width="15.140625" style="33" customWidth="1"/>
    <col min="16" max="16" width="24.5703125" style="10" customWidth="1"/>
    <col min="17" max="17" width="14.7109375" style="8" customWidth="1"/>
    <col min="18" max="18" width="15.7109375" style="8" customWidth="1"/>
    <col min="19" max="19" width="14.7109375" style="8" customWidth="1"/>
    <col min="20" max="20" width="12.85546875" style="8" customWidth="1"/>
    <col min="21" max="22" width="14.7109375" style="8" customWidth="1"/>
    <col min="23" max="25" width="14.7109375" style="8" hidden="1" customWidth="1"/>
    <col min="26" max="26" width="16.5703125" style="8" hidden="1" customWidth="1"/>
    <col min="27" max="29" width="14.7109375" style="8" hidden="1" customWidth="1"/>
    <col min="30" max="30" width="13.28515625" style="8" customWidth="1"/>
    <col min="31" max="31" width="14.7109375" style="8" customWidth="1"/>
    <col min="32" max="32" width="18.7109375" style="8" customWidth="1"/>
    <col min="33" max="34" width="13" style="36" customWidth="1"/>
    <col min="35" max="35" width="13.85546875" style="36" customWidth="1"/>
    <col min="36" max="36" width="33" style="9" hidden="1" customWidth="1"/>
    <col min="37" max="37" width="14.28515625" customWidth="1"/>
  </cols>
  <sheetData>
    <row r="1" spans="1:63" ht="46.5" customHeight="1" x14ac:dyDescent="0.25">
      <c r="A1" s="103" t="s">
        <v>48</v>
      </c>
      <c r="B1" s="4" t="s">
        <v>49</v>
      </c>
      <c r="C1" s="5" t="s">
        <v>50</v>
      </c>
      <c r="D1" s="5" t="s">
        <v>51</v>
      </c>
      <c r="E1" s="5" t="s">
        <v>52</v>
      </c>
      <c r="F1" s="5" t="s">
        <v>53</v>
      </c>
      <c r="G1" s="5" t="s">
        <v>645</v>
      </c>
      <c r="H1" s="97" t="s">
        <v>736</v>
      </c>
      <c r="I1" s="97" t="s">
        <v>730</v>
      </c>
      <c r="J1" s="97" t="s">
        <v>741</v>
      </c>
      <c r="K1" s="97" t="s">
        <v>738</v>
      </c>
      <c r="L1" s="97" t="s">
        <v>739</v>
      </c>
      <c r="M1" s="97" t="s">
        <v>737</v>
      </c>
      <c r="N1" s="6" t="s">
        <v>731</v>
      </c>
      <c r="O1" s="6" t="s">
        <v>55</v>
      </c>
      <c r="P1" s="4" t="s">
        <v>26</v>
      </c>
      <c r="Q1" s="4" t="s">
        <v>56</v>
      </c>
      <c r="R1" s="4" t="s">
        <v>27</v>
      </c>
      <c r="S1" s="4" t="s">
        <v>57</v>
      </c>
      <c r="T1" s="4" t="s">
        <v>28</v>
      </c>
      <c r="U1" s="7" t="s">
        <v>58</v>
      </c>
      <c r="V1" s="7" t="s">
        <v>23</v>
      </c>
      <c r="W1" s="4" t="s">
        <v>938</v>
      </c>
      <c r="X1" s="4" t="s">
        <v>707</v>
      </c>
      <c r="Y1" s="4" t="s">
        <v>706</v>
      </c>
      <c r="Z1" s="4" t="s">
        <v>939</v>
      </c>
      <c r="AA1" s="4" t="s">
        <v>705</v>
      </c>
      <c r="AB1" s="4" t="s">
        <v>940</v>
      </c>
      <c r="AC1" s="4" t="s">
        <v>708</v>
      </c>
      <c r="AD1" s="4" t="s">
        <v>24</v>
      </c>
      <c r="AE1" s="8" t="s">
        <v>25</v>
      </c>
      <c r="AF1" s="7" t="s">
        <v>685</v>
      </c>
      <c r="AG1" s="96" t="s">
        <v>714</v>
      </c>
      <c r="AH1" s="96" t="s">
        <v>929</v>
      </c>
      <c r="AI1" s="96" t="s">
        <v>930</v>
      </c>
      <c r="AJ1" s="95" t="s">
        <v>680</v>
      </c>
    </row>
    <row r="2" spans="1:63" s="99" customFormat="1" ht="75" x14ac:dyDescent="0.25">
      <c r="A2" s="103" t="s">
        <v>749</v>
      </c>
      <c r="B2" s="111" t="s">
        <v>61</v>
      </c>
      <c r="C2" s="111" t="s">
        <v>116</v>
      </c>
      <c r="D2" s="111" t="s">
        <v>955</v>
      </c>
      <c r="E2" s="111" t="s">
        <v>690</v>
      </c>
      <c r="F2" s="111" t="s">
        <v>720</v>
      </c>
      <c r="G2" s="111">
        <f t="shared" ref="G2:G65" si="0">VLOOKUP(F2,Status_Score,2,FALSE)</f>
        <v>-200</v>
      </c>
      <c r="H2" s="112"/>
      <c r="I2" s="112"/>
      <c r="J2" s="112">
        <f>Master2017[[#This Row],[Initial Budget]]-Master2017[[#This Row],[Previously Committed Funds]]</f>
        <v>0</v>
      </c>
      <c r="K2" s="112"/>
      <c r="L2" s="112"/>
      <c r="M2" s="116">
        <f>Master2017[[#This Row],[Design $ (Add/Deduct)]]+Master2017[[#This Row],[Construction $ (Add/Ded)]]</f>
        <v>0</v>
      </c>
      <c r="N2" s="115">
        <v>750000</v>
      </c>
      <c r="O2" s="114">
        <v>2018</v>
      </c>
      <c r="P2" s="111" t="s">
        <v>32</v>
      </c>
      <c r="Q2" s="114">
        <f>VLOOKUP(P2,Importance,2,FALSE)</f>
        <v>1</v>
      </c>
      <c r="R2" s="114">
        <v>2</v>
      </c>
      <c r="S2" s="114">
        <f t="shared" ref="S2:S23" si="1">VLOOKUP(R2,Department,2,FALSE)</f>
        <v>6</v>
      </c>
      <c r="T2" s="114" t="s">
        <v>41</v>
      </c>
      <c r="U2" s="114">
        <f>VLOOKUP(T2,Urgency,2,FALSE)</f>
        <v>4</v>
      </c>
      <c r="V2" s="114" t="s">
        <v>30</v>
      </c>
      <c r="W2" s="114">
        <v>0</v>
      </c>
      <c r="X2" s="114">
        <v>0</v>
      </c>
      <c r="Y2" s="114">
        <v>0</v>
      </c>
      <c r="Z2" s="114">
        <v>0</v>
      </c>
      <c r="AA2" s="114">
        <v>0</v>
      </c>
      <c r="AB2" s="114">
        <v>0</v>
      </c>
      <c r="AC2" s="114">
        <v>0</v>
      </c>
      <c r="AD2" s="113" t="s">
        <v>29</v>
      </c>
      <c r="AE2" s="114">
        <f>VLOOKUP(Master2017[[#This Row],[Elevated Priority]],Epriority,2,)</f>
        <v>0</v>
      </c>
      <c r="AF2" s="114">
        <f>IF(Master2017[[#This Row],[Status]]="Active",Master2017[[#This Row],[Status_Score]],IF(C2="","",Q2+G2+S2+U2+AE2-5))</f>
        <v>-194</v>
      </c>
      <c r="AG2" s="114"/>
      <c r="AH2" s="114">
        <v>2020</v>
      </c>
      <c r="AI2" s="114">
        <v>2021</v>
      </c>
      <c r="AJ2" s="10"/>
      <c r="AK2"/>
      <c r="AL2"/>
      <c r="AM2"/>
      <c r="AN2"/>
      <c r="AO2"/>
      <c r="AP2"/>
      <c r="AQ2"/>
      <c r="AR2"/>
      <c r="AS2"/>
      <c r="AT2"/>
      <c r="AU2"/>
      <c r="AV2"/>
      <c r="AW2"/>
      <c r="AX2"/>
      <c r="AY2"/>
      <c r="AZ2"/>
      <c r="BA2"/>
      <c r="BB2"/>
      <c r="BC2"/>
      <c r="BD2"/>
      <c r="BE2"/>
      <c r="BF2"/>
      <c r="BG2"/>
      <c r="BH2"/>
      <c r="BI2"/>
      <c r="BJ2"/>
      <c r="BK2"/>
    </row>
    <row r="3" spans="1:63" s="99" customFormat="1" ht="30" x14ac:dyDescent="0.25">
      <c r="A3" s="103" t="s">
        <v>750</v>
      </c>
      <c r="B3" s="111" t="s">
        <v>70</v>
      </c>
      <c r="C3" s="111" t="s">
        <v>744</v>
      </c>
      <c r="D3" s="111" t="s">
        <v>856</v>
      </c>
      <c r="E3" s="111" t="s">
        <v>857</v>
      </c>
      <c r="F3" s="111" t="s">
        <v>720</v>
      </c>
      <c r="G3" s="111">
        <f t="shared" si="0"/>
        <v>-200</v>
      </c>
      <c r="H3" s="112">
        <v>1513007</v>
      </c>
      <c r="I3" s="112"/>
      <c r="J3" s="112">
        <f>Master2017[[#This Row],[Initial Budget]]-Master2017[[#This Row],[Previously Committed Funds]]</f>
        <v>1513007</v>
      </c>
      <c r="K3" s="112"/>
      <c r="L3" s="112"/>
      <c r="M3" s="116">
        <f>Master2017[[#This Row],[Design $ (Add/Deduct)]]+Master2017[[#This Row],[Construction $ (Add/Ded)]]</f>
        <v>0</v>
      </c>
      <c r="N3" s="115">
        <v>2500000</v>
      </c>
      <c r="O3" s="114">
        <v>2018</v>
      </c>
      <c r="P3" s="111" t="s">
        <v>29</v>
      </c>
      <c r="Q3" s="114">
        <f>VLOOKUP(P3,Importance, 2, FALSE)</f>
        <v>0</v>
      </c>
      <c r="R3" s="114" t="s">
        <v>29</v>
      </c>
      <c r="S3" s="114">
        <f t="shared" si="1"/>
        <v>0</v>
      </c>
      <c r="T3" s="114" t="s">
        <v>29</v>
      </c>
      <c r="U3" s="114">
        <f>VLOOKUP(T3,Urgency,2,FALSE)</f>
        <v>0</v>
      </c>
      <c r="V3" s="114" t="s">
        <v>38</v>
      </c>
      <c r="W3" s="114"/>
      <c r="X3" s="114"/>
      <c r="Y3" s="114"/>
      <c r="Z3" s="114"/>
      <c r="AA3" s="114"/>
      <c r="AB3" s="114"/>
      <c r="AC3" s="114"/>
      <c r="AD3" s="113" t="s">
        <v>29</v>
      </c>
      <c r="AE3" s="114">
        <f>VLOOKUP(Master2017[[#This Row],[Elevated Priority]],Epriority,2,)</f>
        <v>0</v>
      </c>
      <c r="AF3" s="114">
        <f>IF(Master2017[[#This Row],[Status]]="Active",Master2017[[#This Row],[Status_Score]],IF(C3="","",Q3+G3+S3+U3+AE3-5))</f>
        <v>-205</v>
      </c>
      <c r="AG3" s="114" t="s">
        <v>716</v>
      </c>
      <c r="AH3" s="114">
        <v>2017</v>
      </c>
      <c r="AI3" s="114">
        <v>2021</v>
      </c>
      <c r="AJ3" s="111"/>
      <c r="AK3"/>
      <c r="AL3"/>
      <c r="AM3"/>
      <c r="AN3"/>
      <c r="AO3"/>
      <c r="AP3"/>
      <c r="AQ3"/>
      <c r="AR3"/>
      <c r="AS3"/>
      <c r="AT3"/>
      <c r="AU3"/>
      <c r="AV3"/>
      <c r="AW3"/>
      <c r="AX3"/>
      <c r="AY3"/>
      <c r="AZ3"/>
      <c r="BA3"/>
      <c r="BB3"/>
      <c r="BC3"/>
      <c r="BD3"/>
      <c r="BE3"/>
      <c r="BF3"/>
      <c r="BG3"/>
      <c r="BH3"/>
      <c r="BI3"/>
      <c r="BJ3"/>
      <c r="BK3"/>
    </row>
    <row r="4" spans="1:63" s="99" customFormat="1" ht="75" x14ac:dyDescent="0.25">
      <c r="A4" s="103" t="s">
        <v>751</v>
      </c>
      <c r="B4" s="111" t="s">
        <v>70</v>
      </c>
      <c r="C4" s="111" t="s">
        <v>10</v>
      </c>
      <c r="D4" s="111" t="s">
        <v>851</v>
      </c>
      <c r="E4" s="111" t="s">
        <v>852</v>
      </c>
      <c r="F4" s="111" t="s">
        <v>719</v>
      </c>
      <c r="G4" s="111">
        <f t="shared" si="0"/>
        <v>-150</v>
      </c>
      <c r="H4" s="112">
        <v>2000000</v>
      </c>
      <c r="I4" s="112">
        <v>0</v>
      </c>
      <c r="J4" s="112">
        <f>Master2017[[#This Row],[Initial Budget]]-Master2017[[#This Row],[Previously Committed Funds]]</f>
        <v>2000000</v>
      </c>
      <c r="K4" s="112">
        <v>0</v>
      </c>
      <c r="L4" s="112">
        <v>0</v>
      </c>
      <c r="M4" s="116">
        <f>Master2017[[#This Row],[Design $ (Add/Deduct)]]+Master2017[[#This Row],[Construction $ (Add/Ded)]]</f>
        <v>0</v>
      </c>
      <c r="N4" s="115">
        <v>2000000</v>
      </c>
      <c r="O4" s="114">
        <v>2018</v>
      </c>
      <c r="P4" s="111" t="s">
        <v>29</v>
      </c>
      <c r="Q4" s="114">
        <f>VLOOKUP(P4,Importance, 2, FALSE)</f>
        <v>0</v>
      </c>
      <c r="R4" s="114" t="s">
        <v>29</v>
      </c>
      <c r="S4" s="114">
        <f t="shared" si="1"/>
        <v>0</v>
      </c>
      <c r="T4" s="114" t="s">
        <v>29</v>
      </c>
      <c r="U4" s="114">
        <f>VLOOKUP(T4,Urgency,2,FALSE)</f>
        <v>0</v>
      </c>
      <c r="V4" s="114" t="s">
        <v>38</v>
      </c>
      <c r="W4" s="114"/>
      <c r="X4" s="114"/>
      <c r="Y4" s="114"/>
      <c r="Z4" s="114"/>
      <c r="AA4" s="114"/>
      <c r="AB4" s="114"/>
      <c r="AC4" s="114"/>
      <c r="AD4" s="113" t="s">
        <v>29</v>
      </c>
      <c r="AE4" s="114">
        <f>VLOOKUP(Master2017[[#This Row],[Elevated Priority]],Epriority,2,)</f>
        <v>0</v>
      </c>
      <c r="AF4" s="114">
        <f>IF(Master2017[[#This Row],[Status]]="Active",Master2017[[#This Row],[Status_Score]],IF(C4="","",Q4+G4+S4+U4+AE4-5))</f>
        <v>-155</v>
      </c>
      <c r="AG4" s="114" t="s">
        <v>757</v>
      </c>
      <c r="AH4" s="114">
        <v>2019</v>
      </c>
      <c r="AI4" s="114">
        <v>2021</v>
      </c>
      <c r="AJ4" s="111"/>
      <c r="AK4"/>
      <c r="AL4"/>
      <c r="AM4"/>
      <c r="AN4"/>
      <c r="AO4"/>
      <c r="AP4"/>
      <c r="AQ4"/>
      <c r="AR4"/>
      <c r="AS4"/>
      <c r="AT4"/>
      <c r="AU4"/>
      <c r="AV4"/>
      <c r="AW4"/>
      <c r="AX4"/>
      <c r="AY4"/>
      <c r="AZ4"/>
      <c r="BA4"/>
      <c r="BB4"/>
      <c r="BC4"/>
      <c r="BD4"/>
      <c r="BE4"/>
      <c r="BF4"/>
      <c r="BG4"/>
      <c r="BH4"/>
      <c r="BI4"/>
      <c r="BJ4"/>
      <c r="BK4"/>
    </row>
    <row r="5" spans="1:63" s="99" customFormat="1" ht="30" x14ac:dyDescent="0.25">
      <c r="A5" s="103" t="s">
        <v>752</v>
      </c>
      <c r="B5" s="111" t="s">
        <v>725</v>
      </c>
      <c r="C5" s="111" t="s">
        <v>712</v>
      </c>
      <c r="D5" s="111" t="s">
        <v>815</v>
      </c>
      <c r="E5" s="111" t="s">
        <v>853</v>
      </c>
      <c r="F5" s="111" t="s">
        <v>719</v>
      </c>
      <c r="G5" s="111">
        <f t="shared" si="0"/>
        <v>-150</v>
      </c>
      <c r="H5" s="112">
        <v>0</v>
      </c>
      <c r="I5" s="112"/>
      <c r="J5" s="112">
        <f>Master2017[[#This Row],[Initial Budget]]-Master2017[[#This Row],[Previously Committed Funds]]</f>
        <v>0</v>
      </c>
      <c r="K5" s="112"/>
      <c r="L5" s="112">
        <v>150000</v>
      </c>
      <c r="M5" s="116">
        <f>Master2017[[#This Row],[Design $ (Add/Deduct)]]+Master2017[[#This Row],[Construction $ (Add/Ded)]]</f>
        <v>150000</v>
      </c>
      <c r="N5" s="112">
        <f>Master2017[[#This Row],[Total Add]]+Master2017[[#This Row],[Current Available Balance]]+Master2017[[#This Row],[Previously Committed Funds]]</f>
        <v>150000</v>
      </c>
      <c r="O5" s="114">
        <v>2019</v>
      </c>
      <c r="P5" s="111" t="s">
        <v>29</v>
      </c>
      <c r="Q5" s="114">
        <f t="shared" ref="Q5:Q23" si="2">VLOOKUP(P5,Importance,2,FALSE)</f>
        <v>0</v>
      </c>
      <c r="R5" s="114">
        <v>1</v>
      </c>
      <c r="S5" s="114">
        <f t="shared" si="1"/>
        <v>3</v>
      </c>
      <c r="T5" s="114" t="s">
        <v>37</v>
      </c>
      <c r="U5" s="114"/>
      <c r="V5" s="114" t="s">
        <v>30</v>
      </c>
      <c r="W5" s="114">
        <v>0</v>
      </c>
      <c r="X5" s="114">
        <v>0</v>
      </c>
      <c r="Y5" s="114">
        <v>0</v>
      </c>
      <c r="Z5" s="114">
        <v>0</v>
      </c>
      <c r="AA5" s="114">
        <v>0</v>
      </c>
      <c r="AB5" s="114">
        <v>0</v>
      </c>
      <c r="AC5" s="114">
        <v>0</v>
      </c>
      <c r="AD5" s="113" t="s">
        <v>29</v>
      </c>
      <c r="AE5" s="114">
        <f>VLOOKUP(Master2017[[#This Row],[Elevated Priority]],Epriority,2,)</f>
        <v>0</v>
      </c>
      <c r="AF5" s="114">
        <f>IF(Master2017[[#This Row],[Status]]="Active",Master2017[[#This Row],[Status_Score]],IF(C5="","",Q5+G5+S5+U5+AE5-5))</f>
        <v>-152</v>
      </c>
      <c r="AG5" s="114" t="s">
        <v>716</v>
      </c>
      <c r="AH5" s="114">
        <v>2019</v>
      </c>
      <c r="AI5" s="114">
        <v>2020</v>
      </c>
      <c r="AJ5" s="111"/>
      <c r="AK5"/>
      <c r="AL5"/>
      <c r="AM5"/>
      <c r="AN5"/>
      <c r="AO5"/>
      <c r="AP5"/>
      <c r="AQ5"/>
      <c r="AR5"/>
      <c r="AS5"/>
      <c r="AT5"/>
      <c r="AU5"/>
      <c r="AV5"/>
      <c r="AW5"/>
      <c r="AX5"/>
      <c r="AY5"/>
      <c r="AZ5"/>
      <c r="BA5"/>
      <c r="BB5"/>
      <c r="BC5"/>
      <c r="BD5"/>
      <c r="BE5"/>
      <c r="BF5"/>
      <c r="BG5"/>
      <c r="BH5"/>
      <c r="BI5"/>
      <c r="BJ5"/>
      <c r="BK5"/>
    </row>
    <row r="6" spans="1:63" s="99" customFormat="1" ht="45" x14ac:dyDescent="0.25">
      <c r="A6" s="103">
        <v>2</v>
      </c>
      <c r="B6" s="10" t="s">
        <v>220</v>
      </c>
      <c r="C6" s="67" t="s">
        <v>827</v>
      </c>
      <c r="D6" s="67" t="s">
        <v>828</v>
      </c>
      <c r="E6" s="110" t="s">
        <v>861</v>
      </c>
      <c r="F6" s="10" t="s">
        <v>719</v>
      </c>
      <c r="G6" s="10">
        <f t="shared" si="0"/>
        <v>-150</v>
      </c>
      <c r="H6" s="49"/>
      <c r="I6" s="49"/>
      <c r="J6" s="49">
        <f>Master2017[[#This Row],[Initial Budget]]-Master2017[[#This Row],[Previously Committed Funds]]</f>
        <v>0</v>
      </c>
      <c r="K6" s="49"/>
      <c r="L6" s="49"/>
      <c r="M6" s="97">
        <f>Master2017[[#This Row],[Design $ (Add/Deduct)]]+Master2017[[#This Row],[Construction $ (Add/Ded)]]</f>
        <v>0</v>
      </c>
      <c r="N6" s="32">
        <v>250000</v>
      </c>
      <c r="O6" s="8">
        <v>2020</v>
      </c>
      <c r="P6" s="10" t="s">
        <v>32</v>
      </c>
      <c r="Q6" s="8">
        <f t="shared" si="2"/>
        <v>1</v>
      </c>
      <c r="R6" s="8">
        <v>1</v>
      </c>
      <c r="S6" s="8">
        <f t="shared" si="1"/>
        <v>3</v>
      </c>
      <c r="T6" s="8" t="s">
        <v>33</v>
      </c>
      <c r="U6" s="8">
        <f t="shared" ref="U6:U19" si="3">VLOOKUP(T6,Urgency,2,FALSE)</f>
        <v>1</v>
      </c>
      <c r="V6" s="8" t="s">
        <v>30</v>
      </c>
      <c r="W6" s="8">
        <v>0</v>
      </c>
      <c r="X6" s="8">
        <v>0</v>
      </c>
      <c r="Y6" s="8">
        <v>0</v>
      </c>
      <c r="Z6" s="8">
        <v>0</v>
      </c>
      <c r="AA6" s="8">
        <v>0</v>
      </c>
      <c r="AB6" s="8">
        <v>0</v>
      </c>
      <c r="AC6" s="8">
        <v>0</v>
      </c>
      <c r="AD6" s="17" t="s">
        <v>29</v>
      </c>
      <c r="AE6" s="8">
        <f>VLOOKUP(Master2017[[#This Row],[Elevated Priority]],Epriority,2,)</f>
        <v>0</v>
      </c>
      <c r="AF6" s="8">
        <f>IF(Master2017[[#This Row],[Status]]="Active",Master2017[[#This Row],[Status_Score]],IF(C6="","",Q6+G6+S6+U6+AE6-5))</f>
        <v>-150</v>
      </c>
      <c r="AG6" s="8"/>
      <c r="AH6" s="8">
        <v>2020</v>
      </c>
      <c r="AI6" s="8">
        <v>2021</v>
      </c>
      <c r="AJ6" s="10"/>
      <c r="AK6"/>
      <c r="AL6"/>
      <c r="AM6"/>
      <c r="AN6"/>
      <c r="AO6"/>
      <c r="AP6"/>
      <c r="AQ6"/>
      <c r="AR6"/>
      <c r="AS6"/>
      <c r="AT6"/>
      <c r="AU6"/>
      <c r="AV6"/>
      <c r="AW6"/>
      <c r="AX6"/>
      <c r="AY6"/>
      <c r="AZ6"/>
      <c r="BA6"/>
      <c r="BB6"/>
      <c r="BC6"/>
      <c r="BD6"/>
      <c r="BE6"/>
      <c r="BF6"/>
      <c r="BG6"/>
      <c r="BH6"/>
      <c r="BI6"/>
      <c r="BJ6"/>
      <c r="BK6"/>
    </row>
    <row r="7" spans="1:63" s="99" customFormat="1" ht="390" x14ac:dyDescent="0.25">
      <c r="A7" s="103">
        <v>3</v>
      </c>
      <c r="B7" s="111" t="s">
        <v>152</v>
      </c>
      <c r="C7" s="111" t="s">
        <v>185</v>
      </c>
      <c r="D7" s="111" t="s">
        <v>781</v>
      </c>
      <c r="E7" s="111" t="s">
        <v>782</v>
      </c>
      <c r="F7" s="111" t="s">
        <v>598</v>
      </c>
      <c r="G7" s="111">
        <f t="shared" si="0"/>
        <v>-100</v>
      </c>
      <c r="H7" s="112">
        <v>0</v>
      </c>
      <c r="I7" s="112">
        <v>0</v>
      </c>
      <c r="J7" s="112">
        <f>Master2017[[#This Row],[Initial Budget]]-Master2017[[#This Row],[Previously Committed Funds]]</f>
        <v>0</v>
      </c>
      <c r="K7" s="112">
        <v>0</v>
      </c>
      <c r="L7" s="112">
        <v>0</v>
      </c>
      <c r="M7" s="116">
        <v>250000</v>
      </c>
      <c r="N7" s="112">
        <f>Master2017[[#This Row],[Total Add]]+Master2017[[#This Row],[Current Available Balance]]+Master2017[[#This Row],[Previously Committed Funds]]</f>
        <v>250000</v>
      </c>
      <c r="O7" s="114">
        <v>2018</v>
      </c>
      <c r="P7" s="111" t="s">
        <v>688</v>
      </c>
      <c r="Q7" s="114">
        <f t="shared" si="2"/>
        <v>20</v>
      </c>
      <c r="R7" s="114">
        <v>1</v>
      </c>
      <c r="S7" s="114">
        <f t="shared" si="1"/>
        <v>3</v>
      </c>
      <c r="T7" s="114" t="s">
        <v>37</v>
      </c>
      <c r="U7" s="114">
        <f t="shared" si="3"/>
        <v>3</v>
      </c>
      <c r="V7" s="114" t="s">
        <v>30</v>
      </c>
      <c r="W7" s="8">
        <v>0</v>
      </c>
      <c r="X7" s="114">
        <v>0</v>
      </c>
      <c r="Y7" s="114">
        <v>0</v>
      </c>
      <c r="Z7" s="114">
        <v>0</v>
      </c>
      <c r="AA7" s="114">
        <v>0</v>
      </c>
      <c r="AB7" s="114">
        <v>0</v>
      </c>
      <c r="AC7" s="114">
        <v>0</v>
      </c>
      <c r="AD7" s="113" t="s">
        <v>29</v>
      </c>
      <c r="AE7" s="114">
        <f>VLOOKUP(Master2017[[#This Row],[Elevated Priority]],Epriority,2,)</f>
        <v>0</v>
      </c>
      <c r="AF7" s="114">
        <f>IF(Master2017[[#This Row],[Status]]="Active",Master2017[[#This Row],[Status_Score]],IF(C7="","",Q7+G7+S7+U7+AE7-5))</f>
        <v>-100</v>
      </c>
      <c r="AG7" s="114" t="s">
        <v>718</v>
      </c>
      <c r="AH7" s="114">
        <v>2017</v>
      </c>
      <c r="AI7" s="114">
        <v>2020</v>
      </c>
      <c r="AJ7" s="111" t="s">
        <v>710</v>
      </c>
      <c r="AK7"/>
      <c r="AL7"/>
      <c r="AM7"/>
      <c r="AN7"/>
      <c r="AO7"/>
      <c r="AP7"/>
      <c r="AQ7"/>
      <c r="AR7"/>
      <c r="AS7"/>
      <c r="AT7"/>
      <c r="AU7"/>
      <c r="AV7"/>
      <c r="AW7"/>
      <c r="AX7"/>
      <c r="AY7"/>
      <c r="AZ7"/>
      <c r="BA7"/>
      <c r="BB7"/>
      <c r="BC7"/>
      <c r="BD7"/>
      <c r="BE7"/>
      <c r="BF7"/>
      <c r="BG7"/>
      <c r="BH7"/>
      <c r="BI7"/>
      <c r="BJ7"/>
      <c r="BK7"/>
    </row>
    <row r="8" spans="1:63" s="99" customFormat="1" ht="30" x14ac:dyDescent="0.25">
      <c r="A8" s="103">
        <v>4</v>
      </c>
      <c r="B8" s="111" t="s">
        <v>79</v>
      </c>
      <c r="C8" s="111" t="s">
        <v>113</v>
      </c>
      <c r="D8" s="111" t="s">
        <v>114</v>
      </c>
      <c r="E8" s="111" t="s">
        <v>115</v>
      </c>
      <c r="F8" s="111" t="s">
        <v>598</v>
      </c>
      <c r="G8" s="111">
        <f t="shared" si="0"/>
        <v>-100</v>
      </c>
      <c r="H8" s="112"/>
      <c r="I8" s="112"/>
      <c r="J8" s="112">
        <f>Master2017[[#This Row],[Initial Budget]]-Master2017[[#This Row],[Previously Committed Funds]]</f>
        <v>0</v>
      </c>
      <c r="K8" s="112"/>
      <c r="L8" s="112"/>
      <c r="M8" s="116">
        <f>Master2017[[#This Row],[Design $ (Add/Deduct)]]+Master2017[[#This Row],[Construction $ (Add/Ded)]]</f>
        <v>0</v>
      </c>
      <c r="N8" s="115">
        <v>25000</v>
      </c>
      <c r="O8" s="114">
        <v>2018</v>
      </c>
      <c r="P8" s="111" t="s">
        <v>32</v>
      </c>
      <c r="Q8" s="114">
        <f t="shared" si="2"/>
        <v>1</v>
      </c>
      <c r="R8" s="114">
        <v>2</v>
      </c>
      <c r="S8" s="114">
        <f t="shared" si="1"/>
        <v>6</v>
      </c>
      <c r="T8" s="114" t="s">
        <v>41</v>
      </c>
      <c r="U8" s="114">
        <f t="shared" si="3"/>
        <v>4</v>
      </c>
      <c r="V8" s="114" t="s">
        <v>30</v>
      </c>
      <c r="W8" s="8">
        <v>0</v>
      </c>
      <c r="X8" s="114">
        <v>0</v>
      </c>
      <c r="Y8" s="114">
        <v>0</v>
      </c>
      <c r="Z8" s="114">
        <v>0</v>
      </c>
      <c r="AA8" s="114">
        <v>0</v>
      </c>
      <c r="AB8" s="114">
        <v>0</v>
      </c>
      <c r="AC8" s="114">
        <v>0</v>
      </c>
      <c r="AD8" s="113" t="s">
        <v>29</v>
      </c>
      <c r="AE8" s="114">
        <f>VLOOKUP(Master2017[[#This Row],[Elevated Priority]],Epriority,2,)</f>
        <v>0</v>
      </c>
      <c r="AF8" s="114">
        <f>IF(Master2017[[#This Row],[Status]]="Active",Master2017[[#This Row],[Status_Score]],IF(C8="","",Q8+G8+S8+U8+AE8-5))</f>
        <v>-100</v>
      </c>
      <c r="AG8" s="114"/>
      <c r="AH8" s="114"/>
      <c r="AI8" s="114">
        <v>2020</v>
      </c>
      <c r="AJ8" s="111" t="s">
        <v>723</v>
      </c>
      <c r="AK8"/>
      <c r="AL8"/>
      <c r="AM8"/>
      <c r="AN8"/>
      <c r="AO8"/>
      <c r="AP8"/>
      <c r="AQ8"/>
      <c r="AR8"/>
      <c r="AS8"/>
      <c r="AT8"/>
      <c r="AU8"/>
      <c r="AV8"/>
      <c r="AW8"/>
      <c r="AX8"/>
      <c r="AY8"/>
      <c r="AZ8"/>
      <c r="BA8"/>
      <c r="BB8"/>
      <c r="BC8"/>
      <c r="BD8"/>
      <c r="BE8"/>
      <c r="BF8"/>
      <c r="BG8"/>
      <c r="BH8"/>
      <c r="BI8"/>
      <c r="BJ8"/>
      <c r="BK8"/>
    </row>
    <row r="9" spans="1:63" s="99" customFormat="1" ht="60" x14ac:dyDescent="0.25">
      <c r="A9" s="103" t="s">
        <v>755</v>
      </c>
      <c r="B9" s="111" t="s">
        <v>70</v>
      </c>
      <c r="C9" s="111" t="s">
        <v>288</v>
      </c>
      <c r="D9" s="111" t="s">
        <v>289</v>
      </c>
      <c r="E9" s="111" t="s">
        <v>290</v>
      </c>
      <c r="F9" s="111" t="s">
        <v>598</v>
      </c>
      <c r="G9" s="111">
        <f t="shared" si="0"/>
        <v>-100</v>
      </c>
      <c r="H9" s="112"/>
      <c r="I9" s="112"/>
      <c r="J9" s="112">
        <f>Master2017[[#This Row],[Initial Budget]]-Master2017[[#This Row],[Previously Committed Funds]]</f>
        <v>0</v>
      </c>
      <c r="K9" s="112"/>
      <c r="L9" s="112"/>
      <c r="M9" s="116">
        <f>Master2017[[#This Row],[Design $ (Add/Deduct)]]+Master2017[[#This Row],[Construction $ (Add/Ded)]]</f>
        <v>0</v>
      </c>
      <c r="N9" s="115">
        <v>40000</v>
      </c>
      <c r="O9" s="114">
        <v>2018</v>
      </c>
      <c r="P9" s="111" t="s">
        <v>687</v>
      </c>
      <c r="Q9" s="114">
        <f t="shared" si="2"/>
        <v>30</v>
      </c>
      <c r="R9" s="114">
        <v>4</v>
      </c>
      <c r="S9" s="114">
        <f t="shared" si="1"/>
        <v>12</v>
      </c>
      <c r="T9" s="114" t="s">
        <v>41</v>
      </c>
      <c r="U9" s="114">
        <f t="shared" si="3"/>
        <v>4</v>
      </c>
      <c r="V9" s="114" t="s">
        <v>30</v>
      </c>
      <c r="W9" s="114">
        <v>0</v>
      </c>
      <c r="X9" s="114">
        <v>0</v>
      </c>
      <c r="Y9" s="114">
        <v>0</v>
      </c>
      <c r="Z9" s="114">
        <v>0</v>
      </c>
      <c r="AA9" s="114">
        <v>0</v>
      </c>
      <c r="AB9" s="114">
        <v>0</v>
      </c>
      <c r="AC9" s="114">
        <v>0</v>
      </c>
      <c r="AD9" s="113" t="s">
        <v>29</v>
      </c>
      <c r="AE9" s="114">
        <f>VLOOKUP(Master2017[[#This Row],[Elevated Priority]],Epriority,2,)</f>
        <v>0</v>
      </c>
      <c r="AF9" s="114">
        <f>IF(Master2017[[#This Row],[Status]]="Active",Master2017[[#This Row],[Status_Score]],IF(C9="","",Q9+G9+S9+U9+AE9-5))</f>
        <v>-100</v>
      </c>
      <c r="AG9" s="114"/>
      <c r="AH9" s="114">
        <v>2020</v>
      </c>
      <c r="AI9" s="114"/>
      <c r="AJ9" s="111"/>
      <c r="AK9"/>
      <c r="AL9"/>
      <c r="AM9"/>
      <c r="AN9"/>
      <c r="AO9"/>
      <c r="AP9"/>
      <c r="AQ9"/>
      <c r="AR9"/>
      <c r="AS9"/>
      <c r="AT9"/>
      <c r="AU9"/>
      <c r="AV9"/>
      <c r="AW9"/>
      <c r="AX9"/>
      <c r="AY9"/>
      <c r="AZ9"/>
      <c r="BA9"/>
      <c r="BB9"/>
      <c r="BC9"/>
      <c r="BD9"/>
      <c r="BE9"/>
      <c r="BF9"/>
      <c r="BG9"/>
      <c r="BH9"/>
      <c r="BI9"/>
      <c r="BJ9"/>
      <c r="BK9"/>
    </row>
    <row r="10" spans="1:63" s="99" customFormat="1" ht="30" x14ac:dyDescent="0.25">
      <c r="A10" s="103" t="s">
        <v>756</v>
      </c>
      <c r="B10" s="111" t="s">
        <v>65</v>
      </c>
      <c r="C10" s="111" t="s">
        <v>963</v>
      </c>
      <c r="D10" s="111" t="s">
        <v>964</v>
      </c>
      <c r="E10" s="111" t="s">
        <v>965</v>
      </c>
      <c r="F10" s="111" t="s">
        <v>598</v>
      </c>
      <c r="G10" s="111">
        <f t="shared" si="0"/>
        <v>-100</v>
      </c>
      <c r="H10" s="112"/>
      <c r="I10" s="112"/>
      <c r="J10" s="112">
        <f>Master2017[[#This Row],[Initial Budget]]-Master2017[[#This Row],[Previously Committed Funds]]</f>
        <v>0</v>
      </c>
      <c r="K10" s="112"/>
      <c r="L10" s="112"/>
      <c r="M10" s="116">
        <f>Master2017[[#This Row],[Design $ (Add/Deduct)]]+Master2017[[#This Row],[Construction $ (Add/Ded)]]</f>
        <v>0</v>
      </c>
      <c r="N10" s="137">
        <v>750000</v>
      </c>
      <c r="O10" s="114">
        <v>2019</v>
      </c>
      <c r="P10" s="111" t="s">
        <v>36</v>
      </c>
      <c r="Q10" s="114">
        <f t="shared" si="2"/>
        <v>10</v>
      </c>
      <c r="R10" s="114">
        <v>1</v>
      </c>
      <c r="S10" s="114">
        <f t="shared" si="1"/>
        <v>3</v>
      </c>
      <c r="T10" s="113" t="s">
        <v>33</v>
      </c>
      <c r="U10" s="114">
        <f t="shared" si="3"/>
        <v>1</v>
      </c>
      <c r="V10" s="114" t="s">
        <v>30</v>
      </c>
      <c r="W10" s="114">
        <v>0</v>
      </c>
      <c r="X10" s="114">
        <v>0</v>
      </c>
      <c r="Y10" s="114">
        <v>0</v>
      </c>
      <c r="Z10" s="114">
        <v>0</v>
      </c>
      <c r="AA10" s="114">
        <v>0</v>
      </c>
      <c r="AB10" s="114">
        <v>0</v>
      </c>
      <c r="AC10" s="114">
        <v>0</v>
      </c>
      <c r="AD10" s="113" t="s">
        <v>39</v>
      </c>
      <c r="AE10" s="114">
        <f>VLOOKUP(Master2017[[#This Row],[Elevated Priority]],Epriority,2,)</f>
        <v>-30</v>
      </c>
      <c r="AF10" s="114">
        <f>IF(Master2017[[#This Row],[Status]]="Active",Master2017[[#This Row],[Status_Score]],IF(C10="","",Q10+G10+S10+U10+AE10-5))</f>
        <v>-100</v>
      </c>
      <c r="AG10" s="114"/>
      <c r="AH10" s="114">
        <v>2019</v>
      </c>
      <c r="AI10" s="114">
        <v>2020</v>
      </c>
      <c r="AJ10" s="111"/>
      <c r="AK10"/>
      <c r="AL10"/>
      <c r="AM10"/>
      <c r="AN10"/>
      <c r="AO10"/>
      <c r="AP10"/>
      <c r="AQ10"/>
      <c r="AR10"/>
      <c r="AS10"/>
      <c r="AT10"/>
      <c r="AU10"/>
      <c r="AV10"/>
      <c r="AW10"/>
      <c r="AX10"/>
      <c r="AY10"/>
      <c r="AZ10"/>
      <c r="BA10"/>
      <c r="BB10"/>
      <c r="BC10"/>
      <c r="BD10"/>
      <c r="BE10"/>
      <c r="BF10"/>
      <c r="BG10"/>
      <c r="BH10"/>
      <c r="BI10"/>
      <c r="BJ10"/>
      <c r="BK10"/>
    </row>
    <row r="11" spans="1:63" s="99" customFormat="1" ht="60" x14ac:dyDescent="0.25">
      <c r="A11" s="103">
        <v>6</v>
      </c>
      <c r="B11" s="111" t="s">
        <v>65</v>
      </c>
      <c r="C11" s="111" t="s">
        <v>959</v>
      </c>
      <c r="D11" s="111" t="s">
        <v>949</v>
      </c>
      <c r="E11" s="111" t="s">
        <v>950</v>
      </c>
      <c r="F11" s="111" t="s">
        <v>598</v>
      </c>
      <c r="G11" s="111">
        <f t="shared" si="0"/>
        <v>-100</v>
      </c>
      <c r="H11" s="112"/>
      <c r="I11" s="112"/>
      <c r="J11" s="112">
        <f>Master2017[[#This Row],[Initial Budget]]-Master2017[[#This Row],[Previously Committed Funds]]</f>
        <v>0</v>
      </c>
      <c r="K11" s="112"/>
      <c r="L11" s="112"/>
      <c r="M11" s="116">
        <f>Master2017[[#This Row],[Design $ (Add/Deduct)]]+Master2017[[#This Row],[Construction $ (Add/Ded)]]</f>
        <v>0</v>
      </c>
      <c r="N11" s="115">
        <v>50000</v>
      </c>
      <c r="O11" s="114">
        <v>2020</v>
      </c>
      <c r="P11" s="111" t="s">
        <v>830</v>
      </c>
      <c r="Q11" s="114">
        <f t="shared" si="2"/>
        <v>10</v>
      </c>
      <c r="R11" s="114">
        <v>1</v>
      </c>
      <c r="S11" s="114">
        <f t="shared" si="1"/>
        <v>3</v>
      </c>
      <c r="T11" s="114" t="s">
        <v>37</v>
      </c>
      <c r="U11" s="114">
        <f t="shared" si="3"/>
        <v>3</v>
      </c>
      <c r="V11" s="114" t="s">
        <v>30</v>
      </c>
      <c r="W11" s="114">
        <v>0</v>
      </c>
      <c r="X11" s="114">
        <v>0</v>
      </c>
      <c r="Y11" s="114">
        <v>0</v>
      </c>
      <c r="Z11" s="114">
        <v>0</v>
      </c>
      <c r="AA11" s="114">
        <v>0</v>
      </c>
      <c r="AB11" s="114">
        <v>0</v>
      </c>
      <c r="AC11" s="114">
        <v>0</v>
      </c>
      <c r="AD11" s="113" t="s">
        <v>29</v>
      </c>
      <c r="AE11" s="114">
        <f>VLOOKUP(Master2017[[#This Row],[Elevated Priority]],Epriority,2,)</f>
        <v>0</v>
      </c>
      <c r="AF11" s="114">
        <f>IF(Master2017[[#This Row],[Status]]="Active",Master2017[[#This Row],[Status_Score]],IF(C11="","",Q11+G11+S11+U11+AE11-5))</f>
        <v>-100</v>
      </c>
      <c r="AG11" s="114"/>
      <c r="AH11" s="114">
        <v>2020</v>
      </c>
      <c r="AI11" s="114">
        <v>2021</v>
      </c>
      <c r="AJ11" s="111"/>
      <c r="AK11"/>
      <c r="AL11"/>
      <c r="AM11"/>
      <c r="AN11"/>
      <c r="AO11"/>
      <c r="AP11"/>
      <c r="AQ11"/>
      <c r="AR11"/>
      <c r="AS11"/>
      <c r="AT11"/>
      <c r="AU11"/>
      <c r="AV11"/>
      <c r="AW11"/>
      <c r="AX11"/>
      <c r="AY11"/>
      <c r="AZ11"/>
      <c r="BA11"/>
      <c r="BB11"/>
      <c r="BC11"/>
      <c r="BD11"/>
      <c r="BE11"/>
      <c r="BF11"/>
      <c r="BG11"/>
      <c r="BH11"/>
      <c r="BI11"/>
      <c r="BJ11"/>
      <c r="BK11"/>
    </row>
    <row r="12" spans="1:63" ht="45" x14ac:dyDescent="0.25">
      <c r="A12" s="103">
        <v>7</v>
      </c>
      <c r="B12" s="111" t="s">
        <v>65</v>
      </c>
      <c r="C12" s="111" t="s">
        <v>977</v>
      </c>
      <c r="D12" s="111" t="s">
        <v>161</v>
      </c>
      <c r="E12" s="111" t="s">
        <v>162</v>
      </c>
      <c r="F12" s="111" t="s">
        <v>598</v>
      </c>
      <c r="G12" s="111">
        <f t="shared" si="0"/>
        <v>-100</v>
      </c>
      <c r="H12" s="112"/>
      <c r="I12" s="112"/>
      <c r="J12" s="112">
        <f>Master2017[[#This Row],[Initial Budget]]-Master2017[[#This Row],[Previously Committed Funds]]</f>
        <v>0</v>
      </c>
      <c r="K12" s="112"/>
      <c r="L12" s="112"/>
      <c r="M12" s="116">
        <f>Master2017[[#This Row],[Design $ (Add/Deduct)]]+Master2017[[#This Row],[Construction $ (Add/Ded)]]</f>
        <v>0</v>
      </c>
      <c r="N12" s="115">
        <v>90000</v>
      </c>
      <c r="O12" s="114">
        <v>2018</v>
      </c>
      <c r="P12" s="111" t="s">
        <v>36</v>
      </c>
      <c r="Q12" s="114">
        <f t="shared" si="2"/>
        <v>10</v>
      </c>
      <c r="R12" s="114">
        <v>1</v>
      </c>
      <c r="S12" s="114">
        <f t="shared" si="1"/>
        <v>3</v>
      </c>
      <c r="T12" s="114" t="s">
        <v>41</v>
      </c>
      <c r="U12" s="114">
        <f t="shared" si="3"/>
        <v>4</v>
      </c>
      <c r="V12" s="114" t="s">
        <v>30</v>
      </c>
      <c r="W12" s="8">
        <v>0</v>
      </c>
      <c r="X12" s="8">
        <v>0</v>
      </c>
      <c r="Y12" s="8">
        <v>0</v>
      </c>
      <c r="Z12" s="8">
        <v>0</v>
      </c>
      <c r="AA12" s="8">
        <v>0</v>
      </c>
      <c r="AB12" s="8">
        <v>0</v>
      </c>
      <c r="AC12" s="8">
        <v>0</v>
      </c>
      <c r="AD12" s="113" t="s">
        <v>29</v>
      </c>
      <c r="AE12" s="114">
        <f>VLOOKUP(Master2017[[#This Row],[Elevated Priority]],Epriority,2,)</f>
        <v>0</v>
      </c>
      <c r="AF12" s="114">
        <f>IF(Master2017[[#This Row],[Status]]="Active",Master2017[[#This Row],[Status_Score]],IF(C12="","",Q12+G12+S12+U12+AE12-5))</f>
        <v>-100</v>
      </c>
      <c r="AG12" s="114"/>
      <c r="AH12" s="114">
        <v>2020</v>
      </c>
      <c r="AI12" s="114">
        <v>2021</v>
      </c>
      <c r="AJ12" s="111"/>
    </row>
    <row r="13" spans="1:63" s="99" customFormat="1" ht="30" x14ac:dyDescent="0.25">
      <c r="A13" s="103">
        <v>8</v>
      </c>
      <c r="B13" s="48" t="s">
        <v>774</v>
      </c>
      <c r="C13" s="10" t="s">
        <v>836</v>
      </c>
      <c r="D13" s="10" t="s">
        <v>775</v>
      </c>
      <c r="E13" s="10" t="s">
        <v>798</v>
      </c>
      <c r="F13" s="10" t="s">
        <v>29</v>
      </c>
      <c r="G13" s="10">
        <f t="shared" si="0"/>
        <v>0</v>
      </c>
      <c r="H13" s="51"/>
      <c r="I13" s="51"/>
      <c r="J13" s="49">
        <f>Master2017[[#This Row],[Initial Budget]]-Master2017[[#This Row],[Previously Committed Funds]]</f>
        <v>0</v>
      </c>
      <c r="K13" s="51"/>
      <c r="L13" s="124">
        <v>50000</v>
      </c>
      <c r="M13" s="97">
        <f>Master2017[[#This Row],[Design $ (Add/Deduct)]]+Master2017[[#This Row],[Construction $ (Add/Ded)]]</f>
        <v>50000</v>
      </c>
      <c r="N13" s="32">
        <v>50000</v>
      </c>
      <c r="O13" s="8">
        <v>2020</v>
      </c>
      <c r="P13" s="10" t="s">
        <v>32</v>
      </c>
      <c r="Q13" s="8">
        <f t="shared" si="2"/>
        <v>1</v>
      </c>
      <c r="R13" s="8">
        <v>1</v>
      </c>
      <c r="S13" s="8">
        <f t="shared" si="1"/>
        <v>3</v>
      </c>
      <c r="T13" s="8" t="s">
        <v>37</v>
      </c>
      <c r="U13" s="8">
        <f t="shared" si="3"/>
        <v>3</v>
      </c>
      <c r="V13" s="8" t="s">
        <v>30</v>
      </c>
      <c r="W13" s="8">
        <v>0</v>
      </c>
      <c r="X13" s="8">
        <v>0</v>
      </c>
      <c r="Y13" s="8">
        <v>0</v>
      </c>
      <c r="Z13" s="8">
        <v>0</v>
      </c>
      <c r="AA13" s="8">
        <v>0</v>
      </c>
      <c r="AB13" s="8">
        <v>0</v>
      </c>
      <c r="AC13" s="8">
        <v>0</v>
      </c>
      <c r="AD13" s="17" t="s">
        <v>29</v>
      </c>
      <c r="AE13" s="8">
        <f>VLOOKUP(Master2017[[#This Row],[Elevated Priority]],Epriority,2,)</f>
        <v>0</v>
      </c>
      <c r="AF13" s="8">
        <f>IF(Master2017[[#This Row],[Status]]="Active",Master2017[[#This Row],[Status_Score]],IF(C13="","",Q13+G13+S13+U13+AE13-5))</f>
        <v>2</v>
      </c>
      <c r="AG13" s="8"/>
      <c r="AH13" s="8"/>
      <c r="AI13" s="8">
        <v>2020</v>
      </c>
      <c r="AJ13" s="10"/>
      <c r="AK13"/>
      <c r="AL13"/>
      <c r="AM13"/>
      <c r="AN13"/>
      <c r="AO13"/>
      <c r="AP13"/>
      <c r="AQ13"/>
      <c r="AR13"/>
      <c r="AS13"/>
      <c r="AT13"/>
      <c r="AU13"/>
      <c r="AV13"/>
      <c r="AW13"/>
      <c r="AX13"/>
      <c r="AY13"/>
      <c r="AZ13"/>
      <c r="BA13"/>
      <c r="BB13"/>
      <c r="BC13"/>
      <c r="BD13"/>
      <c r="BE13"/>
      <c r="BF13"/>
      <c r="BG13"/>
      <c r="BH13"/>
      <c r="BI13"/>
      <c r="BJ13"/>
      <c r="BK13"/>
    </row>
    <row r="14" spans="1:63" s="99" customFormat="1" ht="88.5" customHeight="1" x14ac:dyDescent="0.25">
      <c r="A14" s="103">
        <f>A13+1</f>
        <v>9</v>
      </c>
      <c r="B14" s="10" t="s">
        <v>91</v>
      </c>
      <c r="C14" s="10" t="s">
        <v>92</v>
      </c>
      <c r="D14" s="10" t="s">
        <v>93</v>
      </c>
      <c r="E14" s="10" t="s">
        <v>860</v>
      </c>
      <c r="F14" s="10" t="s">
        <v>29</v>
      </c>
      <c r="G14" s="10">
        <f t="shared" si="0"/>
        <v>0</v>
      </c>
      <c r="H14" s="49"/>
      <c r="I14" s="49"/>
      <c r="J14" s="49">
        <f>Master2017[[#This Row],[Initial Budget]]-Master2017[[#This Row],[Previously Committed Funds]]</f>
        <v>0</v>
      </c>
      <c r="K14" s="49"/>
      <c r="L14" s="49"/>
      <c r="M14" s="97">
        <f>Master2017[[#This Row],[Design $ (Add/Deduct)]]+Master2017[[#This Row],[Construction $ (Add/Ded)]]</f>
        <v>0</v>
      </c>
      <c r="N14" s="32">
        <v>40000</v>
      </c>
      <c r="O14" s="8">
        <v>2018</v>
      </c>
      <c r="P14" s="10" t="s">
        <v>32</v>
      </c>
      <c r="Q14" s="8">
        <f t="shared" si="2"/>
        <v>1</v>
      </c>
      <c r="R14" s="8">
        <v>3</v>
      </c>
      <c r="S14" s="8">
        <f t="shared" si="1"/>
        <v>9</v>
      </c>
      <c r="T14" s="8" t="s">
        <v>33</v>
      </c>
      <c r="U14" s="8">
        <f t="shared" si="3"/>
        <v>1</v>
      </c>
      <c r="V14" s="8" t="s">
        <v>30</v>
      </c>
      <c r="W14" s="8">
        <v>0</v>
      </c>
      <c r="X14" s="8">
        <v>0</v>
      </c>
      <c r="Y14" s="8">
        <v>0</v>
      </c>
      <c r="Z14" s="8">
        <v>0</v>
      </c>
      <c r="AA14" s="8">
        <v>0</v>
      </c>
      <c r="AB14" s="8">
        <v>0</v>
      </c>
      <c r="AC14" s="8">
        <v>0</v>
      </c>
      <c r="AD14" s="17" t="s">
        <v>29</v>
      </c>
      <c r="AE14" s="8">
        <f>VLOOKUP(Master2017[[#This Row],[Elevated Priority]],Epriority,2,)</f>
        <v>0</v>
      </c>
      <c r="AF14" s="8">
        <f>IF(Master2017[[#This Row],[Status]]="Active",Master2017[[#This Row],[Status_Score]],IF(C14="","",Q14+G14+S14+U14+AE14-5))</f>
        <v>6</v>
      </c>
      <c r="AG14" s="8"/>
      <c r="AH14" s="8"/>
      <c r="AI14" s="8">
        <v>2020</v>
      </c>
      <c r="AJ14" s="10"/>
      <c r="AK14"/>
      <c r="AL14"/>
      <c r="AM14"/>
      <c r="AN14"/>
      <c r="AO14"/>
      <c r="AP14"/>
      <c r="AQ14"/>
      <c r="AR14"/>
      <c r="AS14"/>
      <c r="AT14"/>
      <c r="AU14"/>
      <c r="AV14"/>
      <c r="AW14"/>
      <c r="AX14"/>
      <c r="AY14"/>
      <c r="AZ14"/>
      <c r="BA14"/>
      <c r="BB14"/>
      <c r="BC14"/>
      <c r="BD14"/>
      <c r="BE14"/>
      <c r="BF14"/>
      <c r="BG14"/>
      <c r="BH14"/>
      <c r="BI14"/>
      <c r="BJ14"/>
      <c r="BK14"/>
    </row>
    <row r="15" spans="1:63" ht="30" hidden="1" x14ac:dyDescent="0.25">
      <c r="A15" s="103">
        <f>A14+1</f>
        <v>10</v>
      </c>
      <c r="B15" s="111" t="s">
        <v>70</v>
      </c>
      <c r="C15" s="111" t="s">
        <v>692</v>
      </c>
      <c r="D15" s="111" t="s">
        <v>925</v>
      </c>
      <c r="E15" s="111" t="s">
        <v>941</v>
      </c>
      <c r="F15" s="111" t="s">
        <v>719</v>
      </c>
      <c r="G15" s="111">
        <f t="shared" si="0"/>
        <v>-150</v>
      </c>
      <c r="H15" s="112"/>
      <c r="I15" s="112"/>
      <c r="J15" s="112">
        <f>Master2017[[#This Row],[Initial Budget]]-Master2017[[#This Row],[Previously Committed Funds]]</f>
        <v>0</v>
      </c>
      <c r="K15" s="112"/>
      <c r="L15" s="112"/>
      <c r="M15" s="116">
        <f>Master2017[[#This Row],[Design $ (Add/Deduct)]]+Master2017[[#This Row],[Construction $ (Add/Ded)]]</f>
        <v>0</v>
      </c>
      <c r="N15" s="115">
        <v>7000000</v>
      </c>
      <c r="O15" s="114">
        <v>2019</v>
      </c>
      <c r="P15" s="111" t="s">
        <v>46</v>
      </c>
      <c r="Q15" s="114">
        <f t="shared" si="2"/>
        <v>50</v>
      </c>
      <c r="R15" s="114">
        <v>2</v>
      </c>
      <c r="S15" s="114">
        <f t="shared" si="1"/>
        <v>6</v>
      </c>
      <c r="T15" s="114" t="s">
        <v>41</v>
      </c>
      <c r="U15" s="114">
        <f t="shared" si="3"/>
        <v>4</v>
      </c>
      <c r="V15" s="114" t="s">
        <v>34</v>
      </c>
      <c r="W15" s="114">
        <v>0</v>
      </c>
      <c r="X15" s="114">
        <v>0</v>
      </c>
      <c r="Y15" s="114">
        <v>-3</v>
      </c>
      <c r="Z15" s="114">
        <v>-3</v>
      </c>
      <c r="AA15" s="114">
        <v>-2</v>
      </c>
      <c r="AB15" s="114">
        <v>-9</v>
      </c>
      <c r="AC15" s="114">
        <v>0</v>
      </c>
      <c r="AD15" s="113" t="s">
        <v>35</v>
      </c>
      <c r="AE15" s="114">
        <f>VLOOKUP(Master2017[[#This Row],[Elevated Priority]],Epriority,2,)</f>
        <v>-50</v>
      </c>
      <c r="AF15" s="114">
        <f>IF(Master2017[[#This Row],[Status]]="Active",Master2017[[#This Row],[Status_Score]],IF(C15="","",Q15+G15+S15+U15+AE15-5))</f>
        <v>-145</v>
      </c>
      <c r="AG15" s="114"/>
      <c r="AH15" s="114">
        <v>2020</v>
      </c>
      <c r="AI15" s="114">
        <v>2021</v>
      </c>
      <c r="AJ15" s="10"/>
    </row>
    <row r="16" spans="1:63" s="102" customFormat="1" ht="30" hidden="1" x14ac:dyDescent="0.25">
      <c r="A16" s="103">
        <f t="shared" ref="A16:A79" si="4">A15+1</f>
        <v>11</v>
      </c>
      <c r="B16" s="111" t="s">
        <v>91</v>
      </c>
      <c r="C16" s="111" t="s">
        <v>872</v>
      </c>
      <c r="D16" s="111" t="s">
        <v>873</v>
      </c>
      <c r="E16" s="111" t="s">
        <v>874</v>
      </c>
      <c r="F16" s="111" t="s">
        <v>598</v>
      </c>
      <c r="G16" s="111">
        <f t="shared" si="0"/>
        <v>-100</v>
      </c>
      <c r="H16" s="112"/>
      <c r="I16" s="112"/>
      <c r="J16" s="112">
        <f>Master2017[[#This Row],[Initial Budget]]-Master2017[[#This Row],[Previously Committed Funds]]</f>
        <v>0</v>
      </c>
      <c r="K16" s="112"/>
      <c r="L16" s="112">
        <v>150000</v>
      </c>
      <c r="M16" s="116">
        <f>Master2017[[#This Row],[Design $ (Add/Deduct)]]+Master2017[[#This Row],[Construction $ (Add/Ded)]]</f>
        <v>150000</v>
      </c>
      <c r="N16" s="115">
        <v>150000</v>
      </c>
      <c r="O16" s="114">
        <v>2018</v>
      </c>
      <c r="P16" s="111" t="s">
        <v>36</v>
      </c>
      <c r="Q16" s="114">
        <f t="shared" si="2"/>
        <v>10</v>
      </c>
      <c r="R16" s="114">
        <v>1</v>
      </c>
      <c r="S16" s="114">
        <f t="shared" si="1"/>
        <v>3</v>
      </c>
      <c r="T16" s="114" t="s">
        <v>33</v>
      </c>
      <c r="U16" s="114">
        <f t="shared" si="3"/>
        <v>1</v>
      </c>
      <c r="V16" s="114" t="s">
        <v>34</v>
      </c>
      <c r="W16" s="114">
        <v>0</v>
      </c>
      <c r="X16" s="8">
        <v>0</v>
      </c>
      <c r="Y16" s="114">
        <v>0</v>
      </c>
      <c r="Z16" s="114">
        <v>0</v>
      </c>
      <c r="AA16" s="8">
        <v>0</v>
      </c>
      <c r="AB16" s="8">
        <v>0</v>
      </c>
      <c r="AC16" s="8">
        <v>0</v>
      </c>
      <c r="AD16" s="113" t="s">
        <v>31</v>
      </c>
      <c r="AE16" s="114">
        <f>VLOOKUP(Master2017[[#This Row],[Elevated Priority]],Epriority,2,)</f>
        <v>-25</v>
      </c>
      <c r="AF16" s="114">
        <f>IF(Master2017[[#This Row],[Status]]="Active",Master2017[[#This Row],[Status_Score]],IF(C16="","",Q16+G16+S16+U16+AE16-5))</f>
        <v>-100</v>
      </c>
      <c r="AG16" s="114" t="s">
        <v>754</v>
      </c>
      <c r="AH16" s="114">
        <v>2019</v>
      </c>
      <c r="AI16" s="114">
        <v>2020</v>
      </c>
      <c r="AJ16" s="111"/>
      <c r="AK16"/>
      <c r="AL16"/>
      <c r="AM16"/>
      <c r="AN16"/>
      <c r="AO16"/>
      <c r="AP16"/>
      <c r="AQ16"/>
      <c r="AR16"/>
      <c r="AS16"/>
      <c r="AT16"/>
      <c r="AU16"/>
      <c r="AV16"/>
      <c r="AW16"/>
      <c r="AX16"/>
      <c r="AY16"/>
      <c r="AZ16"/>
      <c r="BA16"/>
      <c r="BB16"/>
      <c r="BC16"/>
      <c r="BD16"/>
      <c r="BE16"/>
      <c r="BF16"/>
      <c r="BG16"/>
      <c r="BH16"/>
      <c r="BI16"/>
      <c r="BJ16"/>
      <c r="BK16"/>
    </row>
    <row r="17" spans="1:63" s="99" customFormat="1" ht="30" x14ac:dyDescent="0.25">
      <c r="A17" s="103">
        <f t="shared" si="4"/>
        <v>12</v>
      </c>
      <c r="B17" s="10" t="s">
        <v>61</v>
      </c>
      <c r="C17" s="127" t="s">
        <v>797</v>
      </c>
      <c r="D17" s="67" t="s">
        <v>810</v>
      </c>
      <c r="E17" s="110" t="s">
        <v>811</v>
      </c>
      <c r="F17" s="10" t="s">
        <v>29</v>
      </c>
      <c r="G17" s="10">
        <f t="shared" si="0"/>
        <v>0</v>
      </c>
      <c r="H17" s="49"/>
      <c r="I17" s="49"/>
      <c r="J17" s="49">
        <f>Master2017[[#This Row],[Initial Budget]]-Master2017[[#This Row],[Previously Committed Funds]]</f>
        <v>0</v>
      </c>
      <c r="K17" s="49">
        <v>100000</v>
      </c>
      <c r="L17" s="49"/>
      <c r="M17" s="97">
        <f>Master2017[[#This Row],[Design $ (Add/Deduct)]]+Master2017[[#This Row],[Construction $ (Add/Ded)]]</f>
        <v>100000</v>
      </c>
      <c r="N17" s="32">
        <v>2500000</v>
      </c>
      <c r="O17" s="8">
        <v>2020</v>
      </c>
      <c r="P17" s="10" t="s">
        <v>36</v>
      </c>
      <c r="Q17" s="8">
        <f t="shared" si="2"/>
        <v>10</v>
      </c>
      <c r="R17" s="8">
        <v>1</v>
      </c>
      <c r="S17" s="8">
        <f t="shared" si="1"/>
        <v>3</v>
      </c>
      <c r="T17" s="8" t="s">
        <v>41</v>
      </c>
      <c r="U17" s="8">
        <f t="shared" si="3"/>
        <v>4</v>
      </c>
      <c r="V17" s="8" t="s">
        <v>30</v>
      </c>
      <c r="W17" s="8">
        <v>0</v>
      </c>
      <c r="X17" s="8">
        <v>0</v>
      </c>
      <c r="Y17" s="8">
        <v>0</v>
      </c>
      <c r="Z17" s="8">
        <v>0</v>
      </c>
      <c r="AA17" s="8">
        <v>0</v>
      </c>
      <c r="AB17" s="8">
        <v>0</v>
      </c>
      <c r="AC17" s="8">
        <v>0</v>
      </c>
      <c r="AD17" s="17" t="s">
        <v>29</v>
      </c>
      <c r="AE17" s="8">
        <f>VLOOKUP(Master2017[[#This Row],[Elevated Priority]],Epriority,2,)</f>
        <v>0</v>
      </c>
      <c r="AF17" s="8">
        <f>IF(Master2017[[#This Row],[Status]]="Active",Master2017[[#This Row],[Status_Score]],IF(C17="","",Q17+G17+S17+U17+AE17-5))</f>
        <v>12</v>
      </c>
      <c r="AG17" s="8"/>
      <c r="AH17" s="8">
        <v>2020</v>
      </c>
      <c r="AI17" s="8">
        <v>2021</v>
      </c>
      <c r="AJ17" s="10" t="s">
        <v>975</v>
      </c>
      <c r="AK17"/>
      <c r="AL17"/>
      <c r="AM17"/>
      <c r="AN17"/>
      <c r="AO17"/>
      <c r="AP17"/>
      <c r="AQ17"/>
      <c r="AR17"/>
      <c r="AS17"/>
      <c r="AT17"/>
      <c r="AU17"/>
      <c r="AV17"/>
      <c r="AW17"/>
      <c r="AX17"/>
      <c r="AY17"/>
      <c r="AZ17"/>
      <c r="BA17"/>
      <c r="BB17"/>
      <c r="BC17"/>
      <c r="BD17"/>
      <c r="BE17"/>
      <c r="BF17"/>
      <c r="BG17"/>
      <c r="BH17"/>
      <c r="BI17"/>
      <c r="BJ17"/>
      <c r="BK17"/>
    </row>
    <row r="18" spans="1:63" s="99" customFormat="1" ht="60" x14ac:dyDescent="0.25">
      <c r="A18" s="103">
        <f t="shared" si="4"/>
        <v>13</v>
      </c>
      <c r="B18" s="10" t="s">
        <v>70</v>
      </c>
      <c r="C18" s="10" t="s">
        <v>924</v>
      </c>
      <c r="D18" s="10" t="s">
        <v>228</v>
      </c>
      <c r="E18" s="10" t="s">
        <v>229</v>
      </c>
      <c r="F18" s="10" t="s">
        <v>29</v>
      </c>
      <c r="G18" s="10">
        <f t="shared" si="0"/>
        <v>0</v>
      </c>
      <c r="H18" s="49"/>
      <c r="I18" s="49"/>
      <c r="J18" s="49">
        <f>Master2017[[#This Row],[Initial Budget]]-Master2017[[#This Row],[Previously Committed Funds]]</f>
        <v>0</v>
      </c>
      <c r="K18" s="49"/>
      <c r="L18" s="49"/>
      <c r="M18" s="97">
        <f>Master2017[[#This Row],[Design $ (Add/Deduct)]]+Master2017[[#This Row],[Construction $ (Add/Ded)]]</f>
        <v>0</v>
      </c>
      <c r="N18" s="32">
        <v>100000</v>
      </c>
      <c r="O18" s="8">
        <v>2018</v>
      </c>
      <c r="P18" s="10" t="s">
        <v>36</v>
      </c>
      <c r="Q18" s="8">
        <f t="shared" si="2"/>
        <v>10</v>
      </c>
      <c r="R18" s="8">
        <v>2</v>
      </c>
      <c r="S18" s="8">
        <f t="shared" si="1"/>
        <v>6</v>
      </c>
      <c r="T18" s="8" t="s">
        <v>37</v>
      </c>
      <c r="U18" s="8">
        <f t="shared" si="3"/>
        <v>3</v>
      </c>
      <c r="V18" s="8" t="s">
        <v>30</v>
      </c>
      <c r="W18" s="8">
        <v>0</v>
      </c>
      <c r="X18" s="8">
        <v>0</v>
      </c>
      <c r="Y18" s="8">
        <v>0</v>
      </c>
      <c r="Z18" s="8">
        <v>0</v>
      </c>
      <c r="AA18" s="8">
        <v>0</v>
      </c>
      <c r="AB18" s="8">
        <v>0</v>
      </c>
      <c r="AC18" s="8">
        <v>0</v>
      </c>
      <c r="AD18" s="17" t="s">
        <v>29</v>
      </c>
      <c r="AE18" s="8">
        <f>VLOOKUP(Master2017[[#This Row],[Elevated Priority]],Epriority,2,)</f>
        <v>0</v>
      </c>
      <c r="AF18" s="8">
        <f>IF(Master2017[[#This Row],[Status]]="Active",Master2017[[#This Row],[Status_Score]],IF(C18="","",Q18+G18+S18+U18+AE18-5))</f>
        <v>14</v>
      </c>
      <c r="AG18" s="8"/>
      <c r="AH18" s="8">
        <v>2020</v>
      </c>
      <c r="AI18" s="8">
        <v>2021</v>
      </c>
      <c r="AJ18" s="10" t="s">
        <v>974</v>
      </c>
      <c r="AK18"/>
      <c r="AL18"/>
      <c r="AM18"/>
      <c r="AN18"/>
      <c r="AO18"/>
      <c r="AP18"/>
      <c r="AQ18"/>
      <c r="AR18"/>
      <c r="AS18"/>
      <c r="AT18"/>
      <c r="AU18"/>
      <c r="AV18"/>
      <c r="AW18"/>
      <c r="AX18"/>
      <c r="AY18"/>
      <c r="AZ18"/>
      <c r="BA18"/>
      <c r="BB18"/>
      <c r="BC18"/>
      <c r="BD18"/>
      <c r="BE18"/>
      <c r="BF18"/>
      <c r="BG18"/>
      <c r="BH18"/>
      <c r="BI18"/>
      <c r="BJ18"/>
      <c r="BK18"/>
    </row>
    <row r="19" spans="1:63" s="99" customFormat="1" ht="45" x14ac:dyDescent="0.25">
      <c r="A19" s="103">
        <f t="shared" si="4"/>
        <v>14</v>
      </c>
      <c r="B19" s="10" t="s">
        <v>70</v>
      </c>
      <c r="C19" s="10" t="s">
        <v>122</v>
      </c>
      <c r="D19" s="10" t="s">
        <v>132</v>
      </c>
      <c r="E19" s="10" t="s">
        <v>817</v>
      </c>
      <c r="F19" s="10" t="s">
        <v>29</v>
      </c>
      <c r="G19" s="10">
        <f t="shared" si="0"/>
        <v>0</v>
      </c>
      <c r="H19" s="49"/>
      <c r="I19" s="49"/>
      <c r="J19" s="49">
        <f>Master2017[[#This Row],[Initial Budget]]-Master2017[[#This Row],[Previously Committed Funds]]</f>
        <v>0</v>
      </c>
      <c r="K19" s="49"/>
      <c r="L19" s="49"/>
      <c r="M19" s="97">
        <f>Master2017[[#This Row],[Design $ (Add/Deduct)]]+Master2017[[#This Row],[Construction $ (Add/Ded)]]</f>
        <v>0</v>
      </c>
      <c r="N19" s="32">
        <v>250000</v>
      </c>
      <c r="O19" s="8">
        <v>2018</v>
      </c>
      <c r="P19" s="10" t="s">
        <v>830</v>
      </c>
      <c r="Q19" s="8">
        <f t="shared" si="2"/>
        <v>10</v>
      </c>
      <c r="R19" s="8">
        <v>1</v>
      </c>
      <c r="S19" s="8">
        <f t="shared" si="1"/>
        <v>3</v>
      </c>
      <c r="T19" s="8" t="s">
        <v>33</v>
      </c>
      <c r="U19" s="8">
        <f t="shared" si="3"/>
        <v>1</v>
      </c>
      <c r="V19" s="8" t="s">
        <v>30</v>
      </c>
      <c r="W19" s="8">
        <v>0</v>
      </c>
      <c r="X19" s="8">
        <v>0</v>
      </c>
      <c r="Y19" s="8">
        <v>0</v>
      </c>
      <c r="Z19" s="8">
        <v>0</v>
      </c>
      <c r="AA19" s="8">
        <v>0</v>
      </c>
      <c r="AB19" s="8">
        <v>0</v>
      </c>
      <c r="AC19" s="8">
        <v>0</v>
      </c>
      <c r="AD19" s="17" t="s">
        <v>29</v>
      </c>
      <c r="AE19" s="8">
        <f>VLOOKUP(Master2017[[#This Row],[Elevated Priority]],Epriority,2,)</f>
        <v>0</v>
      </c>
      <c r="AF19" s="8">
        <f>IF(Master2017[[#This Row],[Status]]="Active",Master2017[[#This Row],[Status_Score]],IF(C19="","",Q19+G19+S19+U19+AE19-5))</f>
        <v>9</v>
      </c>
      <c r="AG19" s="8"/>
      <c r="AH19" s="8">
        <v>2020</v>
      </c>
      <c r="AI19" s="8">
        <v>2020</v>
      </c>
      <c r="AJ19" s="10" t="s">
        <v>976</v>
      </c>
      <c r="AK19"/>
      <c r="AL19"/>
      <c r="AM19"/>
      <c r="AN19"/>
      <c r="AO19"/>
      <c r="AP19"/>
      <c r="AQ19"/>
      <c r="AR19"/>
      <c r="AS19"/>
      <c r="AT19"/>
      <c r="AU19"/>
      <c r="AV19"/>
      <c r="AW19"/>
      <c r="AX19"/>
      <c r="AY19"/>
      <c r="AZ19"/>
      <c r="BA19"/>
      <c r="BB19"/>
      <c r="BC19"/>
      <c r="BD19"/>
      <c r="BE19"/>
      <c r="BF19"/>
      <c r="BG19"/>
      <c r="BH19"/>
      <c r="BI19"/>
      <c r="BJ19"/>
      <c r="BK19"/>
    </row>
    <row r="20" spans="1:63" s="99" customFormat="1" ht="30" hidden="1" x14ac:dyDescent="0.25">
      <c r="A20" s="103">
        <f t="shared" si="4"/>
        <v>15</v>
      </c>
      <c r="B20" s="111" t="s">
        <v>70</v>
      </c>
      <c r="C20" s="111" t="s">
        <v>691</v>
      </c>
      <c r="D20" s="111" t="s">
        <v>697</v>
      </c>
      <c r="E20" s="111" t="s">
        <v>855</v>
      </c>
      <c r="F20" s="111" t="s">
        <v>598</v>
      </c>
      <c r="G20" s="111">
        <f t="shared" si="0"/>
        <v>-100</v>
      </c>
      <c r="H20" s="112"/>
      <c r="I20" s="112"/>
      <c r="J20" s="112">
        <f>Master2017[[#This Row],[Initial Budget]]-Master2017[[#This Row],[Previously Committed Funds]]</f>
        <v>0</v>
      </c>
      <c r="K20" s="112"/>
      <c r="L20" s="112"/>
      <c r="M20" s="116">
        <f>Master2017[[#This Row],[Design $ (Add/Deduct)]]+Master2017[[#This Row],[Construction $ (Add/Ded)]]</f>
        <v>0</v>
      </c>
      <c r="N20" s="115">
        <v>12000000</v>
      </c>
      <c r="O20" s="114">
        <v>2019</v>
      </c>
      <c r="P20" s="111" t="s">
        <v>46</v>
      </c>
      <c r="Q20" s="114">
        <f t="shared" si="2"/>
        <v>50</v>
      </c>
      <c r="R20" s="114">
        <v>1</v>
      </c>
      <c r="S20" s="114">
        <f t="shared" si="1"/>
        <v>3</v>
      </c>
      <c r="T20" s="114" t="s">
        <v>41</v>
      </c>
      <c r="U20" s="114"/>
      <c r="V20" s="114" t="s">
        <v>34</v>
      </c>
      <c r="W20" s="114">
        <v>0</v>
      </c>
      <c r="X20" s="8">
        <v>0</v>
      </c>
      <c r="Y20" s="114">
        <v>0</v>
      </c>
      <c r="Z20" s="114">
        <v>0</v>
      </c>
      <c r="AA20" s="8">
        <v>0</v>
      </c>
      <c r="AB20" s="8">
        <v>0</v>
      </c>
      <c r="AC20" s="8">
        <v>0</v>
      </c>
      <c r="AD20" s="113" t="s">
        <v>35</v>
      </c>
      <c r="AE20" s="114">
        <f>VLOOKUP(Master2017[[#This Row],[Elevated Priority]],Epriority,2,)</f>
        <v>-50</v>
      </c>
      <c r="AF20" s="114">
        <f>IF(Master2017[[#This Row],[Status]]="Active",Master2017[[#This Row],[Status_Score]],IF(C20="","",Q20+G20+S20+U20+AE20-5))</f>
        <v>-100</v>
      </c>
      <c r="AG20" s="114" t="s">
        <v>715</v>
      </c>
      <c r="AH20" s="114">
        <v>2019</v>
      </c>
      <c r="AI20" s="114">
        <v>2020</v>
      </c>
      <c r="AJ20" s="111"/>
      <c r="AK20"/>
      <c r="AL20"/>
      <c r="AM20"/>
      <c r="AN20"/>
      <c r="AO20"/>
      <c r="AP20"/>
      <c r="AQ20"/>
      <c r="AR20"/>
      <c r="AS20"/>
      <c r="AT20"/>
      <c r="AU20"/>
      <c r="AV20"/>
      <c r="AW20"/>
      <c r="AX20"/>
      <c r="AY20"/>
      <c r="AZ20"/>
      <c r="BA20"/>
      <c r="BB20"/>
      <c r="BC20"/>
      <c r="BD20"/>
      <c r="BE20"/>
      <c r="BF20"/>
      <c r="BG20"/>
      <c r="BH20"/>
      <c r="BI20"/>
      <c r="BJ20"/>
      <c r="BK20"/>
    </row>
    <row r="21" spans="1:63" s="99" customFormat="1" ht="75" hidden="1" x14ac:dyDescent="0.25">
      <c r="A21" s="103">
        <f t="shared" si="4"/>
        <v>16</v>
      </c>
      <c r="B21" s="111" t="s">
        <v>214</v>
      </c>
      <c r="C21" s="111" t="s">
        <v>559</v>
      </c>
      <c r="D21" s="111" t="s">
        <v>858</v>
      </c>
      <c r="E21" s="111" t="s">
        <v>881</v>
      </c>
      <c r="F21" s="111" t="s">
        <v>598</v>
      </c>
      <c r="G21" s="111">
        <f t="shared" si="0"/>
        <v>-100</v>
      </c>
      <c r="H21" s="112">
        <v>0</v>
      </c>
      <c r="I21" s="112">
        <v>0</v>
      </c>
      <c r="J21" s="112">
        <f>Master2017[[#This Row],[Initial Budget]]-Master2017[[#This Row],[Previously Committed Funds]]</f>
        <v>0</v>
      </c>
      <c r="K21" s="112">
        <v>350000</v>
      </c>
      <c r="L21" s="112"/>
      <c r="M21" s="116">
        <f>Master2017[[#This Row],[Design $ (Add/Deduct)]]+Master2017[[#This Row],[Construction $ (Add/Ded)]]</f>
        <v>350000</v>
      </c>
      <c r="N21" s="115">
        <v>28000000</v>
      </c>
      <c r="O21" s="114">
        <v>2018</v>
      </c>
      <c r="P21" s="111" t="s">
        <v>46</v>
      </c>
      <c r="Q21" s="114">
        <f t="shared" si="2"/>
        <v>50</v>
      </c>
      <c r="R21" s="114">
        <v>3</v>
      </c>
      <c r="S21" s="114">
        <f t="shared" si="1"/>
        <v>9</v>
      </c>
      <c r="T21" s="114" t="s">
        <v>45</v>
      </c>
      <c r="U21" s="114">
        <f>VLOOKUP(T21,Urgency,2,FALSE)</f>
        <v>32</v>
      </c>
      <c r="V21" s="114" t="s">
        <v>34</v>
      </c>
      <c r="W21" s="114">
        <v>0</v>
      </c>
      <c r="X21" s="8">
        <v>0</v>
      </c>
      <c r="Y21" s="114">
        <v>0</v>
      </c>
      <c r="Z21" s="114">
        <v>0</v>
      </c>
      <c r="AA21" s="8">
        <v>0</v>
      </c>
      <c r="AB21" s="8">
        <v>0</v>
      </c>
      <c r="AC21" s="8">
        <v>0</v>
      </c>
      <c r="AD21" s="113" t="s">
        <v>29</v>
      </c>
      <c r="AE21" s="114">
        <f>VLOOKUP(Master2017[[#This Row],[Elevated Priority]],Epriority,2,)</f>
        <v>0</v>
      </c>
      <c r="AF21" s="114">
        <f>IF(Master2017[[#This Row],[Status]]="Active",Master2017[[#This Row],[Status_Score]],IF(C21="","",Q21+G21+S21+U21+AE21-5))</f>
        <v>-100</v>
      </c>
      <c r="AG21" s="114" t="s">
        <v>717</v>
      </c>
      <c r="AH21" s="114">
        <v>2019</v>
      </c>
      <c r="AI21" s="114">
        <v>2024</v>
      </c>
      <c r="AJ21" s="111"/>
      <c r="AK21"/>
      <c r="AL21"/>
      <c r="AM21"/>
      <c r="AN21"/>
      <c r="AO21"/>
      <c r="AP21"/>
      <c r="AQ21"/>
      <c r="AR21"/>
      <c r="AS21"/>
      <c r="AT21"/>
      <c r="AU21"/>
      <c r="AV21"/>
      <c r="AW21"/>
      <c r="AX21"/>
      <c r="AY21"/>
      <c r="AZ21"/>
      <c r="BA21"/>
      <c r="BB21"/>
      <c r="BC21"/>
      <c r="BD21"/>
      <c r="BE21"/>
      <c r="BF21"/>
      <c r="BG21"/>
      <c r="BH21"/>
      <c r="BI21"/>
      <c r="BJ21"/>
      <c r="BK21"/>
    </row>
    <row r="22" spans="1:63" s="99" customFormat="1" x14ac:dyDescent="0.25">
      <c r="A22" s="103">
        <f t="shared" si="4"/>
        <v>17</v>
      </c>
      <c r="B22" s="148" t="s">
        <v>70</v>
      </c>
      <c r="C22" s="10" t="s">
        <v>188</v>
      </c>
      <c r="D22" s="10" t="s">
        <v>859</v>
      </c>
      <c r="E22" s="10" t="s">
        <v>190</v>
      </c>
      <c r="F22" s="10" t="s">
        <v>29</v>
      </c>
      <c r="G22" s="10">
        <f t="shared" si="0"/>
        <v>0</v>
      </c>
      <c r="H22" s="49"/>
      <c r="I22" s="49"/>
      <c r="J22" s="49">
        <f>Master2017[[#This Row],[Initial Budget]]-Master2017[[#This Row],[Previously Committed Funds]]</f>
        <v>0</v>
      </c>
      <c r="K22" s="49"/>
      <c r="L22" s="49"/>
      <c r="M22" s="97">
        <f>Master2017[[#This Row],[Design $ (Add/Deduct)]]+Master2017[[#This Row],[Construction $ (Add/Ded)]]</f>
        <v>0</v>
      </c>
      <c r="N22" s="32">
        <v>150000</v>
      </c>
      <c r="O22" s="8">
        <v>2018</v>
      </c>
      <c r="P22" s="10" t="s">
        <v>688</v>
      </c>
      <c r="Q22" s="8">
        <f t="shared" si="2"/>
        <v>20</v>
      </c>
      <c r="R22" s="8" t="s">
        <v>29</v>
      </c>
      <c r="S22" s="8">
        <f t="shared" si="1"/>
        <v>0</v>
      </c>
      <c r="T22" s="8" t="s">
        <v>41</v>
      </c>
      <c r="U22" s="8">
        <f>VLOOKUP(T22,Urgency,2,FALSE)</f>
        <v>4</v>
      </c>
      <c r="V22" s="8" t="s">
        <v>30</v>
      </c>
      <c r="W22" s="8">
        <v>0</v>
      </c>
      <c r="X22" s="8">
        <v>0</v>
      </c>
      <c r="Y22" s="8">
        <v>0</v>
      </c>
      <c r="Z22" s="8">
        <v>0</v>
      </c>
      <c r="AA22" s="8">
        <v>0</v>
      </c>
      <c r="AB22" s="8">
        <v>0</v>
      </c>
      <c r="AC22" s="8">
        <v>0</v>
      </c>
      <c r="AD22" s="17" t="s">
        <v>29</v>
      </c>
      <c r="AE22" s="8">
        <f>VLOOKUP(Master2017[[#This Row],[Elevated Priority]],Epriority,2,)</f>
        <v>0</v>
      </c>
      <c r="AF22" s="8">
        <f>IF(Master2017[[#This Row],[Status]]="Active",Master2017[[#This Row],[Status_Score]],IF(C22="","",Q22+G22+S22+U22+AE22-5))</f>
        <v>19</v>
      </c>
      <c r="AG22" s="8"/>
      <c r="AH22" s="8">
        <v>2020</v>
      </c>
      <c r="AI22" s="8">
        <v>2021</v>
      </c>
      <c r="AJ22" s="10" t="s">
        <v>978</v>
      </c>
      <c r="AK22"/>
      <c r="AL22"/>
      <c r="AM22"/>
      <c r="AN22"/>
      <c r="AO22"/>
      <c r="AP22"/>
      <c r="AQ22"/>
      <c r="AR22"/>
      <c r="AS22"/>
      <c r="AT22"/>
      <c r="AU22"/>
      <c r="AV22"/>
      <c r="AW22"/>
      <c r="AX22"/>
      <c r="AY22"/>
      <c r="AZ22"/>
      <c r="BA22"/>
      <c r="BB22"/>
      <c r="BC22"/>
      <c r="BD22"/>
      <c r="BE22"/>
      <c r="BF22"/>
      <c r="BG22"/>
      <c r="BH22"/>
      <c r="BI22"/>
      <c r="BJ22"/>
      <c r="BK22"/>
    </row>
    <row r="23" spans="1:63" s="99" customFormat="1" ht="30" x14ac:dyDescent="0.25">
      <c r="A23" s="103">
        <f t="shared" si="4"/>
        <v>18</v>
      </c>
      <c r="B23" s="10" t="s">
        <v>70</v>
      </c>
      <c r="C23" s="10" t="s">
        <v>294</v>
      </c>
      <c r="D23" s="10" t="s">
        <v>295</v>
      </c>
      <c r="E23" s="10" t="s">
        <v>820</v>
      </c>
      <c r="F23" s="10" t="s">
        <v>29</v>
      </c>
      <c r="G23" s="10">
        <f t="shared" si="0"/>
        <v>0</v>
      </c>
      <c r="H23" s="49"/>
      <c r="I23" s="49"/>
      <c r="J23" s="49">
        <f>Master2017[[#This Row],[Initial Budget]]-Master2017[[#This Row],[Previously Committed Funds]]</f>
        <v>0</v>
      </c>
      <c r="K23" s="49"/>
      <c r="L23" s="49"/>
      <c r="M23" s="97">
        <f>Master2017[[#This Row],[Design $ (Add/Deduct)]]+Master2017[[#This Row],[Construction $ (Add/Ded)]]</f>
        <v>0</v>
      </c>
      <c r="N23" s="32">
        <v>1000000</v>
      </c>
      <c r="O23" s="8">
        <v>2018</v>
      </c>
      <c r="P23" s="10" t="s">
        <v>830</v>
      </c>
      <c r="Q23" s="8">
        <f t="shared" si="2"/>
        <v>10</v>
      </c>
      <c r="R23" s="8">
        <v>2</v>
      </c>
      <c r="S23" s="8">
        <f t="shared" si="1"/>
        <v>6</v>
      </c>
      <c r="T23" s="8" t="s">
        <v>41</v>
      </c>
      <c r="U23" s="8">
        <f>VLOOKUP(T23,Urgency,2,FALSE)</f>
        <v>4</v>
      </c>
      <c r="V23" s="8" t="s">
        <v>30</v>
      </c>
      <c r="W23" s="8">
        <v>0</v>
      </c>
      <c r="X23" s="8">
        <v>0</v>
      </c>
      <c r="Y23" s="8">
        <v>0</v>
      </c>
      <c r="Z23" s="8">
        <v>0</v>
      </c>
      <c r="AA23" s="8">
        <v>0</v>
      </c>
      <c r="AB23" s="8">
        <v>0</v>
      </c>
      <c r="AC23" s="8">
        <v>0</v>
      </c>
      <c r="AD23" s="17" t="s">
        <v>29</v>
      </c>
      <c r="AE23" s="8">
        <f>VLOOKUP(Master2017[[#This Row],[Elevated Priority]],Epriority,2,)</f>
        <v>0</v>
      </c>
      <c r="AF23" s="8">
        <f>IF(Master2017[[#This Row],[Status]]="Active",Master2017[[#This Row],[Status_Score]],IF(C23="","",Q23+G23+S23+U23+AE23-5))</f>
        <v>15</v>
      </c>
      <c r="AG23" s="8"/>
      <c r="AH23" s="8">
        <v>2020</v>
      </c>
      <c r="AI23" s="8">
        <v>2021</v>
      </c>
      <c r="AJ23" s="10" t="s">
        <v>979</v>
      </c>
      <c r="AK23"/>
      <c r="AL23"/>
      <c r="AM23"/>
      <c r="AN23"/>
      <c r="AO23"/>
      <c r="AP23"/>
      <c r="AQ23"/>
      <c r="AR23"/>
      <c r="AS23"/>
      <c r="AT23"/>
      <c r="AU23"/>
      <c r="AV23"/>
      <c r="AW23"/>
      <c r="AX23"/>
      <c r="AY23"/>
      <c r="AZ23"/>
      <c r="BA23"/>
      <c r="BB23"/>
      <c r="BC23"/>
      <c r="BD23"/>
      <c r="BE23"/>
      <c r="BF23"/>
      <c r="BG23"/>
      <c r="BH23"/>
      <c r="BI23"/>
      <c r="BJ23"/>
      <c r="BK23"/>
    </row>
    <row r="24" spans="1:63" ht="45" hidden="1" x14ac:dyDescent="0.25">
      <c r="A24" s="103">
        <f t="shared" si="4"/>
        <v>19</v>
      </c>
      <c r="B24" s="111" t="s">
        <v>94</v>
      </c>
      <c r="C24" s="111" t="s">
        <v>726</v>
      </c>
      <c r="D24" s="111" t="s">
        <v>727</v>
      </c>
      <c r="E24" s="111" t="s">
        <v>728</v>
      </c>
      <c r="F24" s="111" t="s">
        <v>598</v>
      </c>
      <c r="G24" s="111">
        <f t="shared" si="0"/>
        <v>-100</v>
      </c>
      <c r="H24" s="112">
        <v>1353185</v>
      </c>
      <c r="I24" s="112"/>
      <c r="J24" s="112">
        <f>Master2017[[#This Row],[Initial Budget]]-Master2017[[#This Row],[Previously Committed Funds]]</f>
        <v>1353185</v>
      </c>
      <c r="K24" s="112"/>
      <c r="L24" s="112"/>
      <c r="M24" s="116">
        <f>Master2017[[#This Row],[Design $ (Add/Deduct)]]+Master2017[[#This Row],[Construction $ (Add/Ded)]]</f>
        <v>0</v>
      </c>
      <c r="N24" s="112">
        <f>Master2017[[#This Row],[Total Add]]+Master2017[[#This Row],[Current Available Balance]]+Master2017[[#This Row],[Previously Committed Funds]]</f>
        <v>1353185</v>
      </c>
      <c r="O24" s="114">
        <v>2018</v>
      </c>
      <c r="P24" s="111" t="s">
        <v>46</v>
      </c>
      <c r="Q24" s="114"/>
      <c r="R24" s="114">
        <v>1</v>
      </c>
      <c r="S24" s="114"/>
      <c r="T24" s="114" t="s">
        <v>41</v>
      </c>
      <c r="U24" s="114"/>
      <c r="V24" s="114" t="s">
        <v>34</v>
      </c>
      <c r="W24" s="114">
        <v>0</v>
      </c>
      <c r="X24" s="8">
        <v>0</v>
      </c>
      <c r="Y24" s="114">
        <v>0</v>
      </c>
      <c r="Z24" s="114">
        <v>0</v>
      </c>
      <c r="AA24" s="8">
        <v>0</v>
      </c>
      <c r="AB24" s="8">
        <v>0</v>
      </c>
      <c r="AC24" s="8">
        <v>0</v>
      </c>
      <c r="AD24" s="113" t="s">
        <v>29</v>
      </c>
      <c r="AE24" s="114">
        <f>VLOOKUP(Master2017[[#This Row],[Elevated Priority]],Epriority,2,)</f>
        <v>0</v>
      </c>
      <c r="AF24" s="114">
        <f>IF(Master2017[[#This Row],[Status]]="Active",Master2017[[#This Row],[Status_Score]],IF(C24="","",Q24+G24+S24+U24+AE24-5))</f>
        <v>-100</v>
      </c>
      <c r="AG24" s="114" t="s">
        <v>717</v>
      </c>
      <c r="AH24" s="114">
        <v>2019</v>
      </c>
      <c r="AI24" s="114">
        <v>2021</v>
      </c>
      <c r="AJ24" s="111" t="s">
        <v>729</v>
      </c>
    </row>
    <row r="25" spans="1:63" ht="45" hidden="1" x14ac:dyDescent="0.25">
      <c r="A25" s="103">
        <f t="shared" si="4"/>
        <v>20</v>
      </c>
      <c r="B25" s="111" t="s">
        <v>923</v>
      </c>
      <c r="C25" s="111" t="s">
        <v>931</v>
      </c>
      <c r="D25" s="111" t="s">
        <v>932</v>
      </c>
      <c r="E25" s="111" t="s">
        <v>933</v>
      </c>
      <c r="F25" s="111" t="s">
        <v>598</v>
      </c>
      <c r="G25" s="111">
        <f t="shared" si="0"/>
        <v>-100</v>
      </c>
      <c r="H25" s="112"/>
      <c r="I25" s="112"/>
      <c r="J25" s="112">
        <f>Master2017[[#This Row],[Initial Budget]]-Master2017[[#This Row],[Previously Committed Funds]]</f>
        <v>0</v>
      </c>
      <c r="K25" s="112"/>
      <c r="L25" s="112"/>
      <c r="M25" s="116">
        <f>Master2017[[#This Row],[Design $ (Add/Deduct)]]+Master2017[[#This Row],[Construction $ (Add/Ded)]]</f>
        <v>0</v>
      </c>
      <c r="N25" s="115">
        <v>15000000</v>
      </c>
      <c r="O25" s="114">
        <v>2019</v>
      </c>
      <c r="P25" s="111" t="s">
        <v>46</v>
      </c>
      <c r="Q25" s="114">
        <f t="shared" ref="Q25:Q56" si="5">VLOOKUP(P25,Importance,2,FALSE)</f>
        <v>50</v>
      </c>
      <c r="R25" s="114" t="s">
        <v>29</v>
      </c>
      <c r="S25" s="114">
        <f t="shared" ref="S25:S56" si="6">VLOOKUP(R25,Department,2,FALSE)</f>
        <v>0</v>
      </c>
      <c r="T25" s="114" t="s">
        <v>45</v>
      </c>
      <c r="U25" s="114">
        <f t="shared" ref="U25:U56" si="7">VLOOKUP(T25,Urgency,2,FALSE)</f>
        <v>32</v>
      </c>
      <c r="V25" s="114" t="s">
        <v>34</v>
      </c>
      <c r="W25" s="114">
        <v>0</v>
      </c>
      <c r="X25" s="114">
        <v>0</v>
      </c>
      <c r="Y25" s="114">
        <v>0</v>
      </c>
      <c r="Z25" s="114">
        <v>0</v>
      </c>
      <c r="AA25" s="114">
        <v>0</v>
      </c>
      <c r="AB25" s="114">
        <v>0</v>
      </c>
      <c r="AC25" s="114">
        <v>0</v>
      </c>
      <c r="AD25" s="113" t="s">
        <v>35</v>
      </c>
      <c r="AE25" s="114">
        <f>VLOOKUP(Master2017[[#This Row],[Elevated Priority]],Epriority,2,)</f>
        <v>-50</v>
      </c>
      <c r="AF25" s="114">
        <f>IF(Master2017[[#This Row],[Status]]="Active",Master2017[[#This Row],[Status_Score]],IF(C25="","",Q25+G25+S25+U25+AE25-5))</f>
        <v>-100</v>
      </c>
      <c r="AG25" s="114"/>
      <c r="AH25" s="114">
        <v>2020</v>
      </c>
      <c r="AI25" s="114"/>
      <c r="AJ25" s="111"/>
    </row>
    <row r="26" spans="1:63" s="99" customFormat="1" ht="165" x14ac:dyDescent="0.25">
      <c r="A26" s="103">
        <f t="shared" si="4"/>
        <v>21</v>
      </c>
      <c r="B26" s="10" t="s">
        <v>159</v>
      </c>
      <c r="C26" s="10" t="s">
        <v>262</v>
      </c>
      <c r="D26" s="10" t="s">
        <v>884</v>
      </c>
      <c r="E26" s="10" t="s">
        <v>885</v>
      </c>
      <c r="F26" s="10" t="s">
        <v>29</v>
      </c>
      <c r="G26" s="10">
        <f t="shared" si="0"/>
        <v>0</v>
      </c>
      <c r="H26" s="49"/>
      <c r="I26" s="49"/>
      <c r="J26" s="49">
        <f>Master2017[[#This Row],[Initial Budget]]-Master2017[[#This Row],[Previously Committed Funds]]</f>
        <v>0</v>
      </c>
      <c r="K26" s="49"/>
      <c r="L26" s="49"/>
      <c r="M26" s="97">
        <f>Master2017[[#This Row],[Design $ (Add/Deduct)]]+Master2017[[#This Row],[Construction $ (Add/Ded)]]</f>
        <v>0</v>
      </c>
      <c r="N26" s="32">
        <v>500000</v>
      </c>
      <c r="O26" s="8">
        <v>2018</v>
      </c>
      <c r="P26" s="10" t="s">
        <v>830</v>
      </c>
      <c r="Q26" s="8">
        <f t="shared" si="5"/>
        <v>10</v>
      </c>
      <c r="R26" s="8">
        <v>3</v>
      </c>
      <c r="S26" s="8">
        <f t="shared" si="6"/>
        <v>9</v>
      </c>
      <c r="T26" s="8" t="s">
        <v>33</v>
      </c>
      <c r="U26" s="8">
        <f t="shared" si="7"/>
        <v>1</v>
      </c>
      <c r="V26" s="8" t="s">
        <v>30</v>
      </c>
      <c r="W26" s="8">
        <v>0</v>
      </c>
      <c r="X26" s="8">
        <v>0</v>
      </c>
      <c r="Y26" s="8">
        <v>0</v>
      </c>
      <c r="Z26" s="8">
        <v>0</v>
      </c>
      <c r="AA26" s="8">
        <v>0</v>
      </c>
      <c r="AB26" s="8">
        <v>0</v>
      </c>
      <c r="AC26" s="8">
        <v>0</v>
      </c>
      <c r="AD26" s="17" t="s">
        <v>29</v>
      </c>
      <c r="AE26" s="8">
        <f>VLOOKUP(Master2017[[#This Row],[Elevated Priority]],Epriority,2,)</f>
        <v>0</v>
      </c>
      <c r="AF26" s="8">
        <f>IF(Master2017[[#This Row],[Status]]="Active",Master2017[[#This Row],[Status_Score]],IF(C26="","",Q26+G26+S26+U26+AE26-5))</f>
        <v>15</v>
      </c>
      <c r="AG26" s="8"/>
      <c r="AH26" s="8">
        <v>2021</v>
      </c>
      <c r="AI26" s="8">
        <v>2022</v>
      </c>
      <c r="AJ26" s="10"/>
      <c r="AK26"/>
      <c r="AL26"/>
      <c r="AM26"/>
      <c r="AN26"/>
      <c r="AO26"/>
      <c r="AP26"/>
      <c r="AQ26"/>
      <c r="AR26"/>
      <c r="AS26"/>
      <c r="AT26"/>
      <c r="AU26"/>
      <c r="AV26"/>
      <c r="AW26"/>
      <c r="AX26"/>
      <c r="AY26"/>
      <c r="AZ26"/>
      <c r="BA26"/>
      <c r="BB26"/>
      <c r="BC26"/>
      <c r="BD26"/>
      <c r="BE26"/>
      <c r="BF26"/>
      <c r="BG26"/>
      <c r="BH26"/>
      <c r="BI26"/>
      <c r="BJ26"/>
      <c r="BK26"/>
    </row>
    <row r="27" spans="1:63" ht="60" x14ac:dyDescent="0.25">
      <c r="A27" s="103">
        <f t="shared" si="4"/>
        <v>22</v>
      </c>
      <c r="B27" s="10" t="s">
        <v>91</v>
      </c>
      <c r="C27" s="10" t="s">
        <v>357</v>
      </c>
      <c r="D27" s="10" t="s">
        <v>358</v>
      </c>
      <c r="E27" s="10" t="s">
        <v>359</v>
      </c>
      <c r="F27" s="10" t="s">
        <v>29</v>
      </c>
      <c r="G27" s="10">
        <f t="shared" si="0"/>
        <v>0</v>
      </c>
      <c r="H27" s="49"/>
      <c r="I27" s="49"/>
      <c r="J27" s="49">
        <f>Master2017[[#This Row],[Initial Budget]]-Master2017[[#This Row],[Previously Committed Funds]]</f>
        <v>0</v>
      </c>
      <c r="K27" s="49"/>
      <c r="L27" s="49"/>
      <c r="M27" s="97">
        <f>Master2017[[#This Row],[Design $ (Add/Deduct)]]+Master2017[[#This Row],[Construction $ (Add/Ded)]]</f>
        <v>0</v>
      </c>
      <c r="N27" s="32">
        <v>250000</v>
      </c>
      <c r="O27" s="8">
        <v>2018</v>
      </c>
      <c r="P27" s="10" t="s">
        <v>688</v>
      </c>
      <c r="Q27" s="8">
        <f t="shared" si="5"/>
        <v>20</v>
      </c>
      <c r="R27" s="8">
        <v>7</v>
      </c>
      <c r="S27" s="8">
        <f t="shared" si="6"/>
        <v>20</v>
      </c>
      <c r="T27" s="8" t="s">
        <v>43</v>
      </c>
      <c r="U27" s="8">
        <f t="shared" si="7"/>
        <v>16</v>
      </c>
      <c r="V27" s="8" t="s">
        <v>30</v>
      </c>
      <c r="W27" s="8">
        <v>0</v>
      </c>
      <c r="X27" s="8">
        <v>0</v>
      </c>
      <c r="Y27" s="8">
        <v>0</v>
      </c>
      <c r="Z27" s="8">
        <v>0</v>
      </c>
      <c r="AA27" s="8">
        <v>0</v>
      </c>
      <c r="AB27" s="8">
        <v>0</v>
      </c>
      <c r="AC27" s="8">
        <v>0</v>
      </c>
      <c r="AD27" s="17" t="s">
        <v>39</v>
      </c>
      <c r="AE27" s="8">
        <f>VLOOKUP(Master2017[[#This Row],[Elevated Priority]],Epriority,2,)</f>
        <v>-30</v>
      </c>
      <c r="AF27" s="8">
        <f>IF(Master2017[[#This Row],[Status]]="Active",Master2017[[#This Row],[Status_Score]],IF(C27="","",Q27+G27+S27+U27+AE27-5))</f>
        <v>21</v>
      </c>
      <c r="AG27" s="8"/>
      <c r="AH27" s="8">
        <v>2021</v>
      </c>
      <c r="AI27" s="8">
        <v>2022</v>
      </c>
      <c r="AJ27" s="10"/>
    </row>
    <row r="28" spans="1:63" s="99" customFormat="1" ht="30" x14ac:dyDescent="0.25">
      <c r="A28" s="103">
        <f t="shared" si="4"/>
        <v>23</v>
      </c>
      <c r="B28" s="136" t="s">
        <v>61</v>
      </c>
      <c r="C28" s="127" t="s">
        <v>829</v>
      </c>
      <c r="D28" s="67" t="s">
        <v>886</v>
      </c>
      <c r="E28" s="110" t="s">
        <v>809</v>
      </c>
      <c r="F28" s="10" t="s">
        <v>29</v>
      </c>
      <c r="G28" s="10">
        <f t="shared" si="0"/>
        <v>0</v>
      </c>
      <c r="H28" s="49"/>
      <c r="I28" s="49"/>
      <c r="J28" s="49">
        <f>Master2017[[#This Row],[Initial Budget]]-Master2017[[#This Row],[Previously Committed Funds]]</f>
        <v>0</v>
      </c>
      <c r="K28" s="49">
        <v>40000</v>
      </c>
      <c r="L28" s="49"/>
      <c r="M28" s="97">
        <f>Master2017[[#This Row],[Design $ (Add/Deduct)]]+Master2017[[#This Row],[Construction $ (Add/Ded)]]</f>
        <v>40000</v>
      </c>
      <c r="N28" s="32">
        <v>350000</v>
      </c>
      <c r="O28" s="8">
        <v>2020</v>
      </c>
      <c r="P28" s="10" t="s">
        <v>688</v>
      </c>
      <c r="Q28" s="8">
        <f t="shared" si="5"/>
        <v>20</v>
      </c>
      <c r="R28" s="8">
        <v>1</v>
      </c>
      <c r="S28" s="8">
        <f t="shared" si="6"/>
        <v>3</v>
      </c>
      <c r="T28" s="8" t="s">
        <v>41</v>
      </c>
      <c r="U28" s="8">
        <f t="shared" si="7"/>
        <v>4</v>
      </c>
      <c r="V28" s="8" t="s">
        <v>30</v>
      </c>
      <c r="W28" s="8">
        <v>0</v>
      </c>
      <c r="X28" s="8">
        <v>0</v>
      </c>
      <c r="Y28" s="8">
        <v>0</v>
      </c>
      <c r="Z28" s="8">
        <v>0</v>
      </c>
      <c r="AA28" s="8">
        <v>0</v>
      </c>
      <c r="AB28" s="8">
        <v>0</v>
      </c>
      <c r="AC28" s="8">
        <v>0</v>
      </c>
      <c r="AD28" s="17" t="s">
        <v>29</v>
      </c>
      <c r="AE28" s="8">
        <f>VLOOKUP(Master2017[[#This Row],[Elevated Priority]],Epriority,2,)</f>
        <v>0</v>
      </c>
      <c r="AF28" s="8">
        <f>IF(Master2017[[#This Row],[Status]]="Active",Master2017[[#This Row],[Status_Score]],IF(C28="","",Q28+G28+S28+U28+AE28-5))</f>
        <v>22</v>
      </c>
      <c r="AG28" s="8"/>
      <c r="AH28" s="8">
        <v>2020</v>
      </c>
      <c r="AI28" s="8">
        <v>2021</v>
      </c>
      <c r="AJ28" s="10" t="s">
        <v>975</v>
      </c>
      <c r="AK28"/>
      <c r="AL28"/>
      <c r="AM28"/>
      <c r="AN28"/>
      <c r="AO28"/>
      <c r="AP28"/>
      <c r="AQ28"/>
      <c r="AR28"/>
      <c r="AS28"/>
      <c r="AT28"/>
      <c r="AU28"/>
      <c r="AV28"/>
      <c r="AW28"/>
      <c r="AX28"/>
      <c r="AY28"/>
      <c r="AZ28"/>
      <c r="BA28"/>
      <c r="BB28"/>
      <c r="BC28"/>
      <c r="BD28"/>
      <c r="BE28"/>
      <c r="BF28"/>
      <c r="BG28"/>
      <c r="BH28"/>
      <c r="BI28"/>
      <c r="BJ28"/>
      <c r="BK28"/>
    </row>
    <row r="29" spans="1:63" ht="255" x14ac:dyDescent="0.25">
      <c r="A29" s="103">
        <f t="shared" si="4"/>
        <v>24</v>
      </c>
      <c r="B29" s="10" t="s">
        <v>659</v>
      </c>
      <c r="C29" s="10" t="s">
        <v>211</v>
      </c>
      <c r="D29" s="10" t="s">
        <v>212</v>
      </c>
      <c r="E29" s="10" t="s">
        <v>887</v>
      </c>
      <c r="F29" s="10" t="s">
        <v>29</v>
      </c>
      <c r="G29" s="10">
        <f t="shared" si="0"/>
        <v>0</v>
      </c>
      <c r="H29" s="49"/>
      <c r="I29" s="49"/>
      <c r="J29" s="49">
        <f>Master2017[[#This Row],[Initial Budget]]-Master2017[[#This Row],[Previously Committed Funds]]</f>
        <v>0</v>
      </c>
      <c r="K29" s="49"/>
      <c r="L29" s="49"/>
      <c r="M29" s="97">
        <f>Master2017[[#This Row],[Design $ (Add/Deduct)]]+Master2017[[#This Row],[Construction $ (Add/Ded)]]</f>
        <v>0</v>
      </c>
      <c r="N29" s="32">
        <v>50000</v>
      </c>
      <c r="O29" s="8">
        <v>2018</v>
      </c>
      <c r="P29" s="10" t="s">
        <v>688</v>
      </c>
      <c r="Q29" s="8">
        <f t="shared" si="5"/>
        <v>20</v>
      </c>
      <c r="R29" s="8">
        <v>1</v>
      </c>
      <c r="S29" s="8">
        <f t="shared" si="6"/>
        <v>3</v>
      </c>
      <c r="T29" s="8" t="s">
        <v>41</v>
      </c>
      <c r="U29" s="8">
        <f t="shared" si="7"/>
        <v>4</v>
      </c>
      <c r="V29" s="8" t="s">
        <v>30</v>
      </c>
      <c r="W29" s="8">
        <v>0</v>
      </c>
      <c r="X29" s="8">
        <v>0</v>
      </c>
      <c r="Y29" s="8">
        <v>0</v>
      </c>
      <c r="Z29" s="8">
        <v>0</v>
      </c>
      <c r="AA29" s="8">
        <v>0</v>
      </c>
      <c r="AB29" s="8">
        <v>0</v>
      </c>
      <c r="AC29" s="8">
        <v>0</v>
      </c>
      <c r="AD29" s="17" t="s">
        <v>29</v>
      </c>
      <c r="AE29" s="8">
        <f>VLOOKUP(Master2017[[#This Row],[Elevated Priority]],Epriority,2,)</f>
        <v>0</v>
      </c>
      <c r="AF29" s="8">
        <f>IF(Master2017[[#This Row],[Status]]="Active",Master2017[[#This Row],[Status_Score]],IF(C29="","",Q29+G29+S29+U29+AE29-5))</f>
        <v>22</v>
      </c>
      <c r="AG29" s="8"/>
      <c r="AH29" s="8">
        <v>2021</v>
      </c>
      <c r="AI29" s="8">
        <v>2022</v>
      </c>
      <c r="AJ29" s="10"/>
    </row>
    <row r="30" spans="1:63" ht="45" x14ac:dyDescent="0.25">
      <c r="A30" s="103">
        <f t="shared" si="4"/>
        <v>25</v>
      </c>
      <c r="B30" s="1" t="s">
        <v>79</v>
      </c>
      <c r="C30" s="1" t="s">
        <v>837</v>
      </c>
      <c r="D30" s="10" t="s">
        <v>784</v>
      </c>
      <c r="E30" s="10" t="s">
        <v>805</v>
      </c>
      <c r="F30" s="10" t="s">
        <v>29</v>
      </c>
      <c r="G30" s="10">
        <f t="shared" si="0"/>
        <v>0</v>
      </c>
      <c r="H30" s="49"/>
      <c r="I30" s="49"/>
      <c r="J30" s="49">
        <f>Master2017[[#This Row],[Initial Budget]]-Master2017[[#This Row],[Previously Committed Funds]]</f>
        <v>0</v>
      </c>
      <c r="K30" s="49">
        <v>50000</v>
      </c>
      <c r="L30" s="49">
        <v>200000</v>
      </c>
      <c r="M30" s="97">
        <f>Master2017[[#This Row],[Design $ (Add/Deduct)]]+Master2017[[#This Row],[Construction $ (Add/Ded)]]</f>
        <v>250000</v>
      </c>
      <c r="N30" s="32">
        <v>250000</v>
      </c>
      <c r="O30" s="8">
        <v>2020</v>
      </c>
      <c r="P30" s="10" t="s">
        <v>688</v>
      </c>
      <c r="Q30" s="8">
        <f t="shared" si="5"/>
        <v>20</v>
      </c>
      <c r="R30" s="8">
        <v>2</v>
      </c>
      <c r="S30" s="8">
        <f t="shared" si="6"/>
        <v>6</v>
      </c>
      <c r="T30" s="8" t="s">
        <v>33</v>
      </c>
      <c r="U30" s="8">
        <f t="shared" si="7"/>
        <v>1</v>
      </c>
      <c r="V30" s="8" t="s">
        <v>30</v>
      </c>
      <c r="W30" s="8">
        <v>0</v>
      </c>
      <c r="X30" s="8">
        <v>0</v>
      </c>
      <c r="Y30" s="8">
        <v>0</v>
      </c>
      <c r="Z30" s="8">
        <v>0</v>
      </c>
      <c r="AA30" s="8">
        <v>0</v>
      </c>
      <c r="AB30" s="8">
        <v>0</v>
      </c>
      <c r="AC30" s="8">
        <v>0</v>
      </c>
      <c r="AD30" s="17" t="s">
        <v>29</v>
      </c>
      <c r="AE30" s="8">
        <f>VLOOKUP(Master2017[[#This Row],[Elevated Priority]],Epriority,2,)</f>
        <v>0</v>
      </c>
      <c r="AF30" s="8">
        <f>IF(Master2017[[#This Row],[Status]]="Active",Master2017[[#This Row],[Status_Score]],IF(C30="","",Q30+G30+S30+U30+AE30-5))</f>
        <v>22</v>
      </c>
      <c r="AG30" s="8"/>
      <c r="AH30" s="8">
        <v>2020</v>
      </c>
      <c r="AI30" s="8">
        <v>2021</v>
      </c>
      <c r="AJ30" s="10"/>
    </row>
    <row r="31" spans="1:63" ht="45" x14ac:dyDescent="0.25">
      <c r="A31" s="103">
        <f>A29+1</f>
        <v>25</v>
      </c>
      <c r="B31" s="10" t="s">
        <v>67</v>
      </c>
      <c r="C31" s="10" t="s">
        <v>428</v>
      </c>
      <c r="D31" s="10" t="s">
        <v>429</v>
      </c>
      <c r="E31" s="10" t="s">
        <v>430</v>
      </c>
      <c r="F31" s="10" t="s">
        <v>29</v>
      </c>
      <c r="G31" s="10">
        <f t="shared" si="0"/>
        <v>0</v>
      </c>
      <c r="H31" s="49"/>
      <c r="I31" s="49"/>
      <c r="J31" s="49">
        <f>Master2017[[#This Row],[Initial Budget]]-Master2017[[#This Row],[Previously Committed Funds]]</f>
        <v>0</v>
      </c>
      <c r="K31" s="49"/>
      <c r="L31" s="49"/>
      <c r="M31" s="97">
        <f>Master2017[[#This Row],[Design $ (Add/Deduct)]]+Master2017[[#This Row],[Construction $ (Add/Ded)]]</f>
        <v>0</v>
      </c>
      <c r="N31" s="32">
        <v>75000</v>
      </c>
      <c r="O31" s="8">
        <v>2018</v>
      </c>
      <c r="P31" s="10" t="s">
        <v>688</v>
      </c>
      <c r="Q31" s="8">
        <f t="shared" si="5"/>
        <v>20</v>
      </c>
      <c r="R31" s="8">
        <v>2</v>
      </c>
      <c r="S31" s="8">
        <f t="shared" si="6"/>
        <v>6</v>
      </c>
      <c r="T31" s="8" t="s">
        <v>41</v>
      </c>
      <c r="U31" s="8">
        <f t="shared" si="7"/>
        <v>4</v>
      </c>
      <c r="V31" s="8" t="s">
        <v>30</v>
      </c>
      <c r="W31" s="8">
        <v>0</v>
      </c>
      <c r="X31" s="8">
        <v>0</v>
      </c>
      <c r="Y31" s="8">
        <v>0</v>
      </c>
      <c r="Z31" s="8">
        <v>0</v>
      </c>
      <c r="AA31" s="8">
        <v>0</v>
      </c>
      <c r="AB31" s="8">
        <v>0</v>
      </c>
      <c r="AC31" s="8">
        <v>0</v>
      </c>
      <c r="AD31" s="17" t="s">
        <v>29</v>
      </c>
      <c r="AE31" s="8">
        <f>VLOOKUP(Master2017[[#This Row],[Elevated Priority]],Epriority,2,)</f>
        <v>0</v>
      </c>
      <c r="AF31" s="8">
        <f>IF(Master2017[[#This Row],[Status]]="Active",Master2017[[#This Row],[Status_Score]],IF(C31="","",Q31+G31+S31+U31+AE31-5))</f>
        <v>25</v>
      </c>
      <c r="AG31" s="8"/>
      <c r="AH31" s="8">
        <v>2021</v>
      </c>
      <c r="AI31" s="8">
        <v>2022</v>
      </c>
      <c r="AJ31" s="10"/>
    </row>
    <row r="32" spans="1:63" ht="30" x14ac:dyDescent="0.25">
      <c r="A32" s="103">
        <f>A30+1</f>
        <v>26</v>
      </c>
      <c r="B32" s="10" t="s">
        <v>72</v>
      </c>
      <c r="C32" s="10" t="s">
        <v>169</v>
      </c>
      <c r="D32" s="10" t="s">
        <v>889</v>
      </c>
      <c r="E32" s="10" t="s">
        <v>171</v>
      </c>
      <c r="F32" s="19" t="s">
        <v>29</v>
      </c>
      <c r="G32" s="67">
        <f t="shared" si="0"/>
        <v>0</v>
      </c>
      <c r="H32" s="110"/>
      <c r="I32" s="110"/>
      <c r="J32" s="110">
        <f>Master2017[[#This Row],[Initial Budget]]-Master2017[[#This Row],[Previously Committed Funds]]</f>
        <v>0</v>
      </c>
      <c r="K32" s="110"/>
      <c r="L32" s="110"/>
      <c r="M32" s="117">
        <f>Master2017[[#This Row],[Design $ (Add/Deduct)]]+Master2017[[#This Row],[Construction $ (Add/Ded)]]</f>
        <v>0</v>
      </c>
      <c r="N32" s="109">
        <v>500000</v>
      </c>
      <c r="O32" s="69">
        <v>2018</v>
      </c>
      <c r="P32" s="67" t="s">
        <v>688</v>
      </c>
      <c r="Q32" s="8">
        <f t="shared" si="5"/>
        <v>20</v>
      </c>
      <c r="R32" s="69">
        <v>2</v>
      </c>
      <c r="S32" s="8">
        <f t="shared" si="6"/>
        <v>6</v>
      </c>
      <c r="T32" s="69" t="s">
        <v>41</v>
      </c>
      <c r="U32" s="8">
        <f t="shared" si="7"/>
        <v>4</v>
      </c>
      <c r="V32" s="69" t="s">
        <v>30</v>
      </c>
      <c r="W32" s="8">
        <v>0</v>
      </c>
      <c r="X32" s="8">
        <v>0</v>
      </c>
      <c r="Y32" s="8">
        <v>0</v>
      </c>
      <c r="Z32" s="8">
        <v>0</v>
      </c>
      <c r="AA32" s="8">
        <v>0</v>
      </c>
      <c r="AB32" s="8">
        <v>0</v>
      </c>
      <c r="AC32" s="8">
        <v>0</v>
      </c>
      <c r="AD32" s="70" t="s">
        <v>29</v>
      </c>
      <c r="AE32" s="8">
        <f>VLOOKUP(Master2017[[#This Row],[Elevated Priority]],Epriority,2,)</f>
        <v>0</v>
      </c>
      <c r="AF32" s="8">
        <f>IF(Master2017[[#This Row],[Status]]="Active",Master2017[[#This Row],[Status_Score]],IF(C32="","",Q32+G32+S32+U32+AE32-5))</f>
        <v>25</v>
      </c>
      <c r="AG32" s="8"/>
      <c r="AH32" s="8"/>
      <c r="AI32" s="8"/>
      <c r="AJ32" s="10"/>
    </row>
    <row r="33" spans="1:63" s="99" customFormat="1" ht="60" x14ac:dyDescent="0.25">
      <c r="A33" s="103">
        <f t="shared" si="4"/>
        <v>27</v>
      </c>
      <c r="B33" s="10" t="s">
        <v>94</v>
      </c>
      <c r="C33" s="10" t="s">
        <v>588</v>
      </c>
      <c r="D33" s="10" t="s">
        <v>589</v>
      </c>
      <c r="E33" s="10"/>
      <c r="F33" s="10" t="s">
        <v>29</v>
      </c>
      <c r="G33" s="10">
        <f t="shared" si="0"/>
        <v>0</v>
      </c>
      <c r="H33" s="49"/>
      <c r="I33" s="49"/>
      <c r="J33" s="49">
        <f>Master2017[[#This Row],[Initial Budget]]-Master2017[[#This Row],[Previously Committed Funds]]</f>
        <v>0</v>
      </c>
      <c r="K33" s="49"/>
      <c r="L33" s="49"/>
      <c r="M33" s="97">
        <f>Master2017[[#This Row],[Design $ (Add/Deduct)]]+Master2017[[#This Row],[Construction $ (Add/Ded)]]</f>
        <v>0</v>
      </c>
      <c r="N33" s="32">
        <v>25000</v>
      </c>
      <c r="O33" s="17">
        <v>2019</v>
      </c>
      <c r="P33" s="10" t="s">
        <v>36</v>
      </c>
      <c r="Q33" s="8">
        <f t="shared" si="5"/>
        <v>10</v>
      </c>
      <c r="R33" s="8">
        <v>6</v>
      </c>
      <c r="S33" s="8">
        <f t="shared" si="6"/>
        <v>18</v>
      </c>
      <c r="T33" s="8" t="s">
        <v>41</v>
      </c>
      <c r="U33" s="8">
        <f t="shared" si="7"/>
        <v>4</v>
      </c>
      <c r="V33" s="8" t="s">
        <v>30</v>
      </c>
      <c r="W33" s="8">
        <v>0</v>
      </c>
      <c r="X33" s="8">
        <v>0</v>
      </c>
      <c r="Y33" s="8">
        <v>0</v>
      </c>
      <c r="Z33" s="8">
        <v>0</v>
      </c>
      <c r="AA33" s="8">
        <v>0</v>
      </c>
      <c r="AB33" s="8">
        <v>0</v>
      </c>
      <c r="AC33" s="8">
        <v>0</v>
      </c>
      <c r="AD33" s="17" t="s">
        <v>29</v>
      </c>
      <c r="AE33" s="8">
        <f>VLOOKUP(Master2017[[#This Row],[Elevated Priority]],Epriority,2,)</f>
        <v>0</v>
      </c>
      <c r="AF33" s="8">
        <f>IF(Master2017[[#This Row],[Status]]="Active",Master2017[[#This Row],[Status_Score]],IF(C33="","",Q33+G33+S33+U33+AE33-5))</f>
        <v>27</v>
      </c>
      <c r="AG33" s="123"/>
      <c r="AH33" s="123">
        <v>2021</v>
      </c>
      <c r="AI33" s="123">
        <v>2022</v>
      </c>
      <c r="AJ33" s="10"/>
      <c r="AK33"/>
      <c r="AL33"/>
      <c r="AM33"/>
      <c r="AN33"/>
      <c r="AO33"/>
      <c r="AP33"/>
      <c r="AQ33"/>
      <c r="AR33"/>
      <c r="AS33"/>
      <c r="AT33"/>
      <c r="AU33"/>
      <c r="AV33"/>
      <c r="AW33"/>
      <c r="AX33"/>
      <c r="AY33"/>
      <c r="AZ33"/>
      <c r="BA33"/>
      <c r="BB33"/>
      <c r="BC33"/>
      <c r="BD33"/>
      <c r="BE33"/>
      <c r="BF33"/>
      <c r="BG33"/>
      <c r="BH33"/>
      <c r="BI33"/>
      <c r="BJ33"/>
      <c r="BK33"/>
    </row>
    <row r="34" spans="1:63" s="99" customFormat="1" ht="30" x14ac:dyDescent="0.25">
      <c r="A34" s="103">
        <f t="shared" si="4"/>
        <v>28</v>
      </c>
      <c r="B34" s="10" t="s">
        <v>79</v>
      </c>
      <c r="C34" s="10" t="s">
        <v>254</v>
      </c>
      <c r="D34" s="10" t="s">
        <v>255</v>
      </c>
      <c r="E34" s="10" t="s">
        <v>256</v>
      </c>
      <c r="F34" s="10" t="s">
        <v>29</v>
      </c>
      <c r="G34" s="10">
        <f t="shared" si="0"/>
        <v>0</v>
      </c>
      <c r="H34" s="49"/>
      <c r="I34" s="49"/>
      <c r="J34" s="49">
        <f>Master2017[[#This Row],[Initial Budget]]-Master2017[[#This Row],[Previously Committed Funds]]</f>
        <v>0</v>
      </c>
      <c r="K34" s="49"/>
      <c r="L34" s="49"/>
      <c r="M34" s="97">
        <f>Master2017[[#This Row],[Design $ (Add/Deduct)]]+Master2017[[#This Row],[Construction $ (Add/Ded)]]</f>
        <v>0</v>
      </c>
      <c r="N34" s="32">
        <v>50000</v>
      </c>
      <c r="O34" s="8">
        <v>2018</v>
      </c>
      <c r="P34" s="10" t="s">
        <v>688</v>
      </c>
      <c r="Q34" s="8">
        <f t="shared" si="5"/>
        <v>20</v>
      </c>
      <c r="R34" s="8">
        <v>3</v>
      </c>
      <c r="S34" s="8">
        <f t="shared" si="6"/>
        <v>9</v>
      </c>
      <c r="T34" s="8" t="s">
        <v>41</v>
      </c>
      <c r="U34" s="8">
        <f t="shared" si="7"/>
        <v>4</v>
      </c>
      <c r="V34" s="8" t="s">
        <v>30</v>
      </c>
      <c r="W34" s="8">
        <v>0</v>
      </c>
      <c r="X34" s="8">
        <v>0</v>
      </c>
      <c r="Y34" s="8">
        <v>0</v>
      </c>
      <c r="Z34" s="8">
        <v>0</v>
      </c>
      <c r="AA34" s="8">
        <v>0</v>
      </c>
      <c r="AB34" s="8">
        <v>0</v>
      </c>
      <c r="AC34" s="8">
        <v>0</v>
      </c>
      <c r="AD34" s="17" t="s">
        <v>29</v>
      </c>
      <c r="AE34" s="8">
        <f>VLOOKUP(Master2017[[#This Row],[Elevated Priority]],Epriority,2,)</f>
        <v>0</v>
      </c>
      <c r="AF34" s="8">
        <f>IF(Master2017[[#This Row],[Status]]="Active",Master2017[[#This Row],[Status_Score]],IF(C34="","",Q34+G34+S34+U34+AE34-5))</f>
        <v>28</v>
      </c>
      <c r="AG34" s="8"/>
      <c r="AH34" s="8">
        <v>2020</v>
      </c>
      <c r="AI34" s="8">
        <v>2021</v>
      </c>
      <c r="AJ34" s="10" t="s">
        <v>980</v>
      </c>
      <c r="AK34"/>
      <c r="AL34"/>
      <c r="AM34"/>
      <c r="AN34"/>
      <c r="AO34"/>
      <c r="AP34"/>
      <c r="AQ34"/>
      <c r="AR34"/>
      <c r="AS34"/>
      <c r="AT34"/>
      <c r="AU34"/>
      <c r="AV34"/>
      <c r="AW34"/>
      <c r="AX34"/>
      <c r="AY34"/>
      <c r="AZ34"/>
      <c r="BA34"/>
      <c r="BB34"/>
      <c r="BC34"/>
      <c r="BD34"/>
      <c r="BE34"/>
      <c r="BF34"/>
      <c r="BG34"/>
      <c r="BH34"/>
      <c r="BI34"/>
      <c r="BJ34"/>
      <c r="BK34"/>
    </row>
    <row r="35" spans="1:63" s="99" customFormat="1" ht="30" x14ac:dyDescent="0.25">
      <c r="A35" s="103">
        <f t="shared" si="4"/>
        <v>29</v>
      </c>
      <c r="B35" s="10" t="s">
        <v>61</v>
      </c>
      <c r="C35" s="10" t="s">
        <v>935</v>
      </c>
      <c r="D35" s="10" t="s">
        <v>662</v>
      </c>
      <c r="E35" s="10" t="s">
        <v>266</v>
      </c>
      <c r="F35" s="10" t="s">
        <v>29</v>
      </c>
      <c r="G35" s="10">
        <f t="shared" si="0"/>
        <v>0</v>
      </c>
      <c r="H35" s="49"/>
      <c r="I35" s="49"/>
      <c r="J35" s="49">
        <f>Master2017[[#This Row],[Initial Budget]]-Master2017[[#This Row],[Previously Committed Funds]]</f>
        <v>0</v>
      </c>
      <c r="K35" s="49"/>
      <c r="L35" s="49"/>
      <c r="M35" s="97">
        <f>Master2017[[#This Row],[Design $ (Add/Deduct)]]+Master2017[[#This Row],[Construction $ (Add/Ded)]]</f>
        <v>0</v>
      </c>
      <c r="N35" s="32">
        <v>50000</v>
      </c>
      <c r="O35" s="8">
        <v>2018</v>
      </c>
      <c r="P35" s="10" t="s">
        <v>688</v>
      </c>
      <c r="Q35" s="8">
        <f t="shared" si="5"/>
        <v>20</v>
      </c>
      <c r="R35" s="8">
        <v>3</v>
      </c>
      <c r="S35" s="8">
        <f t="shared" si="6"/>
        <v>9</v>
      </c>
      <c r="T35" s="8" t="s">
        <v>41</v>
      </c>
      <c r="U35" s="8">
        <f t="shared" si="7"/>
        <v>4</v>
      </c>
      <c r="V35" s="8" t="s">
        <v>30</v>
      </c>
      <c r="W35" s="8">
        <v>0</v>
      </c>
      <c r="X35" s="8">
        <v>0</v>
      </c>
      <c r="Y35" s="8">
        <v>0</v>
      </c>
      <c r="Z35" s="8">
        <v>0</v>
      </c>
      <c r="AA35" s="8">
        <v>0</v>
      </c>
      <c r="AB35" s="8">
        <v>0</v>
      </c>
      <c r="AC35" s="8">
        <v>0</v>
      </c>
      <c r="AD35" s="17" t="s">
        <v>29</v>
      </c>
      <c r="AE35" s="8">
        <f>VLOOKUP(Master2017[[#This Row],[Elevated Priority]],Epriority,2,)</f>
        <v>0</v>
      </c>
      <c r="AF35" s="8">
        <f>IF(Master2017[[#This Row],[Status]]="Active",Master2017[[#This Row],[Status_Score]],IF(C35="","",Q35+G35+S35+U35+AE35-5))</f>
        <v>28</v>
      </c>
      <c r="AG35" s="8"/>
      <c r="AH35" s="8">
        <v>2021</v>
      </c>
      <c r="AI35" s="8">
        <v>2022</v>
      </c>
      <c r="AJ35" s="10"/>
      <c r="AK35"/>
      <c r="AL35"/>
      <c r="AM35"/>
      <c r="AN35"/>
      <c r="AO35"/>
      <c r="AP35"/>
      <c r="AQ35"/>
      <c r="AR35"/>
      <c r="AS35"/>
      <c r="AT35"/>
      <c r="AU35"/>
      <c r="AV35"/>
      <c r="AW35"/>
      <c r="AX35"/>
      <c r="AY35"/>
      <c r="AZ35"/>
      <c r="BA35"/>
      <c r="BB35"/>
      <c r="BC35"/>
      <c r="BD35"/>
      <c r="BE35"/>
      <c r="BF35"/>
      <c r="BG35"/>
      <c r="BH35"/>
      <c r="BI35"/>
      <c r="BJ35"/>
      <c r="BK35"/>
    </row>
    <row r="36" spans="1:63" s="99" customFormat="1" ht="30" hidden="1" x14ac:dyDescent="0.25">
      <c r="A36" s="103">
        <f t="shared" si="4"/>
        <v>30</v>
      </c>
      <c r="B36" s="10" t="s">
        <v>72</v>
      </c>
      <c r="C36" s="10" t="s">
        <v>762</v>
      </c>
      <c r="D36" s="10" t="s">
        <v>770</v>
      </c>
      <c r="E36" s="49" t="s">
        <v>771</v>
      </c>
      <c r="F36" s="10" t="s">
        <v>29</v>
      </c>
      <c r="G36" s="10">
        <f t="shared" si="0"/>
        <v>0</v>
      </c>
      <c r="H36" s="49"/>
      <c r="I36" s="49"/>
      <c r="J36" s="49">
        <f>Master2017[[#This Row],[Initial Budget]]-Master2017[[#This Row],[Previously Committed Funds]]</f>
        <v>0</v>
      </c>
      <c r="K36" s="49"/>
      <c r="L36" s="49"/>
      <c r="M36" s="97">
        <f>Master2017[[#This Row],[Design $ (Add/Deduct)]]+Master2017[[#This Row],[Construction $ (Add/Ded)]]</f>
        <v>0</v>
      </c>
      <c r="N36" s="32">
        <v>800000</v>
      </c>
      <c r="O36" s="8">
        <v>2018</v>
      </c>
      <c r="P36" s="10" t="s">
        <v>32</v>
      </c>
      <c r="Q36" s="8">
        <f t="shared" si="5"/>
        <v>1</v>
      </c>
      <c r="R36" s="8">
        <v>3</v>
      </c>
      <c r="S36" s="8">
        <f t="shared" si="6"/>
        <v>9</v>
      </c>
      <c r="T36" s="8" t="s">
        <v>37</v>
      </c>
      <c r="U36" s="8">
        <f t="shared" si="7"/>
        <v>3</v>
      </c>
      <c r="V36" s="8" t="s">
        <v>34</v>
      </c>
      <c r="W36" s="114">
        <v>0</v>
      </c>
      <c r="X36" s="8">
        <v>0</v>
      </c>
      <c r="Y36" s="8">
        <v>0</v>
      </c>
      <c r="Z36" s="8">
        <v>-3</v>
      </c>
      <c r="AA36" s="8">
        <v>0</v>
      </c>
      <c r="AB36" s="8">
        <v>0</v>
      </c>
      <c r="AC36" s="8">
        <v>-3</v>
      </c>
      <c r="AD36" s="17" t="s">
        <v>29</v>
      </c>
      <c r="AE36" s="8">
        <f>VLOOKUP(Master2017[[#This Row],[Elevated Priority]],Epriority,2,)</f>
        <v>0</v>
      </c>
      <c r="AF36" s="8">
        <f>IF(Master2017[[#This Row],[Status]]="Active",Master2017[[#This Row],[Status_Score]],IF(C36="","",Q36+G36+S36+U36+AE36-5))</f>
        <v>8</v>
      </c>
      <c r="AG36" s="8"/>
      <c r="AH36" s="8">
        <v>2020</v>
      </c>
      <c r="AI36" s="8">
        <v>2022</v>
      </c>
      <c r="AJ36" s="10"/>
      <c r="AK36"/>
      <c r="AL36"/>
      <c r="AM36"/>
      <c r="AN36"/>
      <c r="AO36"/>
      <c r="AP36"/>
      <c r="AQ36"/>
      <c r="AR36"/>
      <c r="AS36"/>
      <c r="AT36"/>
      <c r="AU36"/>
      <c r="AV36"/>
      <c r="AW36"/>
      <c r="AX36"/>
      <c r="AY36"/>
      <c r="AZ36"/>
      <c r="BA36"/>
      <c r="BB36"/>
      <c r="BC36"/>
      <c r="BD36"/>
      <c r="BE36"/>
      <c r="BF36"/>
      <c r="BG36"/>
      <c r="BH36"/>
      <c r="BI36"/>
      <c r="BJ36"/>
      <c r="BK36"/>
    </row>
    <row r="37" spans="1:63" ht="105" x14ac:dyDescent="0.25">
      <c r="A37" s="103">
        <f t="shared" si="4"/>
        <v>31</v>
      </c>
      <c r="B37" s="10" t="s">
        <v>152</v>
      </c>
      <c r="C37" s="10" t="s">
        <v>834</v>
      </c>
      <c r="D37" s="10" t="s">
        <v>835</v>
      </c>
      <c r="E37" s="10" t="s">
        <v>275</v>
      </c>
      <c r="F37" s="10" t="s">
        <v>29</v>
      </c>
      <c r="G37" s="10">
        <f t="shared" si="0"/>
        <v>0</v>
      </c>
      <c r="H37" s="49"/>
      <c r="I37" s="49"/>
      <c r="J37" s="49">
        <f>Master2017[[#This Row],[Initial Budget]]-Master2017[[#This Row],[Previously Committed Funds]]</f>
        <v>0</v>
      </c>
      <c r="K37" s="49"/>
      <c r="L37" s="49"/>
      <c r="M37" s="97">
        <f>Master2017[[#This Row],[Design $ (Add/Deduct)]]+Master2017[[#This Row],[Construction $ (Add/Ded)]]</f>
        <v>0</v>
      </c>
      <c r="N37" s="32">
        <v>200000</v>
      </c>
      <c r="O37" s="8">
        <v>2018</v>
      </c>
      <c r="P37" s="10" t="s">
        <v>688</v>
      </c>
      <c r="Q37" s="8">
        <f t="shared" si="5"/>
        <v>20</v>
      </c>
      <c r="R37" s="8">
        <v>3</v>
      </c>
      <c r="S37" s="8">
        <f t="shared" si="6"/>
        <v>9</v>
      </c>
      <c r="T37" s="8" t="s">
        <v>41</v>
      </c>
      <c r="U37" s="8">
        <f t="shared" si="7"/>
        <v>4</v>
      </c>
      <c r="V37" s="8" t="s">
        <v>30</v>
      </c>
      <c r="W37" s="8">
        <v>0</v>
      </c>
      <c r="X37" s="8">
        <v>0</v>
      </c>
      <c r="Y37" s="8">
        <v>0</v>
      </c>
      <c r="Z37" s="8">
        <v>0</v>
      </c>
      <c r="AA37" s="8">
        <v>0</v>
      </c>
      <c r="AB37" s="8">
        <v>0</v>
      </c>
      <c r="AC37" s="8">
        <v>0</v>
      </c>
      <c r="AD37" s="17" t="s">
        <v>29</v>
      </c>
      <c r="AE37" s="8">
        <f>VLOOKUP(Master2017[[#This Row],[Elevated Priority]],Epriority,2,)</f>
        <v>0</v>
      </c>
      <c r="AF37" s="8">
        <f>IF(Master2017[[#This Row],[Status]]="Active",Master2017[[#This Row],[Status_Score]],IF(C37="","",Q37+G37+S37+U37+AE37-5))</f>
        <v>28</v>
      </c>
      <c r="AG37" s="8"/>
      <c r="AH37" s="8">
        <v>2021</v>
      </c>
      <c r="AI37" s="8">
        <v>2022</v>
      </c>
      <c r="AJ37" s="10"/>
    </row>
    <row r="38" spans="1:63" ht="30" hidden="1" x14ac:dyDescent="0.25">
      <c r="A38" s="103">
        <f t="shared" si="4"/>
        <v>32</v>
      </c>
      <c r="B38" s="125" t="s">
        <v>61</v>
      </c>
      <c r="C38" s="127" t="s">
        <v>839</v>
      </c>
      <c r="D38" s="67" t="s">
        <v>812</v>
      </c>
      <c r="E38" s="110" t="s">
        <v>813</v>
      </c>
      <c r="F38" s="10" t="s">
        <v>29</v>
      </c>
      <c r="G38" s="10">
        <f t="shared" si="0"/>
        <v>0</v>
      </c>
      <c r="H38" s="49"/>
      <c r="I38" s="49"/>
      <c r="J38" s="49">
        <f>Master2017[[#This Row],[Initial Budget]]-Master2017[[#This Row],[Previously Committed Funds]]</f>
        <v>0</v>
      </c>
      <c r="K38" s="49"/>
      <c r="L38" s="49"/>
      <c r="M38" s="97">
        <f>Master2017[[#This Row],[Design $ (Add/Deduct)]]+Master2017[[#This Row],[Construction $ (Add/Ded)]]</f>
        <v>0</v>
      </c>
      <c r="N38" s="32">
        <v>2000000</v>
      </c>
      <c r="O38" s="8">
        <v>2020</v>
      </c>
      <c r="P38" s="10" t="s">
        <v>688</v>
      </c>
      <c r="Q38" s="8">
        <f t="shared" si="5"/>
        <v>20</v>
      </c>
      <c r="R38" s="8">
        <v>1</v>
      </c>
      <c r="S38" s="8">
        <f t="shared" si="6"/>
        <v>3</v>
      </c>
      <c r="T38" s="8" t="s">
        <v>41</v>
      </c>
      <c r="U38" s="8">
        <f t="shared" si="7"/>
        <v>4</v>
      </c>
      <c r="V38" s="8" t="s">
        <v>34</v>
      </c>
      <c r="W38" s="114">
        <v>0</v>
      </c>
      <c r="X38" s="8">
        <v>0</v>
      </c>
      <c r="Y38" s="8">
        <v>-3</v>
      </c>
      <c r="Z38" s="8">
        <v>-3</v>
      </c>
      <c r="AA38" s="8">
        <v>0</v>
      </c>
      <c r="AB38" s="8">
        <v>-5</v>
      </c>
      <c r="AC38" s="8">
        <v>-3</v>
      </c>
      <c r="AD38" s="17" t="s">
        <v>29</v>
      </c>
      <c r="AE38" s="8">
        <f>VLOOKUP(Master2017[[#This Row],[Elevated Priority]],Epriority,2,)</f>
        <v>0</v>
      </c>
      <c r="AF38" s="8">
        <f>IF(Master2017[[#This Row],[Status]]="Active",Master2017[[#This Row],[Status_Score]],IF(C38="","",Q38+G38+S38+U38+AE38-5))</f>
        <v>22</v>
      </c>
      <c r="AG38" s="8"/>
      <c r="AH38" s="8">
        <v>2021</v>
      </c>
      <c r="AI38" s="8">
        <v>2022</v>
      </c>
      <c r="AJ38" s="10" t="s">
        <v>975</v>
      </c>
    </row>
    <row r="39" spans="1:63" ht="90" hidden="1" x14ac:dyDescent="0.25">
      <c r="A39" s="103">
        <f t="shared" si="4"/>
        <v>33</v>
      </c>
      <c r="B39" s="10" t="s">
        <v>61</v>
      </c>
      <c r="C39" s="10" t="s">
        <v>313</v>
      </c>
      <c r="D39" s="10" t="s">
        <v>890</v>
      </c>
      <c r="E39" s="10" t="s">
        <v>315</v>
      </c>
      <c r="F39" s="10" t="s">
        <v>29</v>
      </c>
      <c r="G39" s="10">
        <f t="shared" si="0"/>
        <v>0</v>
      </c>
      <c r="H39" s="49"/>
      <c r="I39" s="49"/>
      <c r="J39" s="49">
        <f>Master2017[[#This Row],[Initial Budget]]-Master2017[[#This Row],[Previously Committed Funds]]</f>
        <v>0</v>
      </c>
      <c r="K39" s="49"/>
      <c r="L39" s="49"/>
      <c r="M39" s="97">
        <f>Master2017[[#This Row],[Design $ (Add/Deduct)]]+Master2017[[#This Row],[Construction $ (Add/Ded)]]</f>
        <v>0</v>
      </c>
      <c r="N39" s="32">
        <v>10000000</v>
      </c>
      <c r="O39" s="8">
        <v>2018</v>
      </c>
      <c r="P39" s="10" t="s">
        <v>687</v>
      </c>
      <c r="Q39" s="8">
        <f t="shared" si="5"/>
        <v>30</v>
      </c>
      <c r="R39" s="8">
        <v>1</v>
      </c>
      <c r="S39" s="8">
        <f t="shared" si="6"/>
        <v>3</v>
      </c>
      <c r="T39" s="8" t="s">
        <v>41</v>
      </c>
      <c r="U39" s="8">
        <f t="shared" si="7"/>
        <v>4</v>
      </c>
      <c r="V39" s="8" t="s">
        <v>34</v>
      </c>
      <c r="W39" s="114">
        <v>-5</v>
      </c>
      <c r="X39" s="8">
        <v>-3</v>
      </c>
      <c r="Y39" s="8">
        <v>-3</v>
      </c>
      <c r="Z39" s="8">
        <v>-3</v>
      </c>
      <c r="AA39" s="8">
        <v>0</v>
      </c>
      <c r="AB39" s="8">
        <v>-5</v>
      </c>
      <c r="AC39" s="8">
        <v>-3</v>
      </c>
      <c r="AD39" s="17" t="s">
        <v>29</v>
      </c>
      <c r="AE39" s="8">
        <f>VLOOKUP(Master2017[[#This Row],[Elevated Priority]],Epriority,2,)</f>
        <v>0</v>
      </c>
      <c r="AF39" s="8">
        <f>IF(Master2017[[#This Row],[Status]]="Active",Master2017[[#This Row],[Status_Score]],IF(C39="","",Q39+G39+S39+U39+AE39-5))</f>
        <v>32</v>
      </c>
      <c r="AG39" s="8"/>
      <c r="AH39" s="8">
        <v>2020</v>
      </c>
      <c r="AI39" s="8">
        <v>2023</v>
      </c>
      <c r="AJ39" s="10"/>
    </row>
    <row r="40" spans="1:63" ht="30" x14ac:dyDescent="0.25">
      <c r="A40" s="103">
        <f t="shared" si="4"/>
        <v>34</v>
      </c>
      <c r="B40" s="10" t="s">
        <v>94</v>
      </c>
      <c r="C40" s="23" t="s">
        <v>267</v>
      </c>
      <c r="D40" s="10" t="s">
        <v>268</v>
      </c>
      <c r="E40" s="10" t="s">
        <v>269</v>
      </c>
      <c r="F40" s="10" t="s">
        <v>29</v>
      </c>
      <c r="G40" s="10">
        <f t="shared" si="0"/>
        <v>0</v>
      </c>
      <c r="H40" s="49"/>
      <c r="I40" s="49"/>
      <c r="J40" s="49">
        <f>Master2017[[#This Row],[Initial Budget]]-Master2017[[#This Row],[Previously Committed Funds]]</f>
        <v>0</v>
      </c>
      <c r="K40" s="49"/>
      <c r="L40" s="49"/>
      <c r="M40" s="97">
        <f>Master2017[[#This Row],[Design $ (Add/Deduct)]]+Master2017[[#This Row],[Construction $ (Add/Ded)]]</f>
        <v>0</v>
      </c>
      <c r="N40" s="32">
        <v>850000</v>
      </c>
      <c r="O40" s="8">
        <v>2018</v>
      </c>
      <c r="P40" s="10" t="s">
        <v>36</v>
      </c>
      <c r="Q40" s="8">
        <f t="shared" si="5"/>
        <v>10</v>
      </c>
      <c r="R40" s="8">
        <v>14</v>
      </c>
      <c r="S40" s="8">
        <f t="shared" si="6"/>
        <v>23</v>
      </c>
      <c r="T40" s="8" t="s">
        <v>41</v>
      </c>
      <c r="U40" s="8">
        <f t="shared" si="7"/>
        <v>4</v>
      </c>
      <c r="V40" s="8" t="s">
        <v>30</v>
      </c>
      <c r="W40" s="8">
        <v>0</v>
      </c>
      <c r="X40" s="8">
        <v>0</v>
      </c>
      <c r="Y40" s="8">
        <v>0</v>
      </c>
      <c r="Z40" s="8">
        <v>0</v>
      </c>
      <c r="AA40" s="8">
        <v>0</v>
      </c>
      <c r="AB40" s="8">
        <v>0</v>
      </c>
      <c r="AC40" s="8">
        <v>0</v>
      </c>
      <c r="AD40" s="17" t="s">
        <v>29</v>
      </c>
      <c r="AE40" s="8">
        <f>VLOOKUP(Master2017[[#This Row],[Elevated Priority]],Epriority,2,)</f>
        <v>0</v>
      </c>
      <c r="AF40" s="8">
        <f>IF(Master2017[[#This Row],[Status]]="Active",Master2017[[#This Row],[Status_Score]],IF(C40="","",Q40+G40+S40+U40+AE40-5))</f>
        <v>32</v>
      </c>
      <c r="AG40" s="8"/>
      <c r="AH40" s="8">
        <v>2021</v>
      </c>
      <c r="AI40" s="8">
        <v>2022</v>
      </c>
      <c r="AJ40" s="10"/>
    </row>
    <row r="41" spans="1:63" ht="45" x14ac:dyDescent="0.25">
      <c r="A41" s="103">
        <f t="shared" si="4"/>
        <v>35</v>
      </c>
      <c r="B41" s="10" t="s">
        <v>91</v>
      </c>
      <c r="C41" s="10" t="s">
        <v>242</v>
      </c>
      <c r="D41" s="23" t="s">
        <v>243</v>
      </c>
      <c r="E41" s="23" t="s">
        <v>244</v>
      </c>
      <c r="F41" s="10" t="s">
        <v>29</v>
      </c>
      <c r="G41" s="10">
        <f t="shared" si="0"/>
        <v>0</v>
      </c>
      <c r="H41" s="49"/>
      <c r="I41" s="49"/>
      <c r="J41" s="49">
        <f>Master2017[[#This Row],[Initial Budget]]-Master2017[[#This Row],[Previously Committed Funds]]</f>
        <v>0</v>
      </c>
      <c r="K41" s="49"/>
      <c r="L41" s="49"/>
      <c r="M41" s="97">
        <f>Master2017[[#This Row],[Design $ (Add/Deduct)]]+Master2017[[#This Row],[Construction $ (Add/Ded)]]</f>
        <v>0</v>
      </c>
      <c r="N41" s="32">
        <v>350000</v>
      </c>
      <c r="O41" s="8">
        <v>2018</v>
      </c>
      <c r="P41" s="10" t="s">
        <v>36</v>
      </c>
      <c r="Q41" s="8">
        <f t="shared" si="5"/>
        <v>10</v>
      </c>
      <c r="R41" s="8">
        <v>4</v>
      </c>
      <c r="S41" s="8">
        <f t="shared" si="6"/>
        <v>12</v>
      </c>
      <c r="T41" s="8" t="s">
        <v>43</v>
      </c>
      <c r="U41" s="8">
        <f t="shared" si="7"/>
        <v>16</v>
      </c>
      <c r="V41" s="8" t="s">
        <v>30</v>
      </c>
      <c r="W41" s="8">
        <v>0</v>
      </c>
      <c r="X41" s="8">
        <v>0</v>
      </c>
      <c r="Y41" s="8">
        <v>0</v>
      </c>
      <c r="Z41" s="8">
        <v>0</v>
      </c>
      <c r="AA41" s="8">
        <v>0</v>
      </c>
      <c r="AB41" s="8">
        <v>0</v>
      </c>
      <c r="AC41" s="8">
        <v>0</v>
      </c>
      <c r="AD41" s="17" t="s">
        <v>29</v>
      </c>
      <c r="AE41" s="8">
        <f>VLOOKUP(Master2017[[#This Row],[Elevated Priority]],Epriority,2,)</f>
        <v>0</v>
      </c>
      <c r="AF41" s="8">
        <f>IF(Master2017[[#This Row],[Status]]="Active",Master2017[[#This Row],[Status_Score]],IF(C41="","",Q41+G41+S41+U41+AE41-5))</f>
        <v>33</v>
      </c>
      <c r="AG41" s="8"/>
      <c r="AH41" s="8">
        <v>2022</v>
      </c>
      <c r="AI41" s="8">
        <v>2023</v>
      </c>
      <c r="AJ41" s="10"/>
    </row>
    <row r="42" spans="1:63" ht="210" x14ac:dyDescent="0.25">
      <c r="A42" s="103">
        <f t="shared" si="4"/>
        <v>36</v>
      </c>
      <c r="B42" s="10" t="s">
        <v>73</v>
      </c>
      <c r="C42" s="10" t="s">
        <v>354</v>
      </c>
      <c r="D42" s="10" t="s">
        <v>819</v>
      </c>
      <c r="E42" s="10" t="s">
        <v>818</v>
      </c>
      <c r="F42" s="10" t="s">
        <v>29</v>
      </c>
      <c r="G42" s="10">
        <f t="shared" si="0"/>
        <v>0</v>
      </c>
      <c r="H42" s="49"/>
      <c r="I42" s="49"/>
      <c r="J42" s="49">
        <f>Master2017[[#This Row],[Initial Budget]]-Master2017[[#This Row],[Previously Committed Funds]]</f>
        <v>0</v>
      </c>
      <c r="K42" s="49"/>
      <c r="L42" s="49"/>
      <c r="M42" s="97">
        <f>Master2017[[#This Row],[Design $ (Add/Deduct)]]+Master2017[[#This Row],[Construction $ (Add/Ded)]]</f>
        <v>0</v>
      </c>
      <c r="N42" s="32">
        <v>300000</v>
      </c>
      <c r="O42" s="8">
        <v>2018</v>
      </c>
      <c r="P42" s="10" t="s">
        <v>688</v>
      </c>
      <c r="Q42" s="8">
        <f t="shared" si="5"/>
        <v>20</v>
      </c>
      <c r="R42" s="8">
        <v>1</v>
      </c>
      <c r="S42" s="8">
        <f t="shared" si="6"/>
        <v>3</v>
      </c>
      <c r="T42" s="8" t="s">
        <v>43</v>
      </c>
      <c r="U42" s="8">
        <f t="shared" si="7"/>
        <v>16</v>
      </c>
      <c r="V42" s="8" t="s">
        <v>30</v>
      </c>
      <c r="W42" s="8">
        <v>0</v>
      </c>
      <c r="X42" s="8">
        <v>0</v>
      </c>
      <c r="Y42" s="8">
        <v>0</v>
      </c>
      <c r="Z42" s="8">
        <v>0</v>
      </c>
      <c r="AA42" s="8">
        <v>0</v>
      </c>
      <c r="AB42" s="8">
        <v>0</v>
      </c>
      <c r="AC42" s="8">
        <v>0</v>
      </c>
      <c r="AD42" s="17" t="s">
        <v>29</v>
      </c>
      <c r="AE42" s="8">
        <f>VLOOKUP(Master2017[[#This Row],[Elevated Priority]],Epriority,2,)</f>
        <v>0</v>
      </c>
      <c r="AF42" s="8">
        <f>IF(Master2017[[#This Row],[Status]]="Active",Master2017[[#This Row],[Status_Score]],IF(C42="","",Q42+G42+S42+U42+AE42-5))</f>
        <v>34</v>
      </c>
      <c r="AG42" s="8"/>
      <c r="AH42" s="8">
        <v>2020</v>
      </c>
      <c r="AI42" s="8">
        <v>2021</v>
      </c>
      <c r="AJ42" s="10" t="s">
        <v>934</v>
      </c>
    </row>
    <row r="43" spans="1:63" ht="30" hidden="1" x14ac:dyDescent="0.25">
      <c r="A43" s="103">
        <f t="shared" si="4"/>
        <v>37</v>
      </c>
      <c r="B43" s="10" t="s">
        <v>777</v>
      </c>
      <c r="C43" s="10" t="s">
        <v>799</v>
      </c>
      <c r="D43" s="10" t="s">
        <v>776</v>
      </c>
      <c r="E43" s="10" t="s">
        <v>800</v>
      </c>
      <c r="F43" s="10" t="s">
        <v>29</v>
      </c>
      <c r="G43" s="10">
        <f t="shared" si="0"/>
        <v>0</v>
      </c>
      <c r="H43" s="49"/>
      <c r="I43" s="49"/>
      <c r="J43" s="49">
        <f>Master2017[[#This Row],[Initial Budget]]-Master2017[[#This Row],[Previously Committed Funds]]</f>
        <v>0</v>
      </c>
      <c r="K43" s="49"/>
      <c r="L43" s="49"/>
      <c r="M43" s="97">
        <f>Master2017[[#This Row],[Design $ (Add/Deduct)]]+Master2017[[#This Row],[Construction $ (Add/Ded)]]</f>
        <v>0</v>
      </c>
      <c r="N43" s="32">
        <v>175000</v>
      </c>
      <c r="O43" s="8">
        <v>2020</v>
      </c>
      <c r="P43" s="10" t="s">
        <v>688</v>
      </c>
      <c r="Q43" s="8">
        <f t="shared" si="5"/>
        <v>20</v>
      </c>
      <c r="R43" s="8">
        <v>1</v>
      </c>
      <c r="S43" s="8">
        <f t="shared" si="6"/>
        <v>3</v>
      </c>
      <c r="T43" s="8" t="s">
        <v>37</v>
      </c>
      <c r="U43" s="8">
        <f t="shared" si="7"/>
        <v>3</v>
      </c>
      <c r="V43" s="8" t="s">
        <v>34</v>
      </c>
      <c r="W43" s="114">
        <v>0</v>
      </c>
      <c r="X43" s="8">
        <v>0</v>
      </c>
      <c r="Y43" s="8">
        <v>-3</v>
      </c>
      <c r="Z43" s="8">
        <v>0</v>
      </c>
      <c r="AA43" s="8">
        <v>0</v>
      </c>
      <c r="AB43" s="8">
        <v>0</v>
      </c>
      <c r="AC43" s="8">
        <v>-3</v>
      </c>
      <c r="AD43" s="17" t="s">
        <v>29</v>
      </c>
      <c r="AE43" s="8">
        <f>VLOOKUP(Master2017[[#This Row],[Elevated Priority]],Epriority,2,)</f>
        <v>0</v>
      </c>
      <c r="AF43" s="8">
        <f>IF(Master2017[[#This Row],[Status]]="Active",Master2017[[#This Row],[Status_Score]],IF(C43="","",Q43+G43+S43+U43+AE43-5))</f>
        <v>21</v>
      </c>
      <c r="AG43" s="8"/>
      <c r="AH43" s="8">
        <v>2020</v>
      </c>
      <c r="AI43" s="8">
        <v>2021</v>
      </c>
      <c r="AJ43" s="10" t="s">
        <v>978</v>
      </c>
    </row>
    <row r="44" spans="1:63" ht="30" hidden="1" x14ac:dyDescent="0.25">
      <c r="A44" s="103">
        <f t="shared" si="4"/>
        <v>38</v>
      </c>
      <c r="B44" s="10" t="s">
        <v>61</v>
      </c>
      <c r="C44" s="10" t="s">
        <v>217</v>
      </c>
      <c r="D44" s="10" t="s">
        <v>218</v>
      </c>
      <c r="E44" s="10" t="s">
        <v>219</v>
      </c>
      <c r="F44" s="10" t="s">
        <v>29</v>
      </c>
      <c r="G44" s="10">
        <f t="shared" si="0"/>
        <v>0</v>
      </c>
      <c r="H44" s="49"/>
      <c r="I44" s="49"/>
      <c r="J44" s="49">
        <f>Master2017[[#This Row],[Initial Budget]]-Master2017[[#This Row],[Previously Committed Funds]]</f>
        <v>0</v>
      </c>
      <c r="K44" s="49"/>
      <c r="L44" s="49"/>
      <c r="M44" s="97">
        <f>Master2017[[#This Row],[Design $ (Add/Deduct)]]+Master2017[[#This Row],[Construction $ (Add/Ded)]]</f>
        <v>0</v>
      </c>
      <c r="N44" s="32">
        <v>1500000</v>
      </c>
      <c r="O44" s="8">
        <v>2018</v>
      </c>
      <c r="P44" s="10" t="s">
        <v>36</v>
      </c>
      <c r="Q44" s="8">
        <f t="shared" si="5"/>
        <v>10</v>
      </c>
      <c r="R44" s="8">
        <v>2</v>
      </c>
      <c r="S44" s="8">
        <f t="shared" si="6"/>
        <v>6</v>
      </c>
      <c r="T44" s="8" t="s">
        <v>43</v>
      </c>
      <c r="U44" s="8">
        <f t="shared" si="7"/>
        <v>16</v>
      </c>
      <c r="V44" s="8" t="s">
        <v>34</v>
      </c>
      <c r="W44" s="114">
        <v>-2</v>
      </c>
      <c r="X44" s="8">
        <v>-5</v>
      </c>
      <c r="Y44" s="8">
        <v>0</v>
      </c>
      <c r="Z44" s="8">
        <v>0</v>
      </c>
      <c r="AA44" s="8">
        <v>0</v>
      </c>
      <c r="AB44" s="8">
        <v>-3</v>
      </c>
      <c r="AC44" s="8">
        <v>-1</v>
      </c>
      <c r="AD44" s="17" t="s">
        <v>29</v>
      </c>
      <c r="AE44" s="8">
        <f>VLOOKUP(Master2017[[#This Row],[Elevated Priority]],Epriority,2,)</f>
        <v>0</v>
      </c>
      <c r="AF44" s="8">
        <f>IF(Master2017[[#This Row],[Status]]="Active",Master2017[[#This Row],[Status_Score]],IF(C44="","",Q44+G44+S44+U44+AE44-5))</f>
        <v>27</v>
      </c>
      <c r="AG44" s="8"/>
      <c r="AH44" s="8">
        <v>2021</v>
      </c>
      <c r="AI44" s="8">
        <v>2022</v>
      </c>
      <c r="AJ44" s="10"/>
    </row>
    <row r="45" spans="1:63" ht="30" x14ac:dyDescent="0.25">
      <c r="A45" s="103">
        <f t="shared" si="4"/>
        <v>39</v>
      </c>
      <c r="B45" s="10" t="s">
        <v>732</v>
      </c>
      <c r="C45" s="10" t="s">
        <v>969</v>
      </c>
      <c r="D45" s="10" t="s">
        <v>970</v>
      </c>
      <c r="E45" s="10" t="s">
        <v>971</v>
      </c>
      <c r="F45" s="10" t="s">
        <v>29</v>
      </c>
      <c r="G45" s="105">
        <f t="shared" si="0"/>
        <v>0</v>
      </c>
      <c r="H45" s="49"/>
      <c r="I45" s="49"/>
      <c r="J45" s="49">
        <f>Master2017[[#This Row],[Initial Budget]]-Master2017[[#This Row],[Previously Committed Funds]]</f>
        <v>0</v>
      </c>
      <c r="K45" s="49"/>
      <c r="L45" s="49"/>
      <c r="M45" s="97"/>
      <c r="N45" s="32">
        <v>75000</v>
      </c>
      <c r="O45" s="8">
        <v>2018</v>
      </c>
      <c r="P45" s="10" t="s">
        <v>688</v>
      </c>
      <c r="Q45" s="8">
        <f t="shared" si="5"/>
        <v>20</v>
      </c>
      <c r="R45" s="8">
        <v>5</v>
      </c>
      <c r="S45" s="8">
        <f t="shared" si="6"/>
        <v>15</v>
      </c>
      <c r="T45" s="8" t="s">
        <v>41</v>
      </c>
      <c r="U45" s="8">
        <f t="shared" si="7"/>
        <v>4</v>
      </c>
      <c r="V45" s="8" t="s">
        <v>30</v>
      </c>
      <c r="W45" s="8">
        <v>0</v>
      </c>
      <c r="X45" s="8">
        <v>0</v>
      </c>
      <c r="Y45" s="8">
        <v>0</v>
      </c>
      <c r="Z45" s="8">
        <v>0</v>
      </c>
      <c r="AA45" s="8">
        <v>0</v>
      </c>
      <c r="AB45" s="8">
        <v>0</v>
      </c>
      <c r="AC45" s="8">
        <v>0</v>
      </c>
      <c r="AD45" s="17" t="s">
        <v>29</v>
      </c>
      <c r="AE45" s="8">
        <f>VLOOKUP(Master2017[[#This Row],[Elevated Priority]],Epriority,2,)</f>
        <v>0</v>
      </c>
      <c r="AF45" s="8">
        <f>IF(Master2017[[#This Row],[Status]]="Active",Master2017[[#This Row],[Status_Score]],IF(C45="","",Q45+G45+S45+U45+AE45-5))</f>
        <v>34</v>
      </c>
      <c r="AG45" s="8"/>
      <c r="AH45" s="8">
        <v>2020</v>
      </c>
      <c r="AI45" s="8">
        <v>2021</v>
      </c>
      <c r="AJ45" s="10"/>
    </row>
    <row r="46" spans="1:63" ht="45" x14ac:dyDescent="0.25">
      <c r="A46" s="103">
        <f t="shared" si="4"/>
        <v>40</v>
      </c>
      <c r="B46" s="10" t="s">
        <v>143</v>
      </c>
      <c r="C46" s="10" t="s">
        <v>163</v>
      </c>
      <c r="D46" s="10" t="s">
        <v>164</v>
      </c>
      <c r="E46" s="10" t="s">
        <v>165</v>
      </c>
      <c r="F46" s="10" t="s">
        <v>29</v>
      </c>
      <c r="G46" s="10">
        <f t="shared" si="0"/>
        <v>0</v>
      </c>
      <c r="H46" s="49"/>
      <c r="I46" s="49"/>
      <c r="J46" s="49">
        <f>Master2017[[#This Row],[Initial Budget]]-Master2017[[#This Row],[Previously Committed Funds]]</f>
        <v>0</v>
      </c>
      <c r="K46" s="49"/>
      <c r="L46" s="49"/>
      <c r="M46" s="97">
        <f>Master2017[[#This Row],[Design $ (Add/Deduct)]]+Master2017[[#This Row],[Construction $ (Add/Ded)]]</f>
        <v>0</v>
      </c>
      <c r="N46" s="49">
        <v>40000</v>
      </c>
      <c r="O46" s="8">
        <v>2018</v>
      </c>
      <c r="P46" s="10" t="s">
        <v>687</v>
      </c>
      <c r="Q46" s="8">
        <f t="shared" si="5"/>
        <v>30</v>
      </c>
      <c r="R46" s="17">
        <v>2</v>
      </c>
      <c r="S46" s="8">
        <f t="shared" si="6"/>
        <v>6</v>
      </c>
      <c r="T46" s="17" t="s">
        <v>41</v>
      </c>
      <c r="U46" s="8">
        <f t="shared" si="7"/>
        <v>4</v>
      </c>
      <c r="V46" s="8" t="s">
        <v>30</v>
      </c>
      <c r="W46" s="8">
        <v>0</v>
      </c>
      <c r="X46" s="8">
        <v>0</v>
      </c>
      <c r="Y46" s="8">
        <v>0</v>
      </c>
      <c r="Z46" s="8">
        <v>0</v>
      </c>
      <c r="AA46" s="8">
        <v>0</v>
      </c>
      <c r="AB46" s="8">
        <v>0</v>
      </c>
      <c r="AC46" s="8">
        <v>0</v>
      </c>
      <c r="AD46" s="17" t="s">
        <v>29</v>
      </c>
      <c r="AE46" s="8">
        <f>VLOOKUP(Master2017[[#This Row],[Elevated Priority]],Epriority,2,)</f>
        <v>0</v>
      </c>
      <c r="AF46" s="8">
        <f>IF(Master2017[[#This Row],[Status]]="Active",Master2017[[#This Row],[Status_Score]],IF(C46="","",Q46+G46+S46+U46+AE46-5))</f>
        <v>35</v>
      </c>
      <c r="AG46" s="8"/>
      <c r="AH46" s="8">
        <v>2022</v>
      </c>
      <c r="AI46" s="8">
        <v>2023</v>
      </c>
      <c r="AJ46" s="10"/>
    </row>
    <row r="47" spans="1:63" x14ac:dyDescent="0.25">
      <c r="A47" s="103">
        <f t="shared" si="4"/>
        <v>41</v>
      </c>
      <c r="B47" s="10" t="s">
        <v>94</v>
      </c>
      <c r="C47" s="10" t="s">
        <v>604</v>
      </c>
      <c r="D47" s="10" t="s">
        <v>605</v>
      </c>
      <c r="E47" s="49" t="s">
        <v>606</v>
      </c>
      <c r="F47" s="10" t="s">
        <v>29</v>
      </c>
      <c r="G47" s="10">
        <f t="shared" si="0"/>
        <v>0</v>
      </c>
      <c r="H47" s="49"/>
      <c r="I47" s="49"/>
      <c r="J47" s="49">
        <f>Master2017[[#This Row],[Initial Budget]]-Master2017[[#This Row],[Previously Committed Funds]]</f>
        <v>0</v>
      </c>
      <c r="K47" s="49"/>
      <c r="L47" s="49"/>
      <c r="M47" s="97">
        <f>Master2017[[#This Row],[Design $ (Add/Deduct)]]+Master2017[[#This Row],[Construction $ (Add/Ded)]]</f>
        <v>0</v>
      </c>
      <c r="N47" s="32">
        <v>500000</v>
      </c>
      <c r="O47" s="17">
        <v>2019</v>
      </c>
      <c r="P47" s="10" t="s">
        <v>830</v>
      </c>
      <c r="Q47" s="8">
        <f t="shared" si="5"/>
        <v>10</v>
      </c>
      <c r="R47" s="8">
        <v>18</v>
      </c>
      <c r="S47" s="8">
        <f t="shared" si="6"/>
        <v>25</v>
      </c>
      <c r="T47" s="8" t="s">
        <v>33</v>
      </c>
      <c r="U47" s="8">
        <f t="shared" si="7"/>
        <v>1</v>
      </c>
      <c r="V47" s="8" t="s">
        <v>30</v>
      </c>
      <c r="W47" s="8">
        <v>0</v>
      </c>
      <c r="X47" s="8">
        <v>0</v>
      </c>
      <c r="Y47" s="8">
        <v>0</v>
      </c>
      <c r="Z47" s="8">
        <v>0</v>
      </c>
      <c r="AA47" s="8">
        <v>0</v>
      </c>
      <c r="AB47" s="8">
        <v>0</v>
      </c>
      <c r="AC47" s="8">
        <v>0</v>
      </c>
      <c r="AD47" s="8" t="s">
        <v>29</v>
      </c>
      <c r="AE47" s="8">
        <f>VLOOKUP(Master2017[[#This Row],[Elevated Priority]],Epriority,2,)</f>
        <v>0</v>
      </c>
      <c r="AF47" s="8">
        <f>IF(Master2017[[#This Row],[Status]]="Active",Master2017[[#This Row],[Status_Score]],IF(C47="","",Q47+G47+S47+U47+AE47-5))</f>
        <v>31</v>
      </c>
      <c r="AG47" s="8"/>
      <c r="AH47" s="8">
        <v>2022</v>
      </c>
      <c r="AI47" s="8">
        <v>2023</v>
      </c>
      <c r="AJ47" s="10"/>
    </row>
    <row r="48" spans="1:63" ht="30" x14ac:dyDescent="0.25">
      <c r="A48" s="103">
        <f t="shared" si="4"/>
        <v>42</v>
      </c>
      <c r="B48" s="10" t="s">
        <v>70</v>
      </c>
      <c r="C48" s="10" t="s">
        <v>276</v>
      </c>
      <c r="D48" s="10" t="s">
        <v>951</v>
      </c>
      <c r="E48" s="10" t="s">
        <v>278</v>
      </c>
      <c r="F48" s="10" t="s">
        <v>29</v>
      </c>
      <c r="G48" s="10">
        <f t="shared" si="0"/>
        <v>0</v>
      </c>
      <c r="H48" s="49"/>
      <c r="I48" s="49"/>
      <c r="J48" s="49">
        <f>Master2017[[#This Row],[Initial Budget]]-Master2017[[#This Row],[Previously Committed Funds]]</f>
        <v>0</v>
      </c>
      <c r="K48" s="49"/>
      <c r="L48" s="49"/>
      <c r="M48" s="97">
        <f>Master2017[[#This Row],[Design $ (Add/Deduct)]]+Master2017[[#This Row],[Construction $ (Add/Ded)]]</f>
        <v>0</v>
      </c>
      <c r="N48" s="32">
        <v>10000</v>
      </c>
      <c r="O48" s="8">
        <v>2018</v>
      </c>
      <c r="P48" s="10" t="s">
        <v>687</v>
      </c>
      <c r="Q48" s="8">
        <f t="shared" si="5"/>
        <v>30</v>
      </c>
      <c r="R48" s="8">
        <v>3</v>
      </c>
      <c r="S48" s="8">
        <f t="shared" si="6"/>
        <v>9</v>
      </c>
      <c r="T48" s="8" t="s">
        <v>41</v>
      </c>
      <c r="U48" s="8">
        <f t="shared" si="7"/>
        <v>4</v>
      </c>
      <c r="V48" s="8" t="s">
        <v>30</v>
      </c>
      <c r="W48" s="8">
        <v>0</v>
      </c>
      <c r="X48" s="8">
        <v>0</v>
      </c>
      <c r="Y48" s="8">
        <v>0</v>
      </c>
      <c r="Z48" s="8">
        <v>0</v>
      </c>
      <c r="AA48" s="8">
        <v>0</v>
      </c>
      <c r="AB48" s="8">
        <v>0</v>
      </c>
      <c r="AC48" s="8">
        <v>0</v>
      </c>
      <c r="AD48" s="17" t="s">
        <v>29</v>
      </c>
      <c r="AE48" s="8">
        <f>VLOOKUP(Master2017[[#This Row],[Elevated Priority]],Epriority,2,)</f>
        <v>0</v>
      </c>
      <c r="AF48" s="8">
        <f>IF(Master2017[[#This Row],[Status]]="Active",Master2017[[#This Row],[Status_Score]],IF(C48="","",Q48+G48+S48+U48+AE48-5))</f>
        <v>38</v>
      </c>
      <c r="AG48" s="8"/>
      <c r="AH48" s="8">
        <v>2020</v>
      </c>
      <c r="AI48" s="8">
        <v>2021</v>
      </c>
      <c r="AJ48" s="10" t="s">
        <v>978</v>
      </c>
    </row>
    <row r="49" spans="1:36" ht="60" x14ac:dyDescent="0.25">
      <c r="A49" s="103">
        <f t="shared" si="4"/>
        <v>43</v>
      </c>
      <c r="B49" s="10" t="s">
        <v>61</v>
      </c>
      <c r="C49" s="10" t="s">
        <v>348</v>
      </c>
      <c r="D49" s="10" t="s">
        <v>349</v>
      </c>
      <c r="E49" s="10" t="s">
        <v>350</v>
      </c>
      <c r="F49" s="10" t="s">
        <v>29</v>
      </c>
      <c r="G49" s="10">
        <f t="shared" si="0"/>
        <v>0</v>
      </c>
      <c r="H49" s="49"/>
      <c r="I49" s="49"/>
      <c r="J49" s="49">
        <f>Master2017[[#This Row],[Initial Budget]]-Master2017[[#This Row],[Previously Committed Funds]]</f>
        <v>0</v>
      </c>
      <c r="K49" s="49"/>
      <c r="L49" s="49"/>
      <c r="M49" s="97">
        <f>Master2017[[#This Row],[Design $ (Add/Deduct)]]+Master2017[[#This Row],[Construction $ (Add/Ded)]]</f>
        <v>0</v>
      </c>
      <c r="N49" s="32">
        <v>125000</v>
      </c>
      <c r="O49" s="8">
        <v>2018</v>
      </c>
      <c r="P49" s="10" t="s">
        <v>687</v>
      </c>
      <c r="Q49" s="8">
        <f t="shared" si="5"/>
        <v>30</v>
      </c>
      <c r="R49" s="8">
        <v>3</v>
      </c>
      <c r="S49" s="8">
        <f t="shared" si="6"/>
        <v>9</v>
      </c>
      <c r="T49" s="8" t="s">
        <v>41</v>
      </c>
      <c r="U49" s="8">
        <f t="shared" si="7"/>
        <v>4</v>
      </c>
      <c r="V49" s="8" t="s">
        <v>30</v>
      </c>
      <c r="W49" s="8">
        <v>0</v>
      </c>
      <c r="X49" s="8">
        <v>0</v>
      </c>
      <c r="Y49" s="8">
        <v>0</v>
      </c>
      <c r="Z49" s="8">
        <v>0</v>
      </c>
      <c r="AA49" s="8">
        <v>0</v>
      </c>
      <c r="AB49" s="8">
        <v>0</v>
      </c>
      <c r="AC49" s="8">
        <v>0</v>
      </c>
      <c r="AD49" s="17" t="s">
        <v>29</v>
      </c>
      <c r="AE49" s="8">
        <f>VLOOKUP(Master2017[[#This Row],[Elevated Priority]],Epriority,2,)</f>
        <v>0</v>
      </c>
      <c r="AF49" s="8">
        <f>IF(Master2017[[#This Row],[Status]]="Active",Master2017[[#This Row],[Status_Score]],IF(C49="","",Q49+G49+S49+U49+AE49-5))</f>
        <v>38</v>
      </c>
      <c r="AG49" s="8"/>
      <c r="AH49" s="8">
        <v>2021</v>
      </c>
      <c r="AI49" s="8">
        <v>2022</v>
      </c>
      <c r="AJ49" s="10"/>
    </row>
    <row r="50" spans="1:36" ht="30" x14ac:dyDescent="0.25">
      <c r="A50" s="103">
        <f t="shared" si="4"/>
        <v>44</v>
      </c>
      <c r="B50" s="10" t="s">
        <v>70</v>
      </c>
      <c r="C50" s="10" t="s">
        <v>282</v>
      </c>
      <c r="D50" s="10" t="s">
        <v>283</v>
      </c>
      <c r="E50" s="10" t="s">
        <v>892</v>
      </c>
      <c r="F50" s="10" t="s">
        <v>29</v>
      </c>
      <c r="G50" s="10">
        <f t="shared" si="0"/>
        <v>0</v>
      </c>
      <c r="H50" s="49"/>
      <c r="I50" s="49"/>
      <c r="J50" s="49">
        <f>Master2017[[#This Row],[Initial Budget]]-Master2017[[#This Row],[Previously Committed Funds]]</f>
        <v>0</v>
      </c>
      <c r="K50" s="49"/>
      <c r="L50" s="49"/>
      <c r="M50" s="97">
        <f>Master2017[[#This Row],[Design $ (Add/Deduct)]]+Master2017[[#This Row],[Construction $ (Add/Ded)]]</f>
        <v>0</v>
      </c>
      <c r="N50" s="32">
        <v>60000</v>
      </c>
      <c r="O50" s="8">
        <v>2018</v>
      </c>
      <c r="P50" s="10" t="s">
        <v>687</v>
      </c>
      <c r="Q50" s="8">
        <f t="shared" si="5"/>
        <v>30</v>
      </c>
      <c r="R50" s="8">
        <v>3</v>
      </c>
      <c r="S50" s="8">
        <f t="shared" si="6"/>
        <v>9</v>
      </c>
      <c r="T50" s="8" t="s">
        <v>41</v>
      </c>
      <c r="U50" s="8">
        <f t="shared" si="7"/>
        <v>4</v>
      </c>
      <c r="V50" s="8" t="s">
        <v>30</v>
      </c>
      <c r="W50" s="8">
        <v>0</v>
      </c>
      <c r="X50" s="8">
        <v>0</v>
      </c>
      <c r="Y50" s="8">
        <v>0</v>
      </c>
      <c r="Z50" s="8">
        <v>0</v>
      </c>
      <c r="AA50" s="8">
        <v>0</v>
      </c>
      <c r="AB50" s="8">
        <v>0</v>
      </c>
      <c r="AC50" s="8">
        <v>0</v>
      </c>
      <c r="AD50" s="17" t="s">
        <v>29</v>
      </c>
      <c r="AE50" s="8">
        <f>VLOOKUP(Master2017[[#This Row],[Elevated Priority]],Epriority,2,)</f>
        <v>0</v>
      </c>
      <c r="AF50" s="8">
        <f>IF(Master2017[[#This Row],[Status]]="Active",Master2017[[#This Row],[Status_Score]],IF(C50="","",Q50+G50+S50+U50+AE50-5))</f>
        <v>38</v>
      </c>
      <c r="AG50" s="8"/>
      <c r="AH50" s="8">
        <v>2022</v>
      </c>
      <c r="AI50" s="8">
        <v>2023</v>
      </c>
      <c r="AJ50" s="10"/>
    </row>
    <row r="51" spans="1:36" ht="42" customHeight="1" x14ac:dyDescent="0.25">
      <c r="A51" s="103">
        <f t="shared" si="4"/>
        <v>45</v>
      </c>
      <c r="B51" s="10" t="s">
        <v>94</v>
      </c>
      <c r="C51" s="10" t="s">
        <v>583</v>
      </c>
      <c r="D51" s="10" t="s">
        <v>609</v>
      </c>
      <c r="E51" s="10" t="s">
        <v>879</v>
      </c>
      <c r="F51" s="10" t="s">
        <v>29</v>
      </c>
      <c r="G51" s="10">
        <f t="shared" si="0"/>
        <v>0</v>
      </c>
      <c r="H51" s="49"/>
      <c r="I51" s="49"/>
      <c r="J51" s="49">
        <f>Master2017[[#This Row],[Initial Budget]]-Master2017[[#This Row],[Previously Committed Funds]]</f>
        <v>0</v>
      </c>
      <c r="K51" s="49"/>
      <c r="L51" s="49"/>
      <c r="M51" s="97">
        <f>Master2017[[#This Row],[Design $ (Add/Deduct)]]+Master2017[[#This Row],[Construction $ (Add/Ded)]]</f>
        <v>0</v>
      </c>
      <c r="N51" s="32">
        <v>1500000</v>
      </c>
      <c r="O51" s="17">
        <v>2019</v>
      </c>
      <c r="P51" s="10" t="s">
        <v>688</v>
      </c>
      <c r="Q51" s="8">
        <f t="shared" si="5"/>
        <v>20</v>
      </c>
      <c r="R51" s="8">
        <v>9</v>
      </c>
      <c r="S51" s="8">
        <f t="shared" si="6"/>
        <v>21</v>
      </c>
      <c r="T51" s="8" t="s">
        <v>37</v>
      </c>
      <c r="U51" s="8">
        <f t="shared" si="7"/>
        <v>3</v>
      </c>
      <c r="V51" s="8" t="s">
        <v>30</v>
      </c>
      <c r="W51" s="8">
        <v>0</v>
      </c>
      <c r="X51" s="8">
        <v>0</v>
      </c>
      <c r="Y51" s="8">
        <v>0</v>
      </c>
      <c r="Z51" s="8">
        <v>0</v>
      </c>
      <c r="AA51" s="8">
        <v>0</v>
      </c>
      <c r="AB51" s="8">
        <v>0</v>
      </c>
      <c r="AC51" s="8">
        <v>0</v>
      </c>
      <c r="AD51" s="17" t="s">
        <v>29</v>
      </c>
      <c r="AE51" s="8">
        <f>VLOOKUP(Master2017[[#This Row],[Elevated Priority]],Epriority,2,)</f>
        <v>0</v>
      </c>
      <c r="AF51" s="8">
        <f>IF(Master2017[[#This Row],[Status]]="Active",Master2017[[#This Row],[Status_Score]],IF(C51="","",Q51+G51+S51+U51+AE51-5))</f>
        <v>39</v>
      </c>
      <c r="AG51" s="8"/>
      <c r="AH51" s="8">
        <v>2022</v>
      </c>
      <c r="AI51" s="8">
        <v>2023</v>
      </c>
      <c r="AJ51" s="10" t="s">
        <v>656</v>
      </c>
    </row>
    <row r="52" spans="1:36" ht="30" x14ac:dyDescent="0.25">
      <c r="A52" s="103">
        <f t="shared" si="4"/>
        <v>46</v>
      </c>
      <c r="B52" s="10" t="s">
        <v>94</v>
      </c>
      <c r="C52" s="10" t="s">
        <v>232</v>
      </c>
      <c r="D52" s="10" t="s">
        <v>233</v>
      </c>
      <c r="E52" s="10" t="s">
        <v>879</v>
      </c>
      <c r="F52" s="10" t="s">
        <v>29</v>
      </c>
      <c r="G52" s="10">
        <f t="shared" si="0"/>
        <v>0</v>
      </c>
      <c r="H52" s="49"/>
      <c r="I52" s="49"/>
      <c r="J52" s="49">
        <f>Master2017[[#This Row],[Initial Budget]]-Master2017[[#This Row],[Previously Committed Funds]]</f>
        <v>0</v>
      </c>
      <c r="K52" s="49"/>
      <c r="L52" s="49"/>
      <c r="M52" s="97">
        <f>Master2017[[#This Row],[Design $ (Add/Deduct)]]+Master2017[[#This Row],[Construction $ (Add/Ded)]]</f>
        <v>0</v>
      </c>
      <c r="N52" s="32">
        <v>1500000</v>
      </c>
      <c r="O52" s="8">
        <v>2018</v>
      </c>
      <c r="P52" s="10" t="s">
        <v>688</v>
      </c>
      <c r="Q52" s="8">
        <f t="shared" si="5"/>
        <v>20</v>
      </c>
      <c r="R52" s="8">
        <v>7</v>
      </c>
      <c r="S52" s="8">
        <f t="shared" si="6"/>
        <v>20</v>
      </c>
      <c r="T52" s="8" t="s">
        <v>41</v>
      </c>
      <c r="U52" s="8">
        <f t="shared" si="7"/>
        <v>4</v>
      </c>
      <c r="V52" s="8" t="s">
        <v>30</v>
      </c>
      <c r="W52" s="8">
        <v>0</v>
      </c>
      <c r="X52" s="8">
        <v>0</v>
      </c>
      <c r="Y52" s="8">
        <v>0</v>
      </c>
      <c r="Z52" s="8">
        <v>0</v>
      </c>
      <c r="AA52" s="8">
        <v>0</v>
      </c>
      <c r="AB52" s="8">
        <v>0</v>
      </c>
      <c r="AC52" s="8">
        <v>0</v>
      </c>
      <c r="AD52" s="17" t="s">
        <v>29</v>
      </c>
      <c r="AE52" s="8">
        <f>VLOOKUP(Master2017[[#This Row],[Elevated Priority]],Epriority,2,)</f>
        <v>0</v>
      </c>
      <c r="AF52" s="8">
        <f>IF(Master2017[[#This Row],[Status]]="Active",Master2017[[#This Row],[Status_Score]],IF(C52="","",Q52+G52+S52+U52+AE52-5))</f>
        <v>39</v>
      </c>
      <c r="AG52" s="8"/>
      <c r="AH52" s="8">
        <v>2022</v>
      </c>
      <c r="AI52" s="8">
        <v>2023</v>
      </c>
      <c r="AJ52" s="10"/>
    </row>
    <row r="53" spans="1:36" ht="30" x14ac:dyDescent="0.25">
      <c r="A53" s="103">
        <f t="shared" si="4"/>
        <v>47</v>
      </c>
      <c r="B53" s="10" t="s">
        <v>94</v>
      </c>
      <c r="C53" s="10" t="s">
        <v>234</v>
      </c>
      <c r="D53" s="10" t="s">
        <v>233</v>
      </c>
      <c r="E53" s="10" t="s">
        <v>879</v>
      </c>
      <c r="F53" s="10" t="s">
        <v>29</v>
      </c>
      <c r="G53" s="10">
        <f t="shared" si="0"/>
        <v>0</v>
      </c>
      <c r="H53" s="49"/>
      <c r="I53" s="49"/>
      <c r="J53" s="49">
        <f>Master2017[[#This Row],[Initial Budget]]-Master2017[[#This Row],[Previously Committed Funds]]</f>
        <v>0</v>
      </c>
      <c r="K53" s="49"/>
      <c r="L53" s="49"/>
      <c r="M53" s="97">
        <f>Master2017[[#This Row],[Design $ (Add/Deduct)]]+Master2017[[#This Row],[Construction $ (Add/Ded)]]</f>
        <v>0</v>
      </c>
      <c r="N53" s="32">
        <v>1500000</v>
      </c>
      <c r="O53" s="8">
        <v>2018</v>
      </c>
      <c r="P53" s="10" t="s">
        <v>688</v>
      </c>
      <c r="Q53" s="8">
        <f t="shared" si="5"/>
        <v>20</v>
      </c>
      <c r="R53" s="8">
        <v>8</v>
      </c>
      <c r="S53" s="8">
        <f t="shared" si="6"/>
        <v>20</v>
      </c>
      <c r="T53" s="8" t="s">
        <v>41</v>
      </c>
      <c r="U53" s="8">
        <f t="shared" si="7"/>
        <v>4</v>
      </c>
      <c r="V53" s="8" t="s">
        <v>30</v>
      </c>
      <c r="W53" s="8">
        <v>0</v>
      </c>
      <c r="X53" s="8">
        <v>0</v>
      </c>
      <c r="Y53" s="8">
        <v>0</v>
      </c>
      <c r="Z53" s="8">
        <v>0</v>
      </c>
      <c r="AA53" s="8">
        <v>0</v>
      </c>
      <c r="AB53" s="8">
        <v>0</v>
      </c>
      <c r="AC53" s="8">
        <v>0</v>
      </c>
      <c r="AD53" s="17" t="s">
        <v>29</v>
      </c>
      <c r="AE53" s="8">
        <f>VLOOKUP(Master2017[[#This Row],[Elevated Priority]],Epriority,2,)</f>
        <v>0</v>
      </c>
      <c r="AF53" s="8">
        <f>IF(Master2017[[#This Row],[Status]]="Active",Master2017[[#This Row],[Status_Score]],IF(C53="","",Q53+G53+S53+U53+AE53-5))</f>
        <v>39</v>
      </c>
      <c r="AG53" s="8"/>
      <c r="AH53" s="8">
        <v>2022</v>
      </c>
      <c r="AI53" s="8">
        <v>2023</v>
      </c>
      <c r="AJ53" s="10"/>
    </row>
    <row r="54" spans="1:36" ht="60" x14ac:dyDescent="0.25">
      <c r="A54" s="103">
        <f t="shared" si="4"/>
        <v>48</v>
      </c>
      <c r="B54" s="10" t="s">
        <v>299</v>
      </c>
      <c r="C54" s="10" t="s">
        <v>300</v>
      </c>
      <c r="D54" s="10" t="s">
        <v>301</v>
      </c>
      <c r="E54" s="10" t="s">
        <v>302</v>
      </c>
      <c r="F54" s="10" t="s">
        <v>29</v>
      </c>
      <c r="G54" s="10">
        <f t="shared" si="0"/>
        <v>0</v>
      </c>
      <c r="H54" s="49"/>
      <c r="I54" s="49"/>
      <c r="J54" s="49">
        <f>Master2017[[#This Row],[Initial Budget]]-Master2017[[#This Row],[Previously Committed Funds]]</f>
        <v>0</v>
      </c>
      <c r="K54" s="49"/>
      <c r="L54" s="49"/>
      <c r="M54" s="97">
        <f>Master2017[[#This Row],[Design $ (Add/Deduct)]]+Master2017[[#This Row],[Construction $ (Add/Ded)]]</f>
        <v>0</v>
      </c>
      <c r="N54" s="49">
        <v>135000</v>
      </c>
      <c r="O54" s="8">
        <v>2018</v>
      </c>
      <c r="P54" s="10" t="s">
        <v>688</v>
      </c>
      <c r="Q54" s="8">
        <f t="shared" si="5"/>
        <v>20</v>
      </c>
      <c r="R54" s="17">
        <v>2</v>
      </c>
      <c r="S54" s="8">
        <f t="shared" si="6"/>
        <v>6</v>
      </c>
      <c r="T54" s="17" t="s">
        <v>41</v>
      </c>
      <c r="U54" s="8">
        <f t="shared" si="7"/>
        <v>4</v>
      </c>
      <c r="V54" s="8" t="s">
        <v>30</v>
      </c>
      <c r="W54" s="8">
        <v>0</v>
      </c>
      <c r="X54" s="8">
        <v>0</v>
      </c>
      <c r="Y54" s="8">
        <v>0</v>
      </c>
      <c r="Z54" s="8">
        <v>0</v>
      </c>
      <c r="AA54" s="8">
        <v>0</v>
      </c>
      <c r="AB54" s="8">
        <v>0</v>
      </c>
      <c r="AC54" s="8">
        <v>0</v>
      </c>
      <c r="AD54" s="17" t="s">
        <v>833</v>
      </c>
      <c r="AE54" s="8">
        <f>VLOOKUP(Master2017[[#This Row],[Elevated Priority]],Epriority,2,)</f>
        <v>15</v>
      </c>
      <c r="AF54" s="8">
        <f>IF(Master2017[[#This Row],[Status]]="Active",Master2017[[#This Row],[Status_Score]],IF(C54="","",Q54+G54+S54+U54+AE54-5))</f>
        <v>40</v>
      </c>
      <c r="AG54" s="8"/>
      <c r="AH54" s="8">
        <v>2022</v>
      </c>
      <c r="AI54" s="8">
        <v>2023</v>
      </c>
      <c r="AJ54" s="10"/>
    </row>
    <row r="55" spans="1:36" ht="30" x14ac:dyDescent="0.25">
      <c r="A55" s="103">
        <f t="shared" si="4"/>
        <v>49</v>
      </c>
      <c r="B55" s="10" t="s">
        <v>94</v>
      </c>
      <c r="C55" s="10" t="s">
        <v>634</v>
      </c>
      <c r="D55" s="10" t="s">
        <v>172</v>
      </c>
      <c r="E55" s="10" t="s">
        <v>635</v>
      </c>
      <c r="F55" s="10" t="s">
        <v>29</v>
      </c>
      <c r="G55" s="10">
        <f t="shared" si="0"/>
        <v>0</v>
      </c>
      <c r="H55" s="49"/>
      <c r="I55" s="49"/>
      <c r="J55" s="49">
        <f>Master2017[[#This Row],[Initial Budget]]-Master2017[[#This Row],[Previously Committed Funds]]</f>
        <v>0</v>
      </c>
      <c r="K55" s="49"/>
      <c r="L55" s="49"/>
      <c r="M55" s="97">
        <f>Master2017[[#This Row],[Design $ (Add/Deduct)]]+Master2017[[#This Row],[Construction $ (Add/Ded)]]</f>
        <v>0</v>
      </c>
      <c r="N55" s="32">
        <v>50000</v>
      </c>
      <c r="O55" s="8">
        <v>2018</v>
      </c>
      <c r="P55" s="10" t="s">
        <v>688</v>
      </c>
      <c r="Q55" s="8">
        <f t="shared" si="5"/>
        <v>20</v>
      </c>
      <c r="R55" s="8">
        <v>12</v>
      </c>
      <c r="S55" s="8">
        <f t="shared" si="6"/>
        <v>22</v>
      </c>
      <c r="T55" s="8" t="s">
        <v>37</v>
      </c>
      <c r="U55" s="8">
        <f t="shared" si="7"/>
        <v>3</v>
      </c>
      <c r="V55" s="8" t="s">
        <v>30</v>
      </c>
      <c r="W55" s="8">
        <v>0</v>
      </c>
      <c r="X55" s="8">
        <v>0</v>
      </c>
      <c r="Y55" s="8">
        <v>0</v>
      </c>
      <c r="Z55" s="8">
        <v>0</v>
      </c>
      <c r="AA55" s="8">
        <v>0</v>
      </c>
      <c r="AB55" s="8">
        <v>0</v>
      </c>
      <c r="AC55" s="8">
        <v>0</v>
      </c>
      <c r="AD55" s="17" t="s">
        <v>29</v>
      </c>
      <c r="AE55" s="8">
        <f>VLOOKUP(Master2017[[#This Row],[Elevated Priority]],Epriority,2,)</f>
        <v>0</v>
      </c>
      <c r="AF55" s="8">
        <f>IF(Master2017[[#This Row],[Status]]="Active",Master2017[[#This Row],[Status_Score]],IF(C55="","",Q55+G55+S55+U55+AE55-5))</f>
        <v>40</v>
      </c>
      <c r="AG55" s="8"/>
      <c r="AH55" s="8">
        <v>2022</v>
      </c>
      <c r="AI55" s="8">
        <v>2023</v>
      </c>
      <c r="AJ55" s="10" t="s">
        <v>936</v>
      </c>
    </row>
    <row r="56" spans="1:36" ht="30" x14ac:dyDescent="0.25">
      <c r="A56" s="103">
        <f t="shared" si="4"/>
        <v>50</v>
      </c>
      <c r="B56" s="10" t="s">
        <v>79</v>
      </c>
      <c r="C56" s="10" t="s">
        <v>325</v>
      </c>
      <c r="D56" s="10" t="s">
        <v>326</v>
      </c>
      <c r="E56" s="10" t="s">
        <v>663</v>
      </c>
      <c r="F56" s="10" t="s">
        <v>29</v>
      </c>
      <c r="G56" s="10">
        <f t="shared" si="0"/>
        <v>0</v>
      </c>
      <c r="H56" s="49"/>
      <c r="I56" s="49"/>
      <c r="J56" s="49">
        <f>Master2017[[#This Row],[Initial Budget]]-Master2017[[#This Row],[Previously Committed Funds]]</f>
        <v>0</v>
      </c>
      <c r="K56" s="49"/>
      <c r="L56" s="49"/>
      <c r="M56" s="97">
        <f>Master2017[[#This Row],[Design $ (Add/Deduct)]]+Master2017[[#This Row],[Construction $ (Add/Ded)]]</f>
        <v>0</v>
      </c>
      <c r="N56" s="32">
        <v>500000</v>
      </c>
      <c r="O56" s="8">
        <v>2018</v>
      </c>
      <c r="P56" s="10" t="s">
        <v>36</v>
      </c>
      <c r="Q56" s="8">
        <f t="shared" si="5"/>
        <v>10</v>
      </c>
      <c r="R56" s="8">
        <v>8</v>
      </c>
      <c r="S56" s="8">
        <f t="shared" si="6"/>
        <v>20</v>
      </c>
      <c r="T56" s="8" t="s">
        <v>43</v>
      </c>
      <c r="U56" s="8">
        <f t="shared" si="7"/>
        <v>16</v>
      </c>
      <c r="V56" s="8" t="s">
        <v>30</v>
      </c>
      <c r="W56" s="8">
        <v>0</v>
      </c>
      <c r="X56" s="8">
        <v>0</v>
      </c>
      <c r="Y56" s="8">
        <v>0</v>
      </c>
      <c r="Z56" s="8">
        <v>0</v>
      </c>
      <c r="AA56" s="8">
        <v>0</v>
      </c>
      <c r="AB56" s="8">
        <v>0</v>
      </c>
      <c r="AC56" s="8">
        <v>0</v>
      </c>
      <c r="AD56" s="17" t="s">
        <v>29</v>
      </c>
      <c r="AE56" s="8">
        <f>VLOOKUP(Master2017[[#This Row],[Elevated Priority]],Epriority,2,)</f>
        <v>0</v>
      </c>
      <c r="AF56" s="8">
        <f>IF(Master2017[[#This Row],[Status]]="Active",Master2017[[#This Row],[Status_Score]],IF(C56="","",Q56+G56+S56+U56+AE56-5))</f>
        <v>41</v>
      </c>
      <c r="AG56" s="8"/>
      <c r="AH56" s="8">
        <v>2022</v>
      </c>
      <c r="AI56" s="8">
        <v>2023</v>
      </c>
      <c r="AJ56" s="10"/>
    </row>
    <row r="57" spans="1:36" ht="30" x14ac:dyDescent="0.25">
      <c r="A57" s="103">
        <f t="shared" si="4"/>
        <v>51</v>
      </c>
      <c r="B57" s="10" t="s">
        <v>79</v>
      </c>
      <c r="C57" s="10" t="s">
        <v>245</v>
      </c>
      <c r="D57" s="10" t="s">
        <v>246</v>
      </c>
      <c r="E57" s="10" t="s">
        <v>247</v>
      </c>
      <c r="F57" s="10" t="s">
        <v>29</v>
      </c>
      <c r="G57" s="10">
        <f t="shared" si="0"/>
        <v>0</v>
      </c>
      <c r="H57" s="49"/>
      <c r="I57" s="49"/>
      <c r="J57" s="49">
        <f>Master2017[[#This Row],[Initial Budget]]-Master2017[[#This Row],[Previously Committed Funds]]</f>
        <v>0</v>
      </c>
      <c r="K57" s="49"/>
      <c r="L57" s="49"/>
      <c r="M57" s="97">
        <f>Master2017[[#This Row],[Design $ (Add/Deduct)]]+Master2017[[#This Row],[Construction $ (Add/Ded)]]</f>
        <v>0</v>
      </c>
      <c r="N57" s="32">
        <v>20000</v>
      </c>
      <c r="O57" s="8">
        <v>2018</v>
      </c>
      <c r="P57" s="10" t="s">
        <v>687</v>
      </c>
      <c r="Q57" s="8">
        <f t="shared" ref="Q57:Q88" si="8">VLOOKUP(P57,Importance,2,FALSE)</f>
        <v>30</v>
      </c>
      <c r="R57" s="8">
        <v>4</v>
      </c>
      <c r="S57" s="8">
        <f t="shared" ref="S57:S88" si="9">VLOOKUP(R57,Department,2,FALSE)</f>
        <v>12</v>
      </c>
      <c r="T57" s="8" t="s">
        <v>41</v>
      </c>
      <c r="U57" s="8">
        <f t="shared" ref="U57:U88" si="10">VLOOKUP(T57,Urgency,2,FALSE)</f>
        <v>4</v>
      </c>
      <c r="V57" s="8" t="s">
        <v>30</v>
      </c>
      <c r="W57" s="8">
        <v>0</v>
      </c>
      <c r="X57" s="8">
        <v>0</v>
      </c>
      <c r="Y57" s="8">
        <v>0</v>
      </c>
      <c r="Z57" s="8">
        <v>0</v>
      </c>
      <c r="AA57" s="8">
        <v>0</v>
      </c>
      <c r="AB57" s="8">
        <v>0</v>
      </c>
      <c r="AC57" s="8">
        <v>0</v>
      </c>
      <c r="AD57" s="17" t="s">
        <v>29</v>
      </c>
      <c r="AE57" s="8">
        <f>VLOOKUP(Master2017[[#This Row],[Elevated Priority]],Epriority,2,)</f>
        <v>0</v>
      </c>
      <c r="AF57" s="8">
        <f>IF(Master2017[[#This Row],[Status]]="Active",Master2017[[#This Row],[Status_Score]],IF(C57="","",Q57+G57+S57+U57+AE57-5))</f>
        <v>41</v>
      </c>
      <c r="AG57" s="8"/>
      <c r="AH57" s="8">
        <v>2022</v>
      </c>
      <c r="AI57" s="8">
        <v>2023</v>
      </c>
      <c r="AJ57" s="10"/>
    </row>
    <row r="58" spans="1:36" x14ac:dyDescent="0.25">
      <c r="A58" s="103">
        <f t="shared" si="4"/>
        <v>52</v>
      </c>
      <c r="B58" s="10" t="s">
        <v>70</v>
      </c>
      <c r="C58" s="10" t="s">
        <v>291</v>
      </c>
      <c r="D58" s="10" t="s">
        <v>893</v>
      </c>
      <c r="E58" s="10" t="s">
        <v>293</v>
      </c>
      <c r="F58" s="10" t="s">
        <v>29</v>
      </c>
      <c r="G58" s="10">
        <f t="shared" si="0"/>
        <v>0</v>
      </c>
      <c r="H58" s="49"/>
      <c r="I58" s="49"/>
      <c r="J58" s="49">
        <f>Master2017[[#This Row],[Initial Budget]]-Master2017[[#This Row],[Previously Committed Funds]]</f>
        <v>0</v>
      </c>
      <c r="K58" s="49"/>
      <c r="L58" s="49"/>
      <c r="M58" s="97">
        <f>Master2017[[#This Row],[Design $ (Add/Deduct)]]+Master2017[[#This Row],[Construction $ (Add/Ded)]]</f>
        <v>0</v>
      </c>
      <c r="N58" s="32">
        <v>5000</v>
      </c>
      <c r="O58" s="8">
        <v>2018</v>
      </c>
      <c r="P58" s="10" t="s">
        <v>687</v>
      </c>
      <c r="Q58" s="8">
        <f t="shared" si="8"/>
        <v>30</v>
      </c>
      <c r="R58" s="8">
        <v>4</v>
      </c>
      <c r="S58" s="8">
        <f t="shared" si="9"/>
        <v>12</v>
      </c>
      <c r="T58" s="8" t="s">
        <v>41</v>
      </c>
      <c r="U58" s="8">
        <f t="shared" si="10"/>
        <v>4</v>
      </c>
      <c r="V58" s="8" t="s">
        <v>30</v>
      </c>
      <c r="W58" s="8">
        <v>0</v>
      </c>
      <c r="X58" s="8">
        <v>0</v>
      </c>
      <c r="Y58" s="8">
        <v>0</v>
      </c>
      <c r="Z58" s="8">
        <v>0</v>
      </c>
      <c r="AA58" s="8">
        <v>0</v>
      </c>
      <c r="AB58" s="8">
        <v>0</v>
      </c>
      <c r="AC58" s="8">
        <v>0</v>
      </c>
      <c r="AD58" s="17" t="s">
        <v>29</v>
      </c>
      <c r="AE58" s="8">
        <f>VLOOKUP(Master2017[[#This Row],[Elevated Priority]],Epriority,2,)</f>
        <v>0</v>
      </c>
      <c r="AF58" s="8">
        <f>IF(Master2017[[#This Row],[Status]]="Active",Master2017[[#This Row],[Status_Score]],IF(C58="","",Q58+G58+S58+U58+AE58-5))</f>
        <v>41</v>
      </c>
      <c r="AG58" s="8"/>
      <c r="AH58" s="8">
        <v>2022</v>
      </c>
      <c r="AI58" s="8">
        <v>2023</v>
      </c>
      <c r="AJ58" s="10"/>
    </row>
    <row r="59" spans="1:36" ht="75" hidden="1" x14ac:dyDescent="0.25">
      <c r="A59" s="103">
        <f t="shared" si="4"/>
        <v>53</v>
      </c>
      <c r="B59" s="10" t="s">
        <v>65</v>
      </c>
      <c r="C59" s="10" t="s">
        <v>191</v>
      </c>
      <c r="D59" s="10" t="s">
        <v>192</v>
      </c>
      <c r="E59" s="10" t="s">
        <v>193</v>
      </c>
      <c r="F59" s="10" t="s">
        <v>29</v>
      </c>
      <c r="G59" s="10">
        <f t="shared" si="0"/>
        <v>0</v>
      </c>
      <c r="H59" s="49"/>
      <c r="I59" s="49"/>
      <c r="J59" s="49">
        <f>Master2017[[#This Row],[Initial Budget]]-Master2017[[#This Row],[Previously Committed Funds]]</f>
        <v>0</v>
      </c>
      <c r="K59" s="49"/>
      <c r="L59" s="49"/>
      <c r="M59" s="97">
        <f>Master2017[[#This Row],[Design $ (Add/Deduct)]]+Master2017[[#This Row],[Construction $ (Add/Ded)]]</f>
        <v>0</v>
      </c>
      <c r="N59" s="32">
        <v>800000</v>
      </c>
      <c r="O59" s="8">
        <v>2018</v>
      </c>
      <c r="P59" s="10" t="s">
        <v>36</v>
      </c>
      <c r="Q59" s="8">
        <f t="shared" si="8"/>
        <v>10</v>
      </c>
      <c r="R59" s="8">
        <v>4</v>
      </c>
      <c r="S59" s="8">
        <f t="shared" si="9"/>
        <v>12</v>
      </c>
      <c r="T59" s="8" t="s">
        <v>43</v>
      </c>
      <c r="U59" s="8">
        <f t="shared" si="10"/>
        <v>16</v>
      </c>
      <c r="V59" s="8" t="s">
        <v>34</v>
      </c>
      <c r="W59" s="114">
        <v>0</v>
      </c>
      <c r="X59" s="8">
        <v>0</v>
      </c>
      <c r="Y59" s="8">
        <v>0</v>
      </c>
      <c r="Z59" s="8">
        <v>0</v>
      </c>
      <c r="AA59" s="8">
        <v>0</v>
      </c>
      <c r="AB59" s="8">
        <v>0</v>
      </c>
      <c r="AC59" s="8">
        <v>-1</v>
      </c>
      <c r="AD59" s="17" t="s">
        <v>29</v>
      </c>
      <c r="AE59" s="8">
        <f>VLOOKUP(Master2017[[#This Row],[Elevated Priority]],Epriority,2,)</f>
        <v>0</v>
      </c>
      <c r="AF59" s="8">
        <f>IF(Master2017[[#This Row],[Status]]="Active",Master2017[[#This Row],[Status_Score]],IF(C59="","",Q59+G59+S59+U59+AE59-5))</f>
        <v>33</v>
      </c>
      <c r="AG59" s="8"/>
      <c r="AH59" s="8"/>
      <c r="AI59" s="8"/>
      <c r="AJ59" s="10"/>
    </row>
    <row r="60" spans="1:36" ht="45" hidden="1" x14ac:dyDescent="0.25">
      <c r="A60" s="103">
        <f t="shared" si="4"/>
        <v>54</v>
      </c>
      <c r="B60" s="10" t="s">
        <v>79</v>
      </c>
      <c r="C60" s="10" t="s">
        <v>780</v>
      </c>
      <c r="D60" s="10" t="s">
        <v>311</v>
      </c>
      <c r="E60" s="10" t="s">
        <v>312</v>
      </c>
      <c r="F60" s="10" t="s">
        <v>29</v>
      </c>
      <c r="G60" s="10">
        <f t="shared" si="0"/>
        <v>0</v>
      </c>
      <c r="H60" s="49"/>
      <c r="I60" s="49"/>
      <c r="J60" s="49">
        <f>Master2017[[#This Row],[Initial Budget]]-Master2017[[#This Row],[Previously Committed Funds]]</f>
        <v>0</v>
      </c>
      <c r="K60" s="49"/>
      <c r="L60" s="49"/>
      <c r="M60" s="97">
        <f>Master2017[[#This Row],[Design $ (Add/Deduct)]]+Master2017[[#This Row],[Construction $ (Add/Ded)]]</f>
        <v>0</v>
      </c>
      <c r="N60" s="32">
        <v>250000</v>
      </c>
      <c r="O60" s="8">
        <v>2018</v>
      </c>
      <c r="P60" s="10" t="s">
        <v>36</v>
      </c>
      <c r="Q60" s="8">
        <f t="shared" si="8"/>
        <v>10</v>
      </c>
      <c r="R60" s="8">
        <v>5</v>
      </c>
      <c r="S60" s="8">
        <f t="shared" si="9"/>
        <v>15</v>
      </c>
      <c r="T60" s="8" t="s">
        <v>43</v>
      </c>
      <c r="U60" s="8">
        <f t="shared" si="10"/>
        <v>16</v>
      </c>
      <c r="V60" s="8" t="s">
        <v>34</v>
      </c>
      <c r="W60" s="114">
        <v>0</v>
      </c>
      <c r="X60" s="8">
        <v>0</v>
      </c>
      <c r="Y60" s="8">
        <v>0</v>
      </c>
      <c r="Z60" s="8">
        <v>0</v>
      </c>
      <c r="AA60" s="8">
        <v>0</v>
      </c>
      <c r="AB60" s="8">
        <v>0</v>
      </c>
      <c r="AC60" s="8">
        <v>-3</v>
      </c>
      <c r="AD60" s="17" t="s">
        <v>29</v>
      </c>
      <c r="AE60" s="8">
        <f>VLOOKUP(Master2017[[#This Row],[Elevated Priority]],Epriority,2,)</f>
        <v>0</v>
      </c>
      <c r="AF60" s="8">
        <f>IF(Master2017[[#This Row],[Status]]="Active",Master2017[[#This Row],[Status_Score]],IF(C60="","",Q60+G60+S60+U60+AE60-5))</f>
        <v>36</v>
      </c>
      <c r="AG60" s="8"/>
      <c r="AH60" s="8">
        <v>2022</v>
      </c>
      <c r="AI60" s="8">
        <v>2023</v>
      </c>
      <c r="AJ60" s="10"/>
    </row>
    <row r="61" spans="1:36" ht="30" x14ac:dyDescent="0.25">
      <c r="A61" s="103">
        <f t="shared" si="4"/>
        <v>55</v>
      </c>
      <c r="B61" s="10" t="s">
        <v>94</v>
      </c>
      <c r="C61" s="10" t="s">
        <v>897</v>
      </c>
      <c r="D61" s="10" t="s">
        <v>608</v>
      </c>
      <c r="E61" s="10" t="s">
        <v>879</v>
      </c>
      <c r="F61" s="10" t="s">
        <v>29</v>
      </c>
      <c r="G61" s="10">
        <f t="shared" si="0"/>
        <v>0</v>
      </c>
      <c r="H61" s="49"/>
      <c r="I61" s="49"/>
      <c r="J61" s="49">
        <f>Master2017[[#This Row],[Initial Budget]]-Master2017[[#This Row],[Previously Committed Funds]]</f>
        <v>0</v>
      </c>
      <c r="K61" s="49"/>
      <c r="L61" s="49"/>
      <c r="M61" s="97">
        <f>Master2017[[#This Row],[Design $ (Add/Deduct)]]+Master2017[[#This Row],[Construction $ (Add/Ded)]]</f>
        <v>0</v>
      </c>
      <c r="N61" s="32">
        <v>250000</v>
      </c>
      <c r="O61" s="17">
        <v>2019</v>
      </c>
      <c r="P61" s="10" t="s">
        <v>688</v>
      </c>
      <c r="Q61" s="8">
        <f t="shared" si="8"/>
        <v>20</v>
      </c>
      <c r="R61" s="8">
        <v>22</v>
      </c>
      <c r="S61" s="8">
        <f t="shared" si="9"/>
        <v>27</v>
      </c>
      <c r="T61" s="8" t="s">
        <v>33</v>
      </c>
      <c r="U61" s="8">
        <f t="shared" si="10"/>
        <v>1</v>
      </c>
      <c r="V61" s="8" t="s">
        <v>30</v>
      </c>
      <c r="W61" s="8">
        <v>0</v>
      </c>
      <c r="X61" s="8">
        <v>0</v>
      </c>
      <c r="Y61" s="8">
        <v>0</v>
      </c>
      <c r="Z61" s="8">
        <v>0</v>
      </c>
      <c r="AA61" s="8">
        <v>0</v>
      </c>
      <c r="AB61" s="8">
        <v>0</v>
      </c>
      <c r="AC61" s="8">
        <v>0</v>
      </c>
      <c r="AD61" s="8" t="s">
        <v>29</v>
      </c>
      <c r="AE61" s="8">
        <f>VLOOKUP(Master2017[[#This Row],[Elevated Priority]],Epriority,2,)</f>
        <v>0</v>
      </c>
      <c r="AF61" s="8">
        <f>IF(Master2017[[#This Row],[Status]]="Active",Master2017[[#This Row],[Status_Score]],IF(C61="","",Q61+G61+S61+U61+AE61-5))</f>
        <v>43</v>
      </c>
      <c r="AG61" s="8"/>
      <c r="AH61" s="8">
        <v>2022</v>
      </c>
      <c r="AI61" s="8">
        <v>2022</v>
      </c>
      <c r="AJ61" s="10"/>
    </row>
    <row r="62" spans="1:36" ht="45" hidden="1" x14ac:dyDescent="0.25">
      <c r="A62" s="103">
        <f t="shared" si="4"/>
        <v>56</v>
      </c>
      <c r="B62" s="10" t="s">
        <v>70</v>
      </c>
      <c r="C62" s="10" t="s">
        <v>821</v>
      </c>
      <c r="D62" s="10" t="s">
        <v>822</v>
      </c>
      <c r="E62" s="10" t="s">
        <v>823</v>
      </c>
      <c r="F62" s="10" t="s">
        <v>29</v>
      </c>
      <c r="G62" s="10">
        <f t="shared" si="0"/>
        <v>0</v>
      </c>
      <c r="H62" s="49"/>
      <c r="I62" s="49"/>
      <c r="J62" s="49">
        <f>Master2017[[#This Row],[Initial Budget]]-Master2017[[#This Row],[Previously Committed Funds]]</f>
        <v>0</v>
      </c>
      <c r="K62" s="49"/>
      <c r="L62" s="49"/>
      <c r="M62" s="97">
        <f>Master2017[[#This Row],[Design $ (Add/Deduct)]]+Master2017[[#This Row],[Construction $ (Add/Ded)]]</f>
        <v>0</v>
      </c>
      <c r="N62" s="32">
        <v>200000</v>
      </c>
      <c r="O62" s="8">
        <v>2018</v>
      </c>
      <c r="P62" s="10" t="s">
        <v>688</v>
      </c>
      <c r="Q62" s="8">
        <f t="shared" si="8"/>
        <v>20</v>
      </c>
      <c r="R62" s="8">
        <v>3</v>
      </c>
      <c r="S62" s="8">
        <f t="shared" si="9"/>
        <v>9</v>
      </c>
      <c r="T62" s="8" t="s">
        <v>43</v>
      </c>
      <c r="U62" s="8">
        <f t="shared" si="10"/>
        <v>16</v>
      </c>
      <c r="V62" s="8" t="s">
        <v>34</v>
      </c>
      <c r="W62" s="114">
        <v>0</v>
      </c>
      <c r="X62" s="8">
        <v>0</v>
      </c>
      <c r="Y62" s="8">
        <v>-3</v>
      </c>
      <c r="Z62" s="8">
        <v>0</v>
      </c>
      <c r="AA62" s="8">
        <v>0</v>
      </c>
      <c r="AB62" s="8">
        <v>0</v>
      </c>
      <c r="AC62" s="8">
        <v>-3</v>
      </c>
      <c r="AD62" s="17" t="s">
        <v>29</v>
      </c>
      <c r="AE62" s="8">
        <f>VLOOKUP(Master2017[[#This Row],[Elevated Priority]],Epriority,2,)</f>
        <v>0</v>
      </c>
      <c r="AF62" s="8">
        <f>IF(Master2017[[#This Row],[Status]]="Active",Master2017[[#This Row],[Status_Score]],IF(C62="","",Q62+G62+S62+U62+AE62-5))</f>
        <v>40</v>
      </c>
      <c r="AG62" s="8"/>
      <c r="AH62" s="8">
        <v>2021</v>
      </c>
      <c r="AI62" s="8">
        <v>2022</v>
      </c>
      <c r="AJ62" s="10"/>
    </row>
    <row r="63" spans="1:36" ht="30" x14ac:dyDescent="0.25">
      <c r="A63" s="103">
        <f t="shared" si="4"/>
        <v>57</v>
      </c>
      <c r="B63" s="10" t="s">
        <v>79</v>
      </c>
      <c r="C63" s="10" t="s">
        <v>981</v>
      </c>
      <c r="D63" s="10" t="s">
        <v>471</v>
      </c>
      <c r="E63" s="10" t="s">
        <v>472</v>
      </c>
      <c r="F63" s="10" t="s">
        <v>29</v>
      </c>
      <c r="G63" s="10">
        <f t="shared" si="0"/>
        <v>0</v>
      </c>
      <c r="H63" s="49"/>
      <c r="I63" s="49"/>
      <c r="J63" s="49">
        <f>Master2017[[#This Row],[Initial Budget]]-Master2017[[#This Row],[Previously Committed Funds]]</f>
        <v>0</v>
      </c>
      <c r="K63" s="49"/>
      <c r="L63" s="49"/>
      <c r="M63" s="97">
        <f>Master2017[[#This Row],[Design $ (Add/Deduct)]]+Master2017[[#This Row],[Construction $ (Add/Ded)]]</f>
        <v>0</v>
      </c>
      <c r="N63" s="32">
        <v>150000</v>
      </c>
      <c r="O63" s="8">
        <v>2018</v>
      </c>
      <c r="P63" s="10" t="s">
        <v>36</v>
      </c>
      <c r="Q63" s="8">
        <f t="shared" si="8"/>
        <v>10</v>
      </c>
      <c r="R63" s="8">
        <v>12</v>
      </c>
      <c r="S63" s="8">
        <f t="shared" si="9"/>
        <v>22</v>
      </c>
      <c r="T63" s="8" t="s">
        <v>43</v>
      </c>
      <c r="U63" s="8">
        <f t="shared" si="10"/>
        <v>16</v>
      </c>
      <c r="V63" s="8" t="s">
        <v>30</v>
      </c>
      <c r="W63" s="8">
        <v>0</v>
      </c>
      <c r="X63" s="8">
        <v>0</v>
      </c>
      <c r="Y63" s="8">
        <v>0</v>
      </c>
      <c r="Z63" s="8">
        <v>0</v>
      </c>
      <c r="AA63" s="8">
        <v>0</v>
      </c>
      <c r="AB63" s="8">
        <v>0</v>
      </c>
      <c r="AC63" s="8">
        <v>0</v>
      </c>
      <c r="AD63" s="17" t="s">
        <v>29</v>
      </c>
      <c r="AE63" s="8">
        <f>VLOOKUP(Master2017[[#This Row],[Elevated Priority]],Epriority,2,)</f>
        <v>0</v>
      </c>
      <c r="AF63" s="8">
        <f>IF(Master2017[[#This Row],[Status]]="Active",Master2017[[#This Row],[Status_Score]],IF(C63="","",Q63+G63+S63+U63+AE63-5))</f>
        <v>43</v>
      </c>
      <c r="AG63" s="8"/>
      <c r="AH63" s="8">
        <v>2020</v>
      </c>
      <c r="AI63" s="8">
        <v>2021</v>
      </c>
      <c r="AJ63" s="10"/>
    </row>
    <row r="64" spans="1:36" ht="45" x14ac:dyDescent="0.25">
      <c r="A64" s="103">
        <f t="shared" si="4"/>
        <v>58</v>
      </c>
      <c r="B64" s="10" t="s">
        <v>61</v>
      </c>
      <c r="C64" s="10" t="s">
        <v>895</v>
      </c>
      <c r="D64" s="10" t="s">
        <v>896</v>
      </c>
      <c r="E64" s="10" t="s">
        <v>371</v>
      </c>
      <c r="F64" s="10" t="s">
        <v>29</v>
      </c>
      <c r="G64" s="10">
        <f t="shared" si="0"/>
        <v>0</v>
      </c>
      <c r="H64" s="49"/>
      <c r="I64" s="49"/>
      <c r="J64" s="49">
        <f>Master2017[[#This Row],[Initial Budget]]-Master2017[[#This Row],[Previously Committed Funds]]</f>
        <v>0</v>
      </c>
      <c r="K64" s="49"/>
      <c r="L64" s="49"/>
      <c r="M64" s="97">
        <f>Master2017[[#This Row],[Design $ (Add/Deduct)]]+Master2017[[#This Row],[Construction $ (Add/Ded)]]</f>
        <v>0</v>
      </c>
      <c r="N64" s="32">
        <v>250000</v>
      </c>
      <c r="O64" s="8">
        <v>2018</v>
      </c>
      <c r="P64" s="10" t="s">
        <v>687</v>
      </c>
      <c r="Q64" s="8">
        <f t="shared" si="8"/>
        <v>30</v>
      </c>
      <c r="R64" s="8">
        <v>1</v>
      </c>
      <c r="S64" s="8">
        <f t="shared" si="9"/>
        <v>3</v>
      </c>
      <c r="T64" s="8" t="s">
        <v>43</v>
      </c>
      <c r="U64" s="8">
        <f t="shared" si="10"/>
        <v>16</v>
      </c>
      <c r="V64" s="8" t="s">
        <v>30</v>
      </c>
      <c r="W64" s="8">
        <v>0</v>
      </c>
      <c r="X64" s="8">
        <v>0</v>
      </c>
      <c r="Y64" s="8">
        <v>0</v>
      </c>
      <c r="Z64" s="8">
        <v>0</v>
      </c>
      <c r="AA64" s="8">
        <v>0</v>
      </c>
      <c r="AB64" s="8">
        <v>0</v>
      </c>
      <c r="AC64" s="8">
        <v>0</v>
      </c>
      <c r="AD64" s="17" t="s">
        <v>29</v>
      </c>
      <c r="AE64" s="8">
        <f>VLOOKUP(Master2017[[#This Row],[Elevated Priority]],Epriority,2,)</f>
        <v>0</v>
      </c>
      <c r="AF64" s="8">
        <f>IF(Master2017[[#This Row],[Status]]="Active",Master2017[[#This Row],[Status_Score]],IF(C64="","",Q64+G64+S64+U64+AE64-5))</f>
        <v>44</v>
      </c>
      <c r="AG64" s="8"/>
      <c r="AH64" s="8">
        <v>2023</v>
      </c>
      <c r="AI64" s="8">
        <v>2024</v>
      </c>
      <c r="AJ64" s="10"/>
    </row>
    <row r="65" spans="1:36" ht="30" hidden="1" x14ac:dyDescent="0.25">
      <c r="A65" s="103">
        <f t="shared" si="4"/>
        <v>59</v>
      </c>
      <c r="B65" s="10" t="s">
        <v>67</v>
      </c>
      <c r="C65" s="10" t="s">
        <v>205</v>
      </c>
      <c r="D65" s="10" t="s">
        <v>206</v>
      </c>
      <c r="E65" s="10" t="s">
        <v>207</v>
      </c>
      <c r="F65" s="10" t="s">
        <v>29</v>
      </c>
      <c r="G65" s="10">
        <f t="shared" si="0"/>
        <v>0</v>
      </c>
      <c r="H65" s="49"/>
      <c r="I65" s="49"/>
      <c r="J65" s="49">
        <f>Master2017[[#This Row],[Initial Budget]]-Master2017[[#This Row],[Previously Committed Funds]]</f>
        <v>0</v>
      </c>
      <c r="K65" s="49"/>
      <c r="L65" s="49"/>
      <c r="M65" s="97">
        <f>Master2017[[#This Row],[Design $ (Add/Deduct)]]+Master2017[[#This Row],[Construction $ (Add/Ded)]]</f>
        <v>0</v>
      </c>
      <c r="N65" s="32">
        <v>2000000</v>
      </c>
      <c r="O65" s="8">
        <v>2018</v>
      </c>
      <c r="P65" s="10" t="s">
        <v>687</v>
      </c>
      <c r="Q65" s="8">
        <f t="shared" si="8"/>
        <v>30</v>
      </c>
      <c r="R65" s="8">
        <v>2</v>
      </c>
      <c r="S65" s="8">
        <f t="shared" si="9"/>
        <v>6</v>
      </c>
      <c r="T65" s="8" t="s">
        <v>41</v>
      </c>
      <c r="U65" s="8">
        <f t="shared" si="10"/>
        <v>4</v>
      </c>
      <c r="V65" s="8" t="s">
        <v>34</v>
      </c>
      <c r="W65" s="114">
        <v>0</v>
      </c>
      <c r="X65" s="8">
        <v>0</v>
      </c>
      <c r="Y65" s="8">
        <v>0</v>
      </c>
      <c r="Z65" s="8">
        <v>0</v>
      </c>
      <c r="AA65" s="8">
        <v>0</v>
      </c>
      <c r="AB65" s="8">
        <v>0</v>
      </c>
      <c r="AC65" s="8">
        <v>0</v>
      </c>
      <c r="AD65" s="17" t="s">
        <v>29</v>
      </c>
      <c r="AE65" s="8">
        <f>VLOOKUP(Master2017[[#This Row],[Elevated Priority]],Epriority,2,)</f>
        <v>0</v>
      </c>
      <c r="AF65" s="8">
        <f>IF(Master2017[[#This Row],[Status]]="Active",Master2017[[#This Row],[Status_Score]],IF(C65="","",Q65+G65+S65+U65+AE65-5))</f>
        <v>35</v>
      </c>
      <c r="AG65" s="8"/>
      <c r="AH65" s="8">
        <v>2021</v>
      </c>
      <c r="AI65" s="8">
        <v>2022</v>
      </c>
      <c r="AJ65" s="10"/>
    </row>
    <row r="66" spans="1:36" ht="45" x14ac:dyDescent="0.25">
      <c r="A66" s="103">
        <f t="shared" si="4"/>
        <v>60</v>
      </c>
      <c r="B66" s="10" t="s">
        <v>65</v>
      </c>
      <c r="C66" s="10" t="s">
        <v>966</v>
      </c>
      <c r="D66" s="10" t="s">
        <v>967</v>
      </c>
      <c r="E66" s="10" t="s">
        <v>968</v>
      </c>
      <c r="F66" s="10" t="s">
        <v>29</v>
      </c>
      <c r="G66" s="105">
        <f t="shared" ref="G66:G129" si="11">VLOOKUP(F66,Status_Score,2,FALSE)</f>
        <v>0</v>
      </c>
      <c r="H66" s="49"/>
      <c r="I66" s="49"/>
      <c r="J66" s="49">
        <f>Master2017[[#This Row],[Initial Budget]]-Master2017[[#This Row],[Previously Committed Funds]]</f>
        <v>0</v>
      </c>
      <c r="K66" s="49"/>
      <c r="L66" s="49"/>
      <c r="M66" s="97">
        <f>Master2017[[#This Row],[Design $ (Add/Deduct)]]+Master2017[[#This Row],[Construction $ (Add/Ded)]]</f>
        <v>0</v>
      </c>
      <c r="N66" s="135">
        <v>350000</v>
      </c>
      <c r="O66" s="8">
        <v>2020</v>
      </c>
      <c r="P66" s="10" t="s">
        <v>688</v>
      </c>
      <c r="Q66" s="8">
        <f t="shared" si="8"/>
        <v>20</v>
      </c>
      <c r="R66" s="8">
        <v>5</v>
      </c>
      <c r="S66" s="8">
        <f t="shared" si="9"/>
        <v>15</v>
      </c>
      <c r="T66" s="17" t="s">
        <v>43</v>
      </c>
      <c r="U66" s="8">
        <f t="shared" si="10"/>
        <v>16</v>
      </c>
      <c r="V66" s="8" t="s">
        <v>30</v>
      </c>
      <c r="W66" s="8">
        <v>0</v>
      </c>
      <c r="X66" s="8">
        <v>0</v>
      </c>
      <c r="Y66" s="8">
        <v>0</v>
      </c>
      <c r="Z66" s="8">
        <v>0</v>
      </c>
      <c r="AA66" s="8">
        <v>0</v>
      </c>
      <c r="AB66" s="8">
        <v>0</v>
      </c>
      <c r="AC66" s="8">
        <v>0</v>
      </c>
      <c r="AD66" s="17" t="s">
        <v>29</v>
      </c>
      <c r="AE66" s="8">
        <f>VLOOKUP(Master2017[[#This Row],[Elevated Priority]],Epriority,2,)</f>
        <v>0</v>
      </c>
      <c r="AF66" s="8">
        <f>IF(Master2017[[#This Row],[Status]]="Active",Master2017[[#This Row],[Status_Score]],IF(C66="","",Q66+G66+S66+U66+AE66-5))</f>
        <v>46</v>
      </c>
      <c r="AG66" s="8"/>
      <c r="AH66" s="8"/>
      <c r="AI66" s="8"/>
      <c r="AJ66" s="10"/>
    </row>
    <row r="67" spans="1:36" ht="60" x14ac:dyDescent="0.25">
      <c r="A67" s="103">
        <f t="shared" si="4"/>
        <v>61</v>
      </c>
      <c r="B67" s="10" t="s">
        <v>67</v>
      </c>
      <c r="C67" s="10" t="s">
        <v>434</v>
      </c>
      <c r="D67" s="10" t="s">
        <v>435</v>
      </c>
      <c r="E67" s="10" t="s">
        <v>436</v>
      </c>
      <c r="F67" s="10" t="s">
        <v>29</v>
      </c>
      <c r="G67" s="10">
        <f t="shared" si="11"/>
        <v>0</v>
      </c>
      <c r="H67" s="49"/>
      <c r="I67" s="49"/>
      <c r="J67" s="49">
        <f>Master2017[[#This Row],[Initial Budget]]-Master2017[[#This Row],[Previously Committed Funds]]</f>
        <v>0</v>
      </c>
      <c r="K67" s="49"/>
      <c r="L67" s="49"/>
      <c r="M67" s="97">
        <f>Master2017[[#This Row],[Design $ (Add/Deduct)]]+Master2017[[#This Row],[Construction $ (Add/Ded)]]</f>
        <v>0</v>
      </c>
      <c r="N67" s="32">
        <v>65000</v>
      </c>
      <c r="O67" s="8">
        <v>2018</v>
      </c>
      <c r="P67" s="10" t="s">
        <v>687</v>
      </c>
      <c r="Q67" s="8">
        <f t="shared" si="8"/>
        <v>30</v>
      </c>
      <c r="R67" s="8">
        <v>2</v>
      </c>
      <c r="S67" s="8">
        <f t="shared" si="9"/>
        <v>6</v>
      </c>
      <c r="T67" s="8" t="s">
        <v>43</v>
      </c>
      <c r="U67" s="8">
        <f t="shared" si="10"/>
        <v>16</v>
      </c>
      <c r="V67" s="8" t="s">
        <v>30</v>
      </c>
      <c r="W67" s="8">
        <v>0</v>
      </c>
      <c r="X67" s="8">
        <v>0</v>
      </c>
      <c r="Y67" s="8">
        <v>0</v>
      </c>
      <c r="Z67" s="8">
        <v>0</v>
      </c>
      <c r="AA67" s="8">
        <v>0</v>
      </c>
      <c r="AB67" s="8">
        <v>0</v>
      </c>
      <c r="AC67" s="8">
        <v>0</v>
      </c>
      <c r="AD67" s="17" t="s">
        <v>29</v>
      </c>
      <c r="AE67" s="8">
        <f>VLOOKUP(Master2017[[#This Row],[Elevated Priority]],Epriority,2,)</f>
        <v>0</v>
      </c>
      <c r="AF67" s="8">
        <f>IF(Master2017[[#This Row],[Status]]="Active",Master2017[[#This Row],[Status_Score]],IF(C67="","",Q67+G67+S67+U67+AE67-5))</f>
        <v>47</v>
      </c>
      <c r="AG67" s="8"/>
      <c r="AH67" s="8"/>
      <c r="AI67" s="8"/>
      <c r="AJ67" s="10"/>
    </row>
    <row r="68" spans="1:36" ht="75" hidden="1" x14ac:dyDescent="0.25">
      <c r="A68" s="103">
        <f t="shared" si="4"/>
        <v>62</v>
      </c>
      <c r="B68" s="127" t="s">
        <v>67</v>
      </c>
      <c r="C68" s="10" t="s">
        <v>865</v>
      </c>
      <c r="D68" s="10" t="s">
        <v>866</v>
      </c>
      <c r="E68" s="10" t="s">
        <v>867</v>
      </c>
      <c r="F68" s="10" t="s">
        <v>29</v>
      </c>
      <c r="G68" s="10">
        <f t="shared" si="11"/>
        <v>0</v>
      </c>
      <c r="H68" s="49"/>
      <c r="I68" s="49"/>
      <c r="J68" s="49">
        <f>Master2017[[#This Row],[Initial Budget]]-Master2017[[#This Row],[Previously Committed Funds]]</f>
        <v>0</v>
      </c>
      <c r="K68" s="49"/>
      <c r="L68" s="49"/>
      <c r="M68" s="97">
        <f>Master2017[[#This Row],[Design $ (Add/Deduct)]]+Master2017[[#This Row],[Construction $ (Add/Ded)]]</f>
        <v>0</v>
      </c>
      <c r="N68" s="32">
        <v>200000</v>
      </c>
      <c r="O68" s="8">
        <v>2020</v>
      </c>
      <c r="P68" s="10" t="s">
        <v>46</v>
      </c>
      <c r="Q68" s="8">
        <f t="shared" si="8"/>
        <v>50</v>
      </c>
      <c r="R68" s="8">
        <v>2</v>
      </c>
      <c r="S68" s="8">
        <f t="shared" si="9"/>
        <v>6</v>
      </c>
      <c r="T68" s="8" t="s">
        <v>37</v>
      </c>
      <c r="U68" s="8">
        <f t="shared" si="10"/>
        <v>3</v>
      </c>
      <c r="V68" s="8" t="s">
        <v>34</v>
      </c>
      <c r="W68" s="114">
        <v>0</v>
      </c>
      <c r="X68" s="8">
        <v>0</v>
      </c>
      <c r="Y68" s="8">
        <v>0</v>
      </c>
      <c r="Z68" s="8">
        <v>0</v>
      </c>
      <c r="AA68" s="8">
        <v>0</v>
      </c>
      <c r="AB68" s="8">
        <v>-1</v>
      </c>
      <c r="AC68" s="8">
        <v>0</v>
      </c>
      <c r="AD68" s="17" t="s">
        <v>35</v>
      </c>
      <c r="AE68" s="8">
        <f>VLOOKUP(Master2017[[#This Row],[Elevated Priority]],Epriority,2,)</f>
        <v>-50</v>
      </c>
      <c r="AF68" s="8">
        <f>IF(Master2017[[#This Row],[Status]]="Active",Master2017[[#This Row],[Status_Score]],IF(C68="","",Q68+G68+S68+U68+AE68-5))</f>
        <v>4</v>
      </c>
      <c r="AG68" s="8"/>
      <c r="AH68" s="8">
        <v>2020</v>
      </c>
      <c r="AI68" s="8">
        <v>2023</v>
      </c>
      <c r="AJ68" s="10"/>
    </row>
    <row r="69" spans="1:36" x14ac:dyDescent="0.25">
      <c r="A69" s="103">
        <f t="shared" si="4"/>
        <v>63</v>
      </c>
      <c r="B69" s="10" t="s">
        <v>94</v>
      </c>
      <c r="C69" s="10" t="s">
        <v>610</v>
      </c>
      <c r="E69" s="10" t="s">
        <v>879</v>
      </c>
      <c r="F69" s="10" t="s">
        <v>29</v>
      </c>
      <c r="G69" s="10">
        <f t="shared" si="11"/>
        <v>0</v>
      </c>
      <c r="H69" s="49"/>
      <c r="I69" s="49"/>
      <c r="J69" s="49">
        <f>Master2017[[#This Row],[Initial Budget]]-Master2017[[#This Row],[Previously Committed Funds]]</f>
        <v>0</v>
      </c>
      <c r="K69" s="49"/>
      <c r="L69" s="49"/>
      <c r="M69" s="97">
        <f>Master2017[[#This Row],[Design $ (Add/Deduct)]]+Master2017[[#This Row],[Construction $ (Add/Ded)]]</f>
        <v>0</v>
      </c>
      <c r="N69" s="32">
        <v>20000</v>
      </c>
      <c r="O69" s="17">
        <v>2019</v>
      </c>
      <c r="P69" s="10" t="s">
        <v>688</v>
      </c>
      <c r="Q69" s="8">
        <f t="shared" si="8"/>
        <v>20</v>
      </c>
      <c r="R69" s="8">
        <v>26</v>
      </c>
      <c r="S69" s="8">
        <f t="shared" si="9"/>
        <v>29</v>
      </c>
      <c r="T69" s="8" t="s">
        <v>41</v>
      </c>
      <c r="U69" s="8">
        <f t="shared" si="10"/>
        <v>4</v>
      </c>
      <c r="V69" s="8" t="s">
        <v>30</v>
      </c>
      <c r="W69" s="8">
        <v>0</v>
      </c>
      <c r="X69" s="8">
        <v>0</v>
      </c>
      <c r="Y69" s="8">
        <v>0</v>
      </c>
      <c r="Z69" s="8">
        <v>0</v>
      </c>
      <c r="AA69" s="8">
        <v>0</v>
      </c>
      <c r="AB69" s="8">
        <v>0</v>
      </c>
      <c r="AC69" s="8">
        <v>0</v>
      </c>
      <c r="AD69" s="17" t="s">
        <v>29</v>
      </c>
      <c r="AE69" s="8">
        <f>VLOOKUP(Master2017[[#This Row],[Elevated Priority]],Epriority,2,)</f>
        <v>0</v>
      </c>
      <c r="AF69" s="8">
        <f>IF(Master2017[[#This Row],[Status]]="Active",Master2017[[#This Row],[Status_Score]],IF(C69="","",Q69+G69+S69+U69+AE69-5))</f>
        <v>48</v>
      </c>
      <c r="AG69" s="8"/>
      <c r="AH69" s="8"/>
      <c r="AI69" s="8"/>
      <c r="AJ69" s="10"/>
    </row>
    <row r="70" spans="1:36" ht="30" x14ac:dyDescent="0.25">
      <c r="A70" s="103">
        <f t="shared" si="4"/>
        <v>64</v>
      </c>
      <c r="B70" s="10" t="s">
        <v>94</v>
      </c>
      <c r="C70" s="10" t="s">
        <v>235</v>
      </c>
      <c r="D70" s="10" t="s">
        <v>236</v>
      </c>
      <c r="E70" s="10" t="s">
        <v>879</v>
      </c>
      <c r="F70" s="10" t="s">
        <v>29</v>
      </c>
      <c r="G70" s="10">
        <f t="shared" si="11"/>
        <v>0</v>
      </c>
      <c r="H70" s="49"/>
      <c r="I70" s="49"/>
      <c r="J70" s="49">
        <f>Master2017[[#This Row],[Initial Budget]]-Master2017[[#This Row],[Previously Committed Funds]]</f>
        <v>0</v>
      </c>
      <c r="K70" s="49"/>
      <c r="L70" s="49"/>
      <c r="M70" s="97">
        <f>Master2017[[#This Row],[Design $ (Add/Deduct)]]+Master2017[[#This Row],[Construction $ (Add/Ded)]]</f>
        <v>0</v>
      </c>
      <c r="N70" s="32">
        <v>150000</v>
      </c>
      <c r="O70" s="8">
        <v>2018</v>
      </c>
      <c r="P70" s="10" t="s">
        <v>688</v>
      </c>
      <c r="Q70" s="8">
        <f t="shared" si="8"/>
        <v>20</v>
      </c>
      <c r="R70" s="8">
        <v>25</v>
      </c>
      <c r="S70" s="8">
        <f t="shared" si="9"/>
        <v>29</v>
      </c>
      <c r="T70" s="8" t="s">
        <v>41</v>
      </c>
      <c r="U70" s="8">
        <f t="shared" si="10"/>
        <v>4</v>
      </c>
      <c r="V70" s="8" t="s">
        <v>30</v>
      </c>
      <c r="W70" s="8">
        <v>0</v>
      </c>
      <c r="X70" s="8">
        <v>0</v>
      </c>
      <c r="Y70" s="8">
        <v>0</v>
      </c>
      <c r="Z70" s="8">
        <v>0</v>
      </c>
      <c r="AA70" s="8">
        <v>0</v>
      </c>
      <c r="AB70" s="8">
        <v>0</v>
      </c>
      <c r="AC70" s="8">
        <v>0</v>
      </c>
      <c r="AD70" s="17" t="s">
        <v>29</v>
      </c>
      <c r="AE70" s="8">
        <f>VLOOKUP(Master2017[[#This Row],[Elevated Priority]],Epriority,2,)</f>
        <v>0</v>
      </c>
      <c r="AF70" s="8">
        <f>IF(Master2017[[#This Row],[Status]]="Active",Master2017[[#This Row],[Status_Score]],IF(C70="","",Q70+G70+S70+U70+AE70-5))</f>
        <v>48</v>
      </c>
      <c r="AG70" s="8"/>
      <c r="AH70" s="8">
        <v>2021</v>
      </c>
      <c r="AI70" s="8">
        <v>2022</v>
      </c>
      <c r="AJ70" s="10"/>
    </row>
    <row r="71" spans="1:36" ht="30" x14ac:dyDescent="0.25">
      <c r="A71" s="103">
        <f t="shared" si="4"/>
        <v>65</v>
      </c>
      <c r="B71" s="67" t="s">
        <v>94</v>
      </c>
      <c r="C71" s="67" t="s">
        <v>611</v>
      </c>
      <c r="D71" s="67" t="s">
        <v>612</v>
      </c>
      <c r="E71" s="67" t="s">
        <v>879</v>
      </c>
      <c r="F71" s="10" t="s">
        <v>29</v>
      </c>
      <c r="G71" s="10">
        <f t="shared" si="11"/>
        <v>0</v>
      </c>
      <c r="H71" s="49"/>
      <c r="I71" s="49"/>
      <c r="J71" s="49">
        <f>Master2017[[#This Row],[Initial Budget]]-Master2017[[#This Row],[Previously Committed Funds]]</f>
        <v>0</v>
      </c>
      <c r="K71" s="49"/>
      <c r="L71" s="49"/>
      <c r="M71" s="97">
        <f>Master2017[[#This Row],[Design $ (Add/Deduct)]]+Master2017[[#This Row],[Construction $ (Add/Ded)]]</f>
        <v>0</v>
      </c>
      <c r="N71" s="32">
        <v>250000</v>
      </c>
      <c r="O71" s="17">
        <v>2019</v>
      </c>
      <c r="P71" s="10" t="s">
        <v>688</v>
      </c>
      <c r="Q71" s="8">
        <f t="shared" si="8"/>
        <v>20</v>
      </c>
      <c r="R71" s="8">
        <v>27</v>
      </c>
      <c r="S71" s="8">
        <f t="shared" si="9"/>
        <v>30</v>
      </c>
      <c r="T71" s="8" t="s">
        <v>41</v>
      </c>
      <c r="U71" s="8">
        <f t="shared" si="10"/>
        <v>4</v>
      </c>
      <c r="V71" s="8" t="s">
        <v>30</v>
      </c>
      <c r="W71" s="8">
        <v>0</v>
      </c>
      <c r="X71" s="8">
        <v>0</v>
      </c>
      <c r="Y71" s="8">
        <v>0</v>
      </c>
      <c r="Z71" s="8">
        <v>0</v>
      </c>
      <c r="AA71" s="8">
        <v>0</v>
      </c>
      <c r="AB71" s="8">
        <v>0</v>
      </c>
      <c r="AC71" s="8">
        <v>0</v>
      </c>
      <c r="AD71" s="8" t="s">
        <v>29</v>
      </c>
      <c r="AE71" s="8">
        <f>VLOOKUP(Master2017[[#This Row],[Elevated Priority]],Epriority,2,)</f>
        <v>0</v>
      </c>
      <c r="AF71" s="8">
        <f>IF(Master2017[[#This Row],[Status]]="Active",Master2017[[#This Row],[Status_Score]],IF(C71="","",Q71+G71+S71+U71+AE71-5))</f>
        <v>49</v>
      </c>
      <c r="AG71" s="8"/>
      <c r="AH71" s="8"/>
      <c r="AI71" s="8"/>
      <c r="AJ71" s="10"/>
    </row>
    <row r="72" spans="1:36" ht="45" x14ac:dyDescent="0.25">
      <c r="A72" s="103">
        <f t="shared" si="4"/>
        <v>66</v>
      </c>
      <c r="B72" s="10" t="s">
        <v>94</v>
      </c>
      <c r="C72" s="10" t="s">
        <v>613</v>
      </c>
      <c r="D72" s="10" t="s">
        <v>898</v>
      </c>
      <c r="E72" s="10" t="s">
        <v>879</v>
      </c>
      <c r="F72" s="10" t="s">
        <v>29</v>
      </c>
      <c r="G72" s="10">
        <f t="shared" si="11"/>
        <v>0</v>
      </c>
      <c r="H72" s="49"/>
      <c r="I72" s="49"/>
      <c r="J72" s="49">
        <f>Master2017[[#This Row],[Initial Budget]]-Master2017[[#This Row],[Previously Committed Funds]]</f>
        <v>0</v>
      </c>
      <c r="K72" s="49"/>
      <c r="L72" s="49"/>
      <c r="M72" s="97">
        <f>Master2017[[#This Row],[Design $ (Add/Deduct)]]+Master2017[[#This Row],[Construction $ (Add/Ded)]]</f>
        <v>0</v>
      </c>
      <c r="N72" s="32">
        <v>500000</v>
      </c>
      <c r="O72" s="17">
        <v>2019</v>
      </c>
      <c r="P72" s="10" t="s">
        <v>688</v>
      </c>
      <c r="Q72" s="8">
        <f t="shared" si="8"/>
        <v>20</v>
      </c>
      <c r="R72" s="8">
        <v>28</v>
      </c>
      <c r="S72" s="8">
        <f t="shared" si="9"/>
        <v>30</v>
      </c>
      <c r="T72" s="8" t="s">
        <v>41</v>
      </c>
      <c r="U72" s="8">
        <f t="shared" si="10"/>
        <v>4</v>
      </c>
      <c r="V72" s="8" t="s">
        <v>30</v>
      </c>
      <c r="W72" s="8">
        <v>0</v>
      </c>
      <c r="X72" s="8">
        <v>0</v>
      </c>
      <c r="Y72" s="8">
        <v>0</v>
      </c>
      <c r="Z72" s="8">
        <v>0</v>
      </c>
      <c r="AA72" s="8">
        <v>0</v>
      </c>
      <c r="AB72" s="8">
        <v>0</v>
      </c>
      <c r="AC72" s="8">
        <v>0</v>
      </c>
      <c r="AD72" s="8" t="s">
        <v>29</v>
      </c>
      <c r="AE72" s="8">
        <f>VLOOKUP(Master2017[[#This Row],[Elevated Priority]],Epriority,2,)</f>
        <v>0</v>
      </c>
      <c r="AF72" s="8">
        <f>IF(Master2017[[#This Row],[Status]]="Active",Master2017[[#This Row],[Status_Score]],IF(C72="","",Q72+G72+S72+U72+AE72-5))</f>
        <v>49</v>
      </c>
      <c r="AG72" s="8"/>
      <c r="AH72" s="8">
        <v>2022</v>
      </c>
      <c r="AI72" s="8">
        <v>2023</v>
      </c>
      <c r="AJ72" s="10"/>
    </row>
    <row r="73" spans="1:36" ht="60" x14ac:dyDescent="0.25">
      <c r="A73" s="103">
        <f t="shared" si="4"/>
        <v>67</v>
      </c>
      <c r="B73" s="10" t="s">
        <v>91</v>
      </c>
      <c r="C73" s="10" t="s">
        <v>384</v>
      </c>
      <c r="D73" s="10" t="s">
        <v>899</v>
      </c>
      <c r="E73" s="10" t="s">
        <v>386</v>
      </c>
      <c r="F73" s="10" t="s">
        <v>29</v>
      </c>
      <c r="G73" s="10">
        <f t="shared" si="11"/>
        <v>0</v>
      </c>
      <c r="H73" s="49"/>
      <c r="I73" s="49"/>
      <c r="J73" s="49">
        <f>Master2017[[#This Row],[Initial Budget]]-Master2017[[#This Row],[Previously Committed Funds]]</f>
        <v>0</v>
      </c>
      <c r="K73" s="49"/>
      <c r="L73" s="49"/>
      <c r="M73" s="97">
        <f>Master2017[[#This Row],[Design $ (Add/Deduct)]]+Master2017[[#This Row],[Construction $ (Add/Ded)]]</f>
        <v>0</v>
      </c>
      <c r="N73" s="32">
        <v>150000</v>
      </c>
      <c r="O73" s="8">
        <v>2018</v>
      </c>
      <c r="P73" s="10" t="s">
        <v>687</v>
      </c>
      <c r="Q73" s="8">
        <f t="shared" si="8"/>
        <v>30</v>
      </c>
      <c r="R73" s="8">
        <v>3</v>
      </c>
      <c r="S73" s="8">
        <f t="shared" si="9"/>
        <v>9</v>
      </c>
      <c r="T73" s="8" t="s">
        <v>43</v>
      </c>
      <c r="U73" s="8">
        <f t="shared" si="10"/>
        <v>16</v>
      </c>
      <c r="V73" s="8" t="s">
        <v>30</v>
      </c>
      <c r="W73" s="8">
        <v>0</v>
      </c>
      <c r="X73" s="8">
        <v>0</v>
      </c>
      <c r="Y73" s="8">
        <v>0</v>
      </c>
      <c r="Z73" s="8">
        <v>0</v>
      </c>
      <c r="AA73" s="8">
        <v>0</v>
      </c>
      <c r="AB73" s="8">
        <v>0</v>
      </c>
      <c r="AC73" s="8">
        <v>0</v>
      </c>
      <c r="AD73" s="17" t="s">
        <v>29</v>
      </c>
      <c r="AE73" s="8">
        <f>VLOOKUP(Master2017[[#This Row],[Elevated Priority]],Epriority,2,)</f>
        <v>0</v>
      </c>
      <c r="AF73" s="8">
        <f>IF(Master2017[[#This Row],[Status]]="Active",Master2017[[#This Row],[Status_Score]],IF(C73="","",Q73+G73+S73+U73+AE73-5))</f>
        <v>50</v>
      </c>
      <c r="AG73" s="8"/>
      <c r="AH73" s="8">
        <v>2021</v>
      </c>
      <c r="AI73" s="8">
        <v>2022</v>
      </c>
      <c r="AJ73" s="10"/>
    </row>
    <row r="74" spans="1:36" ht="45" x14ac:dyDescent="0.25">
      <c r="A74" s="103">
        <f t="shared" si="4"/>
        <v>68</v>
      </c>
      <c r="B74" s="10" t="s">
        <v>91</v>
      </c>
      <c r="C74" s="10" t="s">
        <v>393</v>
      </c>
      <c r="D74" s="10" t="s">
        <v>394</v>
      </c>
      <c r="E74" s="10" t="s">
        <v>395</v>
      </c>
      <c r="F74" s="10" t="s">
        <v>29</v>
      </c>
      <c r="G74" s="10">
        <f t="shared" si="11"/>
        <v>0</v>
      </c>
      <c r="H74" s="49"/>
      <c r="I74" s="49"/>
      <c r="J74" s="49">
        <f>Master2017[[#This Row],[Initial Budget]]-Master2017[[#This Row],[Previously Committed Funds]]</f>
        <v>0</v>
      </c>
      <c r="K74" s="49"/>
      <c r="L74" s="49"/>
      <c r="M74" s="97">
        <f>Master2017[[#This Row],[Design $ (Add/Deduct)]]+Master2017[[#This Row],[Construction $ (Add/Ded)]]</f>
        <v>0</v>
      </c>
      <c r="N74" s="32">
        <v>85000</v>
      </c>
      <c r="O74" s="8">
        <v>2018</v>
      </c>
      <c r="P74" s="10" t="s">
        <v>688</v>
      </c>
      <c r="Q74" s="8">
        <f t="shared" si="8"/>
        <v>20</v>
      </c>
      <c r="R74" s="8">
        <v>7</v>
      </c>
      <c r="S74" s="8">
        <f t="shared" si="9"/>
        <v>20</v>
      </c>
      <c r="T74" s="8" t="s">
        <v>43</v>
      </c>
      <c r="U74" s="8">
        <f t="shared" si="10"/>
        <v>16</v>
      </c>
      <c r="V74" s="8" t="s">
        <v>30</v>
      </c>
      <c r="W74" s="8">
        <v>0</v>
      </c>
      <c r="X74" s="8">
        <v>0</v>
      </c>
      <c r="Y74" s="8">
        <v>0</v>
      </c>
      <c r="Z74" s="8">
        <v>0</v>
      </c>
      <c r="AA74" s="8">
        <v>0</v>
      </c>
      <c r="AB74" s="8">
        <v>0</v>
      </c>
      <c r="AC74" s="8">
        <v>0</v>
      </c>
      <c r="AD74" s="17" t="s">
        <v>29</v>
      </c>
      <c r="AE74" s="8">
        <f>VLOOKUP(Master2017[[#This Row],[Elevated Priority]],Epriority,2,)</f>
        <v>0</v>
      </c>
      <c r="AF74" s="8">
        <f>IF(Master2017[[#This Row],[Status]]="Active",Master2017[[#This Row],[Status_Score]],IF(C74="","",Q74+G74+S74+U74+AE74-5))</f>
        <v>51</v>
      </c>
      <c r="AG74" s="8"/>
      <c r="AH74" s="8">
        <v>2023</v>
      </c>
      <c r="AI74" s="8">
        <v>2024</v>
      </c>
      <c r="AJ74" s="10"/>
    </row>
    <row r="75" spans="1:36" ht="120" x14ac:dyDescent="0.25">
      <c r="A75" s="103">
        <f t="shared" si="4"/>
        <v>69</v>
      </c>
      <c r="B75" s="125" t="s">
        <v>67</v>
      </c>
      <c r="C75" s="67" t="s">
        <v>791</v>
      </c>
      <c r="D75" s="67" t="s">
        <v>792</v>
      </c>
      <c r="E75" s="67" t="s">
        <v>900</v>
      </c>
      <c r="F75" s="10" t="s">
        <v>29</v>
      </c>
      <c r="G75" s="10">
        <f t="shared" si="11"/>
        <v>0</v>
      </c>
      <c r="H75" s="49"/>
      <c r="I75" s="49"/>
      <c r="J75" s="49">
        <f>Master2017[[#This Row],[Initial Budget]]-Master2017[[#This Row],[Previously Committed Funds]]</f>
        <v>0</v>
      </c>
      <c r="K75" s="49">
        <v>45000</v>
      </c>
      <c r="L75" s="49"/>
      <c r="M75" s="97">
        <f>Master2017[[#This Row],[Design $ (Add/Deduct)]]+Master2017[[#This Row],[Construction $ (Add/Ded)]]</f>
        <v>45000</v>
      </c>
      <c r="N75" s="32">
        <v>235000</v>
      </c>
      <c r="O75" s="8">
        <v>2020</v>
      </c>
      <c r="P75" s="10" t="s">
        <v>688</v>
      </c>
      <c r="Q75" s="8">
        <f t="shared" si="8"/>
        <v>20</v>
      </c>
      <c r="R75" s="8">
        <v>10</v>
      </c>
      <c r="S75" s="8">
        <f t="shared" si="9"/>
        <v>21</v>
      </c>
      <c r="T75" s="8" t="s">
        <v>43</v>
      </c>
      <c r="U75" s="8">
        <f t="shared" si="10"/>
        <v>16</v>
      </c>
      <c r="V75" s="8" t="s">
        <v>30</v>
      </c>
      <c r="W75" s="8">
        <v>0</v>
      </c>
      <c r="X75" s="8">
        <v>0</v>
      </c>
      <c r="Y75" s="8">
        <v>0</v>
      </c>
      <c r="Z75" s="8">
        <v>0</v>
      </c>
      <c r="AA75" s="8">
        <v>0</v>
      </c>
      <c r="AB75" s="8">
        <v>0</v>
      </c>
      <c r="AC75" s="8">
        <v>0</v>
      </c>
      <c r="AD75" s="17" t="s">
        <v>29</v>
      </c>
      <c r="AE75" s="8">
        <f>VLOOKUP(Master2017[[#This Row],[Elevated Priority]],Epriority,2,)</f>
        <v>0</v>
      </c>
      <c r="AF75" s="8">
        <f>IF(Master2017[[#This Row],[Status]]="Active",Master2017[[#This Row],[Status_Score]],IF(C75="","",Q75+G75+S75+U75+AE75-5))</f>
        <v>52</v>
      </c>
      <c r="AG75" s="8"/>
      <c r="AH75" s="8"/>
      <c r="AI75" s="8"/>
      <c r="AJ75" s="10"/>
    </row>
    <row r="76" spans="1:36" ht="45" x14ac:dyDescent="0.25">
      <c r="A76" s="103">
        <f t="shared" si="4"/>
        <v>70</v>
      </c>
      <c r="B76" s="125" t="s">
        <v>67</v>
      </c>
      <c r="C76" s="10" t="s">
        <v>778</v>
      </c>
      <c r="D76" s="10" t="s">
        <v>801</v>
      </c>
      <c r="E76" s="10" t="s">
        <v>901</v>
      </c>
      <c r="F76" s="10" t="s">
        <v>29</v>
      </c>
      <c r="G76" s="10">
        <f t="shared" si="11"/>
        <v>0</v>
      </c>
      <c r="H76" s="49"/>
      <c r="I76" s="49"/>
      <c r="J76" s="49">
        <f>Master2017[[#This Row],[Initial Budget]]-Master2017[[#This Row],[Previously Committed Funds]]</f>
        <v>0</v>
      </c>
      <c r="K76" s="49"/>
      <c r="L76" s="49"/>
      <c r="M76" s="97"/>
      <c r="N76" s="32">
        <v>100000</v>
      </c>
      <c r="O76" s="8">
        <v>2020</v>
      </c>
      <c r="P76" s="10" t="s">
        <v>688</v>
      </c>
      <c r="Q76" s="8">
        <f t="shared" si="8"/>
        <v>20</v>
      </c>
      <c r="R76" s="8">
        <v>10</v>
      </c>
      <c r="S76" s="8">
        <f t="shared" si="9"/>
        <v>21</v>
      </c>
      <c r="T76" s="8" t="s">
        <v>43</v>
      </c>
      <c r="U76" s="8">
        <f t="shared" si="10"/>
        <v>16</v>
      </c>
      <c r="V76" s="8" t="s">
        <v>30</v>
      </c>
      <c r="W76" s="8">
        <v>0</v>
      </c>
      <c r="X76" s="8">
        <v>0</v>
      </c>
      <c r="Y76" s="8">
        <v>0</v>
      </c>
      <c r="Z76" s="8">
        <v>0</v>
      </c>
      <c r="AA76" s="8">
        <v>0</v>
      </c>
      <c r="AB76" s="8">
        <v>0</v>
      </c>
      <c r="AC76" s="8">
        <v>0</v>
      </c>
      <c r="AD76" s="17" t="s">
        <v>29</v>
      </c>
      <c r="AE76" s="8">
        <f>VLOOKUP(Master2017[[#This Row],[Elevated Priority]],Epriority,2,)</f>
        <v>0</v>
      </c>
      <c r="AF76" s="8">
        <f>IF(Master2017[[#This Row],[Status]]="Active",Master2017[[#This Row],[Status_Score]],IF(C76="","",Q76+G76+S76+U76+AE76-5))</f>
        <v>52</v>
      </c>
      <c r="AG76" s="8"/>
      <c r="AH76" s="8"/>
      <c r="AI76" s="8"/>
      <c r="AJ76" s="10"/>
    </row>
    <row r="77" spans="1:36" ht="90" hidden="1" x14ac:dyDescent="0.25">
      <c r="A77" s="103">
        <f t="shared" si="4"/>
        <v>71</v>
      </c>
      <c r="B77" s="10" t="s">
        <v>61</v>
      </c>
      <c r="C77" s="10" t="s">
        <v>316</v>
      </c>
      <c r="D77" s="10" t="s">
        <v>891</v>
      </c>
      <c r="E77" s="10" t="s">
        <v>318</v>
      </c>
      <c r="F77" s="10" t="s">
        <v>29</v>
      </c>
      <c r="G77" s="10">
        <f t="shared" si="11"/>
        <v>0</v>
      </c>
      <c r="H77" s="49"/>
      <c r="I77" s="49"/>
      <c r="J77" s="49">
        <f>Master2017[[#This Row],[Initial Budget]]-Master2017[[#This Row],[Previously Committed Funds]]</f>
        <v>0</v>
      </c>
      <c r="K77" s="49"/>
      <c r="L77" s="49"/>
      <c r="M77" s="97">
        <f>Master2017[[#This Row],[Design $ (Add/Deduct)]]+Master2017[[#This Row],[Construction $ (Add/Ded)]]</f>
        <v>0</v>
      </c>
      <c r="N77" s="32">
        <v>3000000</v>
      </c>
      <c r="O77" s="8">
        <v>2018</v>
      </c>
      <c r="P77" s="10" t="s">
        <v>687</v>
      </c>
      <c r="Q77" s="8">
        <f t="shared" si="8"/>
        <v>30</v>
      </c>
      <c r="R77" s="8">
        <v>2</v>
      </c>
      <c r="S77" s="8">
        <f t="shared" si="9"/>
        <v>6</v>
      </c>
      <c r="T77" s="8" t="s">
        <v>43</v>
      </c>
      <c r="U77" s="8">
        <f t="shared" si="10"/>
        <v>16</v>
      </c>
      <c r="V77" s="8" t="s">
        <v>34</v>
      </c>
      <c r="W77" s="114">
        <v>0</v>
      </c>
      <c r="X77" s="8">
        <v>0</v>
      </c>
      <c r="Y77" s="8">
        <v>-1</v>
      </c>
      <c r="Z77" s="8">
        <v>0</v>
      </c>
      <c r="AA77" s="8">
        <v>0</v>
      </c>
      <c r="AB77" s="8">
        <v>-5</v>
      </c>
      <c r="AC77" s="8">
        <v>0</v>
      </c>
      <c r="AD77" s="17" t="s">
        <v>29</v>
      </c>
      <c r="AE77" s="8">
        <f>VLOOKUP(Master2017[[#This Row],[Elevated Priority]],Epriority,2,)</f>
        <v>0</v>
      </c>
      <c r="AF77" s="8">
        <f>IF(Master2017[[#This Row],[Status]]="Active",Master2017[[#This Row],[Status_Score]],IF(C77="","",Q77+G77+S77+U77+AE77-5))</f>
        <v>47</v>
      </c>
      <c r="AG77" s="8"/>
      <c r="AH77" s="8">
        <v>2022</v>
      </c>
      <c r="AI77" s="8">
        <v>2024</v>
      </c>
      <c r="AJ77" s="10"/>
    </row>
    <row r="78" spans="1:36" ht="30" hidden="1" x14ac:dyDescent="0.25">
      <c r="A78" s="103">
        <f t="shared" si="4"/>
        <v>72</v>
      </c>
      <c r="B78" s="10" t="s">
        <v>220</v>
      </c>
      <c r="C78" s="10" t="s">
        <v>339</v>
      </c>
      <c r="D78" s="10" t="s">
        <v>340</v>
      </c>
      <c r="E78" s="10" t="s">
        <v>341</v>
      </c>
      <c r="F78" s="10" t="s">
        <v>29</v>
      </c>
      <c r="G78" s="10">
        <f t="shared" si="11"/>
        <v>0</v>
      </c>
      <c r="H78" s="49"/>
      <c r="I78" s="49"/>
      <c r="J78" s="49">
        <f>Master2017[[#This Row],[Initial Budget]]-Master2017[[#This Row],[Previously Committed Funds]]</f>
        <v>0</v>
      </c>
      <c r="K78" s="49"/>
      <c r="L78" s="49"/>
      <c r="M78" s="97">
        <f>Master2017[[#This Row],[Design $ (Add/Deduct)]]+Master2017[[#This Row],[Construction $ (Add/Ded)]]</f>
        <v>0</v>
      </c>
      <c r="N78" s="32" t="s">
        <v>224</v>
      </c>
      <c r="O78" s="8">
        <v>2018</v>
      </c>
      <c r="P78" s="10" t="s">
        <v>686</v>
      </c>
      <c r="Q78" s="8">
        <f t="shared" si="8"/>
        <v>60</v>
      </c>
      <c r="R78" s="8">
        <v>1</v>
      </c>
      <c r="S78" s="8">
        <f t="shared" si="9"/>
        <v>3</v>
      </c>
      <c r="T78" s="8" t="s">
        <v>37</v>
      </c>
      <c r="U78" s="8">
        <f t="shared" si="10"/>
        <v>3</v>
      </c>
      <c r="V78" s="8" t="s">
        <v>34</v>
      </c>
      <c r="W78" s="114">
        <v>0</v>
      </c>
      <c r="X78" s="8">
        <v>-5</v>
      </c>
      <c r="Y78" s="8">
        <v>-3</v>
      </c>
      <c r="Z78" s="8">
        <v>0</v>
      </c>
      <c r="AA78" s="8">
        <v>0</v>
      </c>
      <c r="AB78" s="8">
        <v>-1</v>
      </c>
      <c r="AC78" s="8">
        <v>-1</v>
      </c>
      <c r="AD78" s="17" t="s">
        <v>29</v>
      </c>
      <c r="AE78" s="8">
        <f>VLOOKUP(Master2017[[#This Row],[Elevated Priority]],Epriority,2,)</f>
        <v>0</v>
      </c>
      <c r="AF78" s="8">
        <f>IF(Master2017[[#This Row],[Status]]="Active",Master2017[[#This Row],[Status_Score]],IF(C78="","",Q78+G78+S78+U78+AE78-5))</f>
        <v>61</v>
      </c>
      <c r="AG78" s="8"/>
      <c r="AH78" s="8"/>
      <c r="AI78" s="8"/>
      <c r="AJ78" s="10"/>
    </row>
    <row r="79" spans="1:36" ht="30" x14ac:dyDescent="0.25">
      <c r="A79" s="103">
        <f t="shared" si="4"/>
        <v>73</v>
      </c>
      <c r="B79" s="10" t="s">
        <v>94</v>
      </c>
      <c r="C79" s="10" t="s">
        <v>270</v>
      </c>
      <c r="D79" s="10" t="s">
        <v>271</v>
      </c>
      <c r="E79" s="10" t="s">
        <v>902</v>
      </c>
      <c r="F79" s="10" t="s">
        <v>29</v>
      </c>
      <c r="G79" s="10">
        <f t="shared" si="11"/>
        <v>0</v>
      </c>
      <c r="H79" s="49"/>
      <c r="I79" s="49"/>
      <c r="J79" s="49">
        <f>Master2017[[#This Row],[Initial Budget]]-Master2017[[#This Row],[Previously Committed Funds]]</f>
        <v>0</v>
      </c>
      <c r="K79" s="49"/>
      <c r="L79" s="49"/>
      <c r="M79" s="97">
        <f>Master2017[[#This Row],[Design $ (Add/Deduct)]]+Master2017[[#This Row],[Construction $ (Add/Ded)]]</f>
        <v>0</v>
      </c>
      <c r="N79" s="32">
        <v>5000</v>
      </c>
      <c r="O79" s="8">
        <v>2018</v>
      </c>
      <c r="P79" s="10" t="s">
        <v>688</v>
      </c>
      <c r="Q79" s="8">
        <f t="shared" si="8"/>
        <v>20</v>
      </c>
      <c r="R79" s="8">
        <v>34</v>
      </c>
      <c r="S79" s="8">
        <f t="shared" si="9"/>
        <v>33</v>
      </c>
      <c r="T79" s="8" t="s">
        <v>41</v>
      </c>
      <c r="U79" s="8">
        <f t="shared" si="10"/>
        <v>4</v>
      </c>
      <c r="V79" s="8" t="s">
        <v>30</v>
      </c>
      <c r="W79" s="8">
        <v>0</v>
      </c>
      <c r="X79" s="8">
        <v>0</v>
      </c>
      <c r="Y79" s="8">
        <v>0</v>
      </c>
      <c r="Z79" s="8">
        <v>0</v>
      </c>
      <c r="AA79" s="8">
        <v>0</v>
      </c>
      <c r="AB79" s="8">
        <v>0</v>
      </c>
      <c r="AC79" s="8">
        <v>0</v>
      </c>
      <c r="AD79" s="17" t="s">
        <v>29</v>
      </c>
      <c r="AE79" s="8">
        <f>VLOOKUP(Master2017[[#This Row],[Elevated Priority]],Epriority,2,)</f>
        <v>0</v>
      </c>
      <c r="AF79" s="8">
        <f>IF(Master2017[[#This Row],[Status]]="Active",Master2017[[#This Row],[Status_Score]],IF(C79="","",Q79+G79+S79+U79+AE79-5))</f>
        <v>52</v>
      </c>
      <c r="AG79" s="8"/>
      <c r="AH79" s="8">
        <v>2023</v>
      </c>
      <c r="AI79" s="8">
        <v>2024</v>
      </c>
      <c r="AJ79" s="10"/>
    </row>
    <row r="80" spans="1:36" ht="45" x14ac:dyDescent="0.25">
      <c r="A80" s="103">
        <f t="shared" ref="A80:A143" si="12">A79+1</f>
        <v>74</v>
      </c>
      <c r="B80" s="10" t="s">
        <v>70</v>
      </c>
      <c r="C80" s="10" t="s">
        <v>840</v>
      </c>
      <c r="D80" s="10" t="s">
        <v>841</v>
      </c>
      <c r="E80" s="10" t="s">
        <v>903</v>
      </c>
      <c r="F80" s="10" t="s">
        <v>29</v>
      </c>
      <c r="G80" s="10">
        <f t="shared" si="11"/>
        <v>0</v>
      </c>
      <c r="H80" s="49"/>
      <c r="I80" s="49"/>
      <c r="J80" s="49">
        <f>Master2017[[#This Row],[Initial Budget]]-Master2017[[#This Row],[Previously Committed Funds]]</f>
        <v>0</v>
      </c>
      <c r="K80" s="49"/>
      <c r="L80" s="49"/>
      <c r="M80" s="97">
        <f>Master2017[[#This Row],[Design $ (Add/Deduct)]]+Master2017[[#This Row],[Construction $ (Add/Ded)]]</f>
        <v>0</v>
      </c>
      <c r="N80" s="32">
        <v>50000</v>
      </c>
      <c r="O80" s="8">
        <v>2018</v>
      </c>
      <c r="P80" s="10" t="s">
        <v>687</v>
      </c>
      <c r="Q80" s="8">
        <f t="shared" si="8"/>
        <v>30</v>
      </c>
      <c r="R80" s="8">
        <v>4</v>
      </c>
      <c r="S80" s="8">
        <f t="shared" si="9"/>
        <v>12</v>
      </c>
      <c r="T80" s="8" t="s">
        <v>43</v>
      </c>
      <c r="U80" s="8">
        <f t="shared" si="10"/>
        <v>16</v>
      </c>
      <c r="V80" s="8" t="s">
        <v>30</v>
      </c>
      <c r="W80" s="8">
        <v>0</v>
      </c>
      <c r="X80" s="8">
        <v>0</v>
      </c>
      <c r="Y80" s="8">
        <v>0</v>
      </c>
      <c r="Z80" s="8">
        <v>0</v>
      </c>
      <c r="AA80" s="8">
        <v>0</v>
      </c>
      <c r="AB80" s="8">
        <v>0</v>
      </c>
      <c r="AC80" s="8">
        <v>0</v>
      </c>
      <c r="AD80" s="17" t="s">
        <v>29</v>
      </c>
      <c r="AE80" s="8">
        <f>VLOOKUP(Master2017[[#This Row],[Elevated Priority]],Epriority,2,)</f>
        <v>0</v>
      </c>
      <c r="AF80" s="8">
        <f>IF(Master2017[[#This Row],[Status]]="Active",Master2017[[#This Row],[Status_Score]],IF(C80="","",Q80+G80+S80+U80+AE80-5))</f>
        <v>53</v>
      </c>
      <c r="AG80" s="8"/>
      <c r="AH80" s="8">
        <v>2021</v>
      </c>
      <c r="AI80" s="8">
        <v>2022</v>
      </c>
      <c r="AJ80" s="10"/>
    </row>
    <row r="81" spans="1:36" ht="210" x14ac:dyDescent="0.25">
      <c r="A81" s="103">
        <f t="shared" si="12"/>
        <v>75</v>
      </c>
      <c r="B81" s="10" t="s">
        <v>159</v>
      </c>
      <c r="C81" s="10" t="s">
        <v>416</v>
      </c>
      <c r="D81" s="10" t="s">
        <v>417</v>
      </c>
      <c r="E81" s="10" t="s">
        <v>418</v>
      </c>
      <c r="F81" s="10" t="s">
        <v>29</v>
      </c>
      <c r="G81" s="10">
        <f t="shared" si="11"/>
        <v>0</v>
      </c>
      <c r="H81" s="49"/>
      <c r="I81" s="49"/>
      <c r="J81" s="49">
        <f>Master2017[[#This Row],[Initial Budget]]-Master2017[[#This Row],[Previously Committed Funds]]</f>
        <v>0</v>
      </c>
      <c r="K81" s="49"/>
      <c r="L81" s="49"/>
      <c r="M81" s="97">
        <f>Master2017[[#This Row],[Design $ (Add/Deduct)]]+Master2017[[#This Row],[Construction $ (Add/Ded)]]</f>
        <v>0</v>
      </c>
      <c r="N81" s="32">
        <v>45000</v>
      </c>
      <c r="O81" s="8">
        <v>2018</v>
      </c>
      <c r="P81" s="10" t="s">
        <v>687</v>
      </c>
      <c r="Q81" s="8">
        <f t="shared" si="8"/>
        <v>30</v>
      </c>
      <c r="R81" s="8">
        <v>4</v>
      </c>
      <c r="S81" s="8">
        <f t="shared" si="9"/>
        <v>12</v>
      </c>
      <c r="T81" s="8" t="s">
        <v>43</v>
      </c>
      <c r="U81" s="8">
        <f t="shared" si="10"/>
        <v>16</v>
      </c>
      <c r="V81" s="8" t="s">
        <v>30</v>
      </c>
      <c r="W81" s="8">
        <v>0</v>
      </c>
      <c r="X81" s="8">
        <v>0</v>
      </c>
      <c r="Y81" s="8">
        <v>0</v>
      </c>
      <c r="Z81" s="8">
        <v>0</v>
      </c>
      <c r="AA81" s="8">
        <v>0</v>
      </c>
      <c r="AB81" s="8">
        <v>0</v>
      </c>
      <c r="AC81" s="8">
        <v>0</v>
      </c>
      <c r="AD81" s="17" t="s">
        <v>29</v>
      </c>
      <c r="AE81" s="8">
        <f>VLOOKUP(Master2017[[#This Row],[Elevated Priority]],Epriority,2,)</f>
        <v>0</v>
      </c>
      <c r="AF81" s="8">
        <f>IF(Master2017[[#This Row],[Status]]="Active",Master2017[[#This Row],[Status_Score]],IF(C81="","",Q81+G81+S81+U81+AE81-5))</f>
        <v>53</v>
      </c>
      <c r="AG81" s="8"/>
      <c r="AH81" s="8">
        <v>2021</v>
      </c>
      <c r="AI81" s="8">
        <v>2022</v>
      </c>
      <c r="AJ81" s="10"/>
    </row>
    <row r="82" spans="1:36" ht="30" hidden="1" x14ac:dyDescent="0.25">
      <c r="A82" s="103">
        <f t="shared" si="12"/>
        <v>76</v>
      </c>
      <c r="B82" s="10" t="s">
        <v>94</v>
      </c>
      <c r="C82" s="10" t="s">
        <v>668</v>
      </c>
      <c r="D82" s="10" t="s">
        <v>231</v>
      </c>
      <c r="E82" s="10"/>
      <c r="F82" s="10" t="s">
        <v>29</v>
      </c>
      <c r="G82" s="10">
        <f t="shared" si="11"/>
        <v>0</v>
      </c>
      <c r="H82" s="49"/>
      <c r="I82" s="49"/>
      <c r="J82" s="49">
        <f>Master2017[[#This Row],[Initial Budget]]-Master2017[[#This Row],[Previously Committed Funds]]</f>
        <v>0</v>
      </c>
      <c r="K82" s="49"/>
      <c r="L82" s="49"/>
      <c r="M82" s="97">
        <f>Master2017[[#This Row],[Design $ (Add/Deduct)]]+Master2017[[#This Row],[Construction $ (Add/Ded)]]</f>
        <v>0</v>
      </c>
      <c r="N82" s="32">
        <v>850000</v>
      </c>
      <c r="O82" s="8">
        <v>2018</v>
      </c>
      <c r="P82" s="10" t="s">
        <v>688</v>
      </c>
      <c r="Q82" s="8">
        <f t="shared" si="8"/>
        <v>20</v>
      </c>
      <c r="R82" s="8">
        <v>13</v>
      </c>
      <c r="S82" s="8">
        <f t="shared" si="9"/>
        <v>23</v>
      </c>
      <c r="T82" s="8" t="s">
        <v>41</v>
      </c>
      <c r="U82" s="8">
        <f t="shared" si="10"/>
        <v>4</v>
      </c>
      <c r="V82" s="8" t="s">
        <v>34</v>
      </c>
      <c r="W82" s="8">
        <v>0</v>
      </c>
      <c r="X82" s="8">
        <v>0</v>
      </c>
      <c r="Y82" s="8">
        <v>0</v>
      </c>
      <c r="Z82" s="8">
        <v>0</v>
      </c>
      <c r="AA82" s="8">
        <v>0</v>
      </c>
      <c r="AB82" s="8">
        <v>0</v>
      </c>
      <c r="AC82" s="8">
        <v>0</v>
      </c>
      <c r="AD82" s="17" t="s">
        <v>29</v>
      </c>
      <c r="AE82" s="8">
        <f>VLOOKUP(Master2017[[#This Row],[Elevated Priority]],Epriority,2,)</f>
        <v>0</v>
      </c>
      <c r="AF82" s="8">
        <f>IF(Master2017[[#This Row],[Status]]="Active",Master2017[[#This Row],[Status_Score]],IF(C82="","",Q82+G82+S82+U82+AE82-5))</f>
        <v>42</v>
      </c>
      <c r="AG82" s="8"/>
      <c r="AH82" s="8">
        <v>2022</v>
      </c>
      <c r="AI82" s="8">
        <v>2023</v>
      </c>
      <c r="AJ82" s="10"/>
    </row>
    <row r="83" spans="1:36" x14ac:dyDescent="0.25">
      <c r="A83" s="103">
        <f t="shared" si="12"/>
        <v>77</v>
      </c>
      <c r="B83" s="10" t="s">
        <v>61</v>
      </c>
      <c r="C83" s="10" t="s">
        <v>795</v>
      </c>
      <c r="D83" s="10" t="s">
        <v>442</v>
      </c>
      <c r="E83" s="10" t="s">
        <v>443</v>
      </c>
      <c r="F83" s="10" t="s">
        <v>29</v>
      </c>
      <c r="G83" s="10">
        <f t="shared" si="11"/>
        <v>0</v>
      </c>
      <c r="H83" s="49"/>
      <c r="I83" s="49"/>
      <c r="J83" s="49">
        <f>Master2017[[#This Row],[Initial Budget]]-Master2017[[#This Row],[Previously Committed Funds]]</f>
        <v>0</v>
      </c>
      <c r="K83" s="49"/>
      <c r="L83" s="49"/>
      <c r="M83" s="97">
        <f>Master2017[[#This Row],[Design $ (Add/Deduct)]]+Master2017[[#This Row],[Construction $ (Add/Ded)]]</f>
        <v>0</v>
      </c>
      <c r="N83" s="32">
        <v>100000</v>
      </c>
      <c r="O83" s="8">
        <v>2018</v>
      </c>
      <c r="P83" s="10" t="s">
        <v>687</v>
      </c>
      <c r="Q83" s="8">
        <f t="shared" si="8"/>
        <v>30</v>
      </c>
      <c r="R83" s="8">
        <v>5</v>
      </c>
      <c r="S83" s="8">
        <f t="shared" si="9"/>
        <v>15</v>
      </c>
      <c r="T83" s="8" t="s">
        <v>43</v>
      </c>
      <c r="U83" s="8">
        <f t="shared" si="10"/>
        <v>16</v>
      </c>
      <c r="V83" s="8" t="s">
        <v>30</v>
      </c>
      <c r="W83" s="8">
        <v>0</v>
      </c>
      <c r="X83" s="8">
        <v>0</v>
      </c>
      <c r="Y83" s="8">
        <v>0</v>
      </c>
      <c r="Z83" s="8">
        <v>0</v>
      </c>
      <c r="AA83" s="8">
        <v>0</v>
      </c>
      <c r="AB83" s="8">
        <v>0</v>
      </c>
      <c r="AC83" s="8">
        <v>0</v>
      </c>
      <c r="AD83" s="17" t="s">
        <v>29</v>
      </c>
      <c r="AE83" s="8">
        <f>VLOOKUP(Master2017[[#This Row],[Elevated Priority]],Epriority,2,)</f>
        <v>0</v>
      </c>
      <c r="AF83" s="8">
        <f>IF(Master2017[[#This Row],[Status]]="Active",Master2017[[#This Row],[Status_Score]],IF(C83="","",Q83+G83+S83+U83+AE83-5))</f>
        <v>56</v>
      </c>
      <c r="AG83" s="8"/>
      <c r="AH83" s="8"/>
      <c r="AI83" s="8"/>
      <c r="AJ83" s="10"/>
    </row>
    <row r="84" spans="1:36" ht="30" x14ac:dyDescent="0.25">
      <c r="A84" s="103">
        <f t="shared" si="12"/>
        <v>78</v>
      </c>
      <c r="B84" s="10" t="s">
        <v>70</v>
      </c>
      <c r="C84" s="10" t="s">
        <v>366</v>
      </c>
      <c r="D84" s="10" t="s">
        <v>367</v>
      </c>
      <c r="E84" s="10" t="s">
        <v>368</v>
      </c>
      <c r="F84" s="10" t="s">
        <v>29</v>
      </c>
      <c r="G84" s="10">
        <f t="shared" si="11"/>
        <v>0</v>
      </c>
      <c r="H84" s="49"/>
      <c r="I84" s="49"/>
      <c r="J84" s="49">
        <f>Master2017[[#This Row],[Initial Budget]]-Master2017[[#This Row],[Previously Committed Funds]]</f>
        <v>0</v>
      </c>
      <c r="K84" s="49"/>
      <c r="L84" s="49"/>
      <c r="M84" s="97">
        <f>Master2017[[#This Row],[Design $ (Add/Deduct)]]+Master2017[[#This Row],[Construction $ (Add/Ded)]]</f>
        <v>0</v>
      </c>
      <c r="N84" s="32">
        <v>5000</v>
      </c>
      <c r="O84" s="8">
        <v>2018</v>
      </c>
      <c r="P84" s="10" t="s">
        <v>686</v>
      </c>
      <c r="Q84" s="8">
        <f t="shared" si="8"/>
        <v>60</v>
      </c>
      <c r="R84" s="8">
        <v>3</v>
      </c>
      <c r="S84" s="8">
        <f t="shared" si="9"/>
        <v>9</v>
      </c>
      <c r="T84" s="8" t="s">
        <v>41</v>
      </c>
      <c r="U84" s="8">
        <f t="shared" si="10"/>
        <v>4</v>
      </c>
      <c r="V84" s="8" t="s">
        <v>30</v>
      </c>
      <c r="W84" s="8">
        <v>0</v>
      </c>
      <c r="X84" s="8">
        <v>0</v>
      </c>
      <c r="Y84" s="8">
        <v>0</v>
      </c>
      <c r="Z84" s="8">
        <v>0</v>
      </c>
      <c r="AA84" s="8">
        <v>0</v>
      </c>
      <c r="AB84" s="8">
        <v>0</v>
      </c>
      <c r="AC84" s="8">
        <v>0</v>
      </c>
      <c r="AD84" s="17" t="s">
        <v>29</v>
      </c>
      <c r="AE84" s="8">
        <f>VLOOKUP(Master2017[[#This Row],[Elevated Priority]],Epriority,2,)</f>
        <v>0</v>
      </c>
      <c r="AF84" s="8">
        <f>IF(Master2017[[#This Row],[Status]]="Active",Master2017[[#This Row],[Status_Score]],IF(C84="","",Q84+G84+S84+U84+AE84-5))</f>
        <v>68</v>
      </c>
      <c r="AG84" s="8"/>
      <c r="AH84" s="8">
        <v>2023</v>
      </c>
      <c r="AI84" s="8">
        <v>2024</v>
      </c>
      <c r="AJ84" s="10"/>
    </row>
    <row r="85" spans="1:36" ht="30" x14ac:dyDescent="0.25">
      <c r="A85" s="103">
        <f t="shared" si="12"/>
        <v>79</v>
      </c>
      <c r="B85" s="10" t="s">
        <v>214</v>
      </c>
      <c r="C85" s="10" t="s">
        <v>447</v>
      </c>
      <c r="D85" s="10" t="s">
        <v>448</v>
      </c>
      <c r="E85" s="10" t="s">
        <v>449</v>
      </c>
      <c r="F85" s="10" t="s">
        <v>29</v>
      </c>
      <c r="G85" s="10">
        <f t="shared" si="11"/>
        <v>0</v>
      </c>
      <c r="H85" s="49"/>
      <c r="I85" s="49"/>
      <c r="J85" s="49">
        <f>Master2017[[#This Row],[Initial Budget]]-Master2017[[#This Row],[Previously Committed Funds]]</f>
        <v>0</v>
      </c>
      <c r="K85" s="49"/>
      <c r="L85" s="49"/>
      <c r="M85" s="97">
        <f>Master2017[[#This Row],[Design $ (Add/Deduct)]]+Master2017[[#This Row],[Construction $ (Add/Ded)]]</f>
        <v>0</v>
      </c>
      <c r="N85" s="32">
        <v>200000</v>
      </c>
      <c r="O85" s="8">
        <v>2018</v>
      </c>
      <c r="P85" s="10" t="s">
        <v>687</v>
      </c>
      <c r="Q85" s="8">
        <f t="shared" si="8"/>
        <v>30</v>
      </c>
      <c r="R85" s="8">
        <v>6</v>
      </c>
      <c r="S85" s="8">
        <f t="shared" si="9"/>
        <v>18</v>
      </c>
      <c r="T85" s="8" t="s">
        <v>43</v>
      </c>
      <c r="U85" s="8">
        <f t="shared" si="10"/>
        <v>16</v>
      </c>
      <c r="V85" s="8" t="s">
        <v>30</v>
      </c>
      <c r="W85" s="8">
        <v>0</v>
      </c>
      <c r="X85" s="8">
        <v>0</v>
      </c>
      <c r="Y85" s="8">
        <v>0</v>
      </c>
      <c r="Z85" s="8">
        <v>0</v>
      </c>
      <c r="AA85" s="8">
        <v>0</v>
      </c>
      <c r="AB85" s="8">
        <v>0</v>
      </c>
      <c r="AC85" s="8">
        <v>0</v>
      </c>
      <c r="AD85" s="17" t="s">
        <v>29</v>
      </c>
      <c r="AE85" s="8">
        <f>VLOOKUP(Master2017[[#This Row],[Elevated Priority]],Epriority,2,)</f>
        <v>0</v>
      </c>
      <c r="AF85" s="8">
        <f>IF(Master2017[[#This Row],[Status]]="Active",Master2017[[#This Row],[Status_Score]],IF(C85="","",Q85+G85+S85+U85+AE85-5))</f>
        <v>59</v>
      </c>
      <c r="AG85" s="8"/>
      <c r="AH85" s="8"/>
      <c r="AI85" s="8"/>
      <c r="AJ85" s="10"/>
    </row>
    <row r="86" spans="1:36" ht="60" hidden="1" x14ac:dyDescent="0.25">
      <c r="A86" s="103">
        <f t="shared" si="12"/>
        <v>80</v>
      </c>
      <c r="B86" s="10" t="s">
        <v>94</v>
      </c>
      <c r="C86" s="10" t="s">
        <v>952</v>
      </c>
      <c r="D86" s="10" t="s">
        <v>953</v>
      </c>
      <c r="E86" s="10" t="s">
        <v>954</v>
      </c>
      <c r="F86" s="10" t="s">
        <v>29</v>
      </c>
      <c r="G86" s="105">
        <f t="shared" si="11"/>
        <v>0</v>
      </c>
      <c r="H86" s="49"/>
      <c r="I86" s="49"/>
      <c r="J86" s="49">
        <f>Master2017[[#This Row],[Initial Budget]]-Master2017[[#This Row],[Previously Committed Funds]]</f>
        <v>0</v>
      </c>
      <c r="K86" s="49"/>
      <c r="L86" s="49"/>
      <c r="M86" s="97">
        <f>Master2017[[#This Row],[Design $ (Add/Deduct)]]+Master2017[[#This Row],[Construction $ (Add/Ded)]]</f>
        <v>0</v>
      </c>
      <c r="N86" s="32">
        <v>20000000</v>
      </c>
      <c r="O86" s="8">
        <v>2020</v>
      </c>
      <c r="P86" s="10" t="s">
        <v>688</v>
      </c>
      <c r="Q86" s="8">
        <f t="shared" si="8"/>
        <v>20</v>
      </c>
      <c r="R86" s="8">
        <v>5</v>
      </c>
      <c r="S86" s="8">
        <f t="shared" si="9"/>
        <v>15</v>
      </c>
      <c r="T86" s="8" t="s">
        <v>43</v>
      </c>
      <c r="U86" s="8">
        <f t="shared" si="10"/>
        <v>16</v>
      </c>
      <c r="V86" s="8" t="s">
        <v>34</v>
      </c>
      <c r="W86" s="8">
        <v>0</v>
      </c>
      <c r="X86" s="8">
        <v>-1</v>
      </c>
      <c r="Y86" s="8">
        <v>-3</v>
      </c>
      <c r="Z86" s="8">
        <v>-3</v>
      </c>
      <c r="AA86" s="8">
        <v>-2</v>
      </c>
      <c r="AB86" s="8">
        <v>-3</v>
      </c>
      <c r="AC86" s="8">
        <v>0</v>
      </c>
      <c r="AD86" s="17" t="s">
        <v>29</v>
      </c>
      <c r="AE86" s="8">
        <f>VLOOKUP(Master2017[[#This Row],[Elevated Priority]],Epriority,2,)</f>
        <v>0</v>
      </c>
      <c r="AF86" s="8">
        <f>IF(Master2017[[#This Row],[Status]]="Active",Master2017[[#This Row],[Status_Score]],IF(C86="","",Q86+G86+S86+U86+AE86-5))</f>
        <v>46</v>
      </c>
      <c r="AG86" s="8"/>
      <c r="AH86" s="8">
        <v>2021</v>
      </c>
      <c r="AI86" s="8">
        <v>2024</v>
      </c>
      <c r="AJ86" s="10"/>
    </row>
    <row r="87" spans="1:36" ht="30" x14ac:dyDescent="0.25">
      <c r="A87" s="103">
        <f t="shared" si="12"/>
        <v>81</v>
      </c>
      <c r="B87" s="10" t="s">
        <v>91</v>
      </c>
      <c r="C87" s="10" t="s">
        <v>453</v>
      </c>
      <c r="D87" s="10" t="s">
        <v>454</v>
      </c>
      <c r="E87" s="10"/>
      <c r="F87" s="10" t="s">
        <v>29</v>
      </c>
      <c r="G87" s="10">
        <f t="shared" si="11"/>
        <v>0</v>
      </c>
      <c r="H87" s="49"/>
      <c r="I87" s="49"/>
      <c r="J87" s="49">
        <f>Master2017[[#This Row],[Initial Budget]]-Master2017[[#This Row],[Previously Committed Funds]]</f>
        <v>0</v>
      </c>
      <c r="K87" s="49"/>
      <c r="L87" s="49"/>
      <c r="M87" s="97">
        <f>Master2017[[#This Row],[Design $ (Add/Deduct)]]+Master2017[[#This Row],[Construction $ (Add/Ded)]]</f>
        <v>0</v>
      </c>
      <c r="N87" s="32">
        <v>60000</v>
      </c>
      <c r="O87" s="8">
        <v>2018</v>
      </c>
      <c r="P87" s="10" t="s">
        <v>687</v>
      </c>
      <c r="Q87" s="8">
        <f t="shared" si="8"/>
        <v>30</v>
      </c>
      <c r="R87" s="8">
        <v>8</v>
      </c>
      <c r="S87" s="8">
        <f t="shared" si="9"/>
        <v>20</v>
      </c>
      <c r="T87" s="8" t="s">
        <v>43</v>
      </c>
      <c r="U87" s="8">
        <f t="shared" si="10"/>
        <v>16</v>
      </c>
      <c r="V87" s="8" t="s">
        <v>30</v>
      </c>
      <c r="W87" s="8">
        <v>0</v>
      </c>
      <c r="X87" s="8">
        <v>0</v>
      </c>
      <c r="Y87" s="8">
        <v>0</v>
      </c>
      <c r="Z87" s="8">
        <v>0</v>
      </c>
      <c r="AA87" s="8">
        <v>0</v>
      </c>
      <c r="AB87" s="8">
        <v>0</v>
      </c>
      <c r="AC87" s="8">
        <v>0</v>
      </c>
      <c r="AD87" s="17" t="s">
        <v>29</v>
      </c>
      <c r="AE87" s="8">
        <f>VLOOKUP(Master2017[[#This Row],[Elevated Priority]],Epriority,2,)</f>
        <v>0</v>
      </c>
      <c r="AF87" s="8">
        <f>IF(Master2017[[#This Row],[Status]]="Active",Master2017[[#This Row],[Status_Score]],IF(C87="","",Q87+G87+S87+U87+AE87-5))</f>
        <v>61</v>
      </c>
      <c r="AG87" s="8"/>
      <c r="AH87" s="8">
        <v>2023</v>
      </c>
      <c r="AI87" s="8">
        <v>2024</v>
      </c>
      <c r="AJ87" s="10"/>
    </row>
    <row r="88" spans="1:36" ht="90" x14ac:dyDescent="0.25">
      <c r="A88" s="103">
        <f t="shared" si="12"/>
        <v>82</v>
      </c>
      <c r="B88" s="125" t="s">
        <v>91</v>
      </c>
      <c r="C88" s="67" t="s">
        <v>806</v>
      </c>
      <c r="D88" s="67" t="s">
        <v>793</v>
      </c>
      <c r="E88" s="67" t="s">
        <v>807</v>
      </c>
      <c r="F88" s="10" t="s">
        <v>29</v>
      </c>
      <c r="G88" s="10">
        <f t="shared" si="11"/>
        <v>0</v>
      </c>
      <c r="H88" s="49"/>
      <c r="I88" s="49"/>
      <c r="J88" s="49">
        <f>Master2017[[#This Row],[Initial Budget]]-Master2017[[#This Row],[Previously Committed Funds]]</f>
        <v>0</v>
      </c>
      <c r="K88" s="49">
        <v>40000</v>
      </c>
      <c r="L88" s="49"/>
      <c r="M88" s="97">
        <f>Master2017[[#This Row],[Design $ (Add/Deduct)]]+Master2017[[#This Row],[Construction $ (Add/Ded)]]</f>
        <v>40000</v>
      </c>
      <c r="N88" s="32">
        <v>275000</v>
      </c>
      <c r="O88" s="8">
        <v>2020</v>
      </c>
      <c r="P88" s="10" t="s">
        <v>46</v>
      </c>
      <c r="Q88" s="8">
        <f t="shared" si="8"/>
        <v>50</v>
      </c>
      <c r="R88" s="8">
        <v>1</v>
      </c>
      <c r="S88" s="8">
        <f t="shared" si="9"/>
        <v>3</v>
      </c>
      <c r="T88" s="8" t="s">
        <v>41</v>
      </c>
      <c r="U88" s="8">
        <f t="shared" si="10"/>
        <v>4</v>
      </c>
      <c r="V88" s="8" t="s">
        <v>30</v>
      </c>
      <c r="W88" s="8">
        <v>0</v>
      </c>
      <c r="X88" s="8">
        <v>0</v>
      </c>
      <c r="Y88" s="8">
        <v>0</v>
      </c>
      <c r="Z88" s="8">
        <v>0</v>
      </c>
      <c r="AA88" s="8">
        <v>0</v>
      </c>
      <c r="AB88" s="8">
        <v>0</v>
      </c>
      <c r="AC88" s="8">
        <v>0</v>
      </c>
      <c r="AD88" s="17" t="s">
        <v>29</v>
      </c>
      <c r="AE88" s="8">
        <f>VLOOKUP(Master2017[[#This Row],[Elevated Priority]],Epriority,2,)</f>
        <v>0</v>
      </c>
      <c r="AF88" s="8">
        <f>IF(Master2017[[#This Row],[Status]]="Active",Master2017[[#This Row],[Status_Score]],IF(C88="","",Q88+G88+S88+U88+AE88-5))</f>
        <v>52</v>
      </c>
      <c r="AG88" s="8"/>
      <c r="AH88" s="8"/>
      <c r="AI88" s="8"/>
      <c r="AJ88" s="10"/>
    </row>
    <row r="89" spans="1:36" ht="30" hidden="1" x14ac:dyDescent="0.25">
      <c r="A89" s="103">
        <f t="shared" si="12"/>
        <v>83</v>
      </c>
      <c r="B89" s="10" t="s">
        <v>67</v>
      </c>
      <c r="C89" s="10" t="s">
        <v>425</v>
      </c>
      <c r="D89" s="10" t="s">
        <v>426</v>
      </c>
      <c r="E89" s="10" t="s">
        <v>427</v>
      </c>
      <c r="F89" s="10" t="s">
        <v>29</v>
      </c>
      <c r="G89" s="10">
        <f t="shared" si="11"/>
        <v>0</v>
      </c>
      <c r="H89" s="49"/>
      <c r="I89" s="49"/>
      <c r="J89" s="49">
        <f>Master2017[[#This Row],[Initial Budget]]-Master2017[[#This Row],[Previously Committed Funds]]</f>
        <v>0</v>
      </c>
      <c r="K89" s="49"/>
      <c r="L89" s="49"/>
      <c r="M89" s="97">
        <f>Master2017[[#This Row],[Design $ (Add/Deduct)]]+Master2017[[#This Row],[Construction $ (Add/Ded)]]</f>
        <v>0</v>
      </c>
      <c r="N89" s="32">
        <v>275000</v>
      </c>
      <c r="O89" s="8">
        <v>2018</v>
      </c>
      <c r="P89" s="10" t="s">
        <v>830</v>
      </c>
      <c r="Q89" s="8">
        <f t="shared" ref="Q89:Q120" si="13">VLOOKUP(P89,Importance,2,FALSE)</f>
        <v>10</v>
      </c>
      <c r="R89" s="8">
        <v>2</v>
      </c>
      <c r="S89" s="8">
        <f t="shared" ref="S89:S120" si="14">VLOOKUP(R89,Department,2,FALSE)</f>
        <v>6</v>
      </c>
      <c r="T89" s="8" t="s">
        <v>45</v>
      </c>
      <c r="U89" s="8">
        <f t="shared" ref="U89:U107" si="15">VLOOKUP(T89,Urgency,2,FALSE)</f>
        <v>32</v>
      </c>
      <c r="V89" s="8" t="s">
        <v>34</v>
      </c>
      <c r="W89" s="8">
        <v>0</v>
      </c>
      <c r="X89" s="8">
        <v>0</v>
      </c>
      <c r="Y89" s="8">
        <v>0</v>
      </c>
      <c r="Z89" s="8">
        <v>0</v>
      </c>
      <c r="AA89" s="8">
        <v>0</v>
      </c>
      <c r="AB89" s="8">
        <v>0</v>
      </c>
      <c r="AC89" s="8">
        <v>0</v>
      </c>
      <c r="AD89" s="17" t="s">
        <v>29</v>
      </c>
      <c r="AE89" s="8">
        <f>VLOOKUP(Master2017[[#This Row],[Elevated Priority]],Epriority,2,)</f>
        <v>0</v>
      </c>
      <c r="AF89" s="8">
        <f>IF(Master2017[[#This Row],[Status]]="Active",Master2017[[#This Row],[Status_Score]],IF(C89="","",Q89+G89+S89+U89+AE89-5))</f>
        <v>43</v>
      </c>
      <c r="AG89" s="8"/>
      <c r="AH89" s="8">
        <v>2021</v>
      </c>
      <c r="AI89" s="8">
        <v>2022</v>
      </c>
      <c r="AJ89" s="10"/>
    </row>
    <row r="90" spans="1:36" ht="30" x14ac:dyDescent="0.25">
      <c r="A90" s="103">
        <f t="shared" si="12"/>
        <v>84</v>
      </c>
      <c r="B90" s="10" t="s">
        <v>214</v>
      </c>
      <c r="C90" s="10" t="s">
        <v>459</v>
      </c>
      <c r="D90" s="10" t="s">
        <v>460</v>
      </c>
      <c r="E90" s="10" t="s">
        <v>461</v>
      </c>
      <c r="F90" s="10" t="s">
        <v>29</v>
      </c>
      <c r="G90" s="10">
        <f t="shared" si="11"/>
        <v>0</v>
      </c>
      <c r="H90" s="49"/>
      <c r="I90" s="49"/>
      <c r="J90" s="49">
        <f>Master2017[[#This Row],[Initial Budget]]-Master2017[[#This Row],[Previously Committed Funds]]</f>
        <v>0</v>
      </c>
      <c r="K90" s="49"/>
      <c r="L90" s="49"/>
      <c r="M90" s="97">
        <f>Master2017[[#This Row],[Design $ (Add/Deduct)]]+Master2017[[#This Row],[Construction $ (Add/Ded)]]</f>
        <v>0</v>
      </c>
      <c r="N90" s="32">
        <v>65000</v>
      </c>
      <c r="O90" s="8">
        <v>2018</v>
      </c>
      <c r="P90" s="10" t="s">
        <v>688</v>
      </c>
      <c r="Q90" s="8">
        <f t="shared" si="13"/>
        <v>20</v>
      </c>
      <c r="R90" s="8">
        <v>5</v>
      </c>
      <c r="S90" s="8">
        <f t="shared" si="14"/>
        <v>15</v>
      </c>
      <c r="T90" s="8" t="s">
        <v>45</v>
      </c>
      <c r="U90" s="8">
        <f t="shared" si="15"/>
        <v>32</v>
      </c>
      <c r="V90" s="8" t="s">
        <v>30</v>
      </c>
      <c r="W90" s="8">
        <v>0</v>
      </c>
      <c r="X90" s="8">
        <v>0</v>
      </c>
      <c r="Y90" s="8">
        <v>0</v>
      </c>
      <c r="Z90" s="8">
        <v>0</v>
      </c>
      <c r="AA90" s="8">
        <v>0</v>
      </c>
      <c r="AB90" s="8">
        <v>0</v>
      </c>
      <c r="AC90" s="8">
        <v>0</v>
      </c>
      <c r="AD90" s="17" t="s">
        <v>29</v>
      </c>
      <c r="AE90" s="8">
        <f>VLOOKUP(Master2017[[#This Row],[Elevated Priority]],Epriority,2,)</f>
        <v>0</v>
      </c>
      <c r="AF90" s="8">
        <f>IF(Master2017[[#This Row],[Status]]="Active",Master2017[[#This Row],[Status_Score]],IF(C90="","",Q90+G90+S90+U90+AE90-5))</f>
        <v>62</v>
      </c>
      <c r="AG90" s="8"/>
      <c r="AH90" s="8"/>
      <c r="AI90" s="8"/>
      <c r="AJ90" s="10"/>
    </row>
    <row r="91" spans="1:36" ht="45" x14ac:dyDescent="0.25">
      <c r="A91" s="103">
        <f t="shared" si="12"/>
        <v>85</v>
      </c>
      <c r="B91" s="10" t="s">
        <v>70</v>
      </c>
      <c r="C91" s="10" t="s">
        <v>444</v>
      </c>
      <c r="D91" s="10" t="s">
        <v>445</v>
      </c>
      <c r="E91" s="10" t="s">
        <v>446</v>
      </c>
      <c r="F91" s="10" t="s">
        <v>29</v>
      </c>
      <c r="G91" s="10">
        <f t="shared" si="11"/>
        <v>0</v>
      </c>
      <c r="H91" s="49"/>
      <c r="I91" s="49"/>
      <c r="J91" s="49">
        <f>Master2017[[#This Row],[Initial Budget]]-Master2017[[#This Row],[Previously Committed Funds]]</f>
        <v>0</v>
      </c>
      <c r="K91" s="49"/>
      <c r="L91" s="49"/>
      <c r="M91" s="97">
        <f>Master2017[[#This Row],[Design $ (Add/Deduct)]]+Master2017[[#This Row],[Construction $ (Add/Ded)]]</f>
        <v>0</v>
      </c>
      <c r="N91" s="32">
        <v>5000000</v>
      </c>
      <c r="O91" s="8">
        <v>2018</v>
      </c>
      <c r="P91" s="10" t="s">
        <v>687</v>
      </c>
      <c r="Q91" s="8">
        <f t="shared" si="13"/>
        <v>30</v>
      </c>
      <c r="R91" s="8">
        <v>2</v>
      </c>
      <c r="S91" s="8">
        <f t="shared" si="14"/>
        <v>6</v>
      </c>
      <c r="T91" s="8" t="s">
        <v>45</v>
      </c>
      <c r="U91" s="8">
        <f t="shared" si="15"/>
        <v>32</v>
      </c>
      <c r="V91" s="8" t="s">
        <v>30</v>
      </c>
      <c r="W91" s="8">
        <v>0</v>
      </c>
      <c r="X91" s="8">
        <v>0</v>
      </c>
      <c r="Y91" s="8">
        <v>0</v>
      </c>
      <c r="Z91" s="8">
        <v>0</v>
      </c>
      <c r="AA91" s="8">
        <v>0</v>
      </c>
      <c r="AB91" s="8">
        <v>0</v>
      </c>
      <c r="AC91" s="8">
        <v>0</v>
      </c>
      <c r="AD91" s="17" t="s">
        <v>29</v>
      </c>
      <c r="AE91" s="8">
        <f>VLOOKUP(Master2017[[#This Row],[Elevated Priority]],Epriority,2,)</f>
        <v>0</v>
      </c>
      <c r="AF91" s="8">
        <f>IF(Master2017[[#This Row],[Status]]="Active",Master2017[[#This Row],[Status_Score]],IF(C91="","",Q91+G91+S91+U91+AE91-5))</f>
        <v>63</v>
      </c>
      <c r="AG91" s="8"/>
      <c r="AH91" s="8"/>
      <c r="AI91" s="8"/>
      <c r="AJ91" s="10"/>
    </row>
    <row r="92" spans="1:36" ht="75" hidden="1" x14ac:dyDescent="0.25">
      <c r="A92" s="103">
        <f t="shared" si="12"/>
        <v>86</v>
      </c>
      <c r="B92" s="104" t="s">
        <v>143</v>
      </c>
      <c r="C92" s="10" t="s">
        <v>767</v>
      </c>
      <c r="D92" s="10" t="s">
        <v>768</v>
      </c>
      <c r="E92" s="10" t="s">
        <v>769</v>
      </c>
      <c r="F92" s="10" t="s">
        <v>29</v>
      </c>
      <c r="G92" s="10">
        <f t="shared" si="11"/>
        <v>0</v>
      </c>
      <c r="H92" s="49"/>
      <c r="I92" s="49"/>
      <c r="J92" s="49">
        <f>Master2017[[#This Row],[Initial Budget]]-Master2017[[#This Row],[Previously Committed Funds]]</f>
        <v>0</v>
      </c>
      <c r="K92" s="49"/>
      <c r="L92" s="49"/>
      <c r="M92" s="97">
        <f>Master2017[[#This Row],[Design $ (Add/Deduct)]]+Master2017[[#This Row],[Construction $ (Add/Ded)]]</f>
        <v>0</v>
      </c>
      <c r="N92" s="32">
        <v>25000</v>
      </c>
      <c r="O92" s="8">
        <v>2020</v>
      </c>
      <c r="P92" s="10" t="s">
        <v>686</v>
      </c>
      <c r="Q92" s="8">
        <f t="shared" si="13"/>
        <v>60</v>
      </c>
      <c r="R92" s="8">
        <v>2</v>
      </c>
      <c r="S92" s="8">
        <f t="shared" si="14"/>
        <v>6</v>
      </c>
      <c r="T92" s="8" t="s">
        <v>37</v>
      </c>
      <c r="U92" s="8">
        <f t="shared" si="15"/>
        <v>3</v>
      </c>
      <c r="V92" s="8" t="s">
        <v>34</v>
      </c>
      <c r="W92" s="114">
        <v>0</v>
      </c>
      <c r="X92" s="8">
        <v>0</v>
      </c>
      <c r="Y92" s="8">
        <v>-3</v>
      </c>
      <c r="Z92" s="8">
        <v>0</v>
      </c>
      <c r="AA92" s="8">
        <v>-2</v>
      </c>
      <c r="AB92" s="8">
        <v>0</v>
      </c>
      <c r="AC92" s="8">
        <v>0</v>
      </c>
      <c r="AD92" s="17" t="s">
        <v>29</v>
      </c>
      <c r="AE92" s="8">
        <f>VLOOKUP(Master2017[[#This Row],[Elevated Priority]],Epriority,2,)</f>
        <v>0</v>
      </c>
      <c r="AF92" s="8">
        <f>IF(Master2017[[#This Row],[Status]]="Active",Master2017[[#This Row],[Status_Score]],IF(C92="","",Q92+G92+S92+U92+AE92-5))</f>
        <v>64</v>
      </c>
      <c r="AG92" s="8"/>
      <c r="AH92" s="8">
        <v>2020</v>
      </c>
      <c r="AI92" s="8">
        <v>2021</v>
      </c>
      <c r="AJ92" s="10"/>
    </row>
    <row r="93" spans="1:36" ht="30" hidden="1" x14ac:dyDescent="0.25">
      <c r="A93" s="103">
        <f t="shared" si="12"/>
        <v>87</v>
      </c>
      <c r="B93" s="10" t="s">
        <v>72</v>
      </c>
      <c r="C93" s="10" t="s">
        <v>336</v>
      </c>
      <c r="D93" s="10" t="s">
        <v>824</v>
      </c>
      <c r="E93" s="10" t="s">
        <v>338</v>
      </c>
      <c r="F93" s="10" t="s">
        <v>29</v>
      </c>
      <c r="G93" s="10">
        <f t="shared" si="11"/>
        <v>0</v>
      </c>
      <c r="H93" s="49"/>
      <c r="I93" s="49"/>
      <c r="J93" s="49">
        <f>Master2017[[#This Row],[Initial Budget]]-Master2017[[#This Row],[Previously Committed Funds]]</f>
        <v>0</v>
      </c>
      <c r="K93" s="49"/>
      <c r="L93" s="49"/>
      <c r="M93" s="97">
        <f>Master2017[[#This Row],[Design $ (Add/Deduct)]]+Master2017[[#This Row],[Construction $ (Add/Ded)]]</f>
        <v>0</v>
      </c>
      <c r="N93" s="32">
        <v>2500000</v>
      </c>
      <c r="O93" s="8">
        <v>2018</v>
      </c>
      <c r="P93" s="10" t="s">
        <v>686</v>
      </c>
      <c r="Q93" s="8">
        <f t="shared" si="13"/>
        <v>60</v>
      </c>
      <c r="R93" s="8">
        <v>1</v>
      </c>
      <c r="S93" s="8">
        <f t="shared" si="14"/>
        <v>3</v>
      </c>
      <c r="T93" s="8" t="s">
        <v>37</v>
      </c>
      <c r="U93" s="8">
        <f t="shared" si="15"/>
        <v>3</v>
      </c>
      <c r="V93" s="8" t="s">
        <v>34</v>
      </c>
      <c r="W93" s="114">
        <v>0</v>
      </c>
      <c r="X93" s="8">
        <v>0</v>
      </c>
      <c r="Y93" s="8">
        <v>0</v>
      </c>
      <c r="Z93" s="8">
        <v>0</v>
      </c>
      <c r="AA93" s="8">
        <v>0</v>
      </c>
      <c r="AB93" s="8">
        <v>0</v>
      </c>
      <c r="AC93" s="8">
        <v>-2</v>
      </c>
      <c r="AD93" s="17" t="s">
        <v>29</v>
      </c>
      <c r="AE93" s="8">
        <f>VLOOKUP(Master2017[[#This Row],[Elevated Priority]],Epriority,2,)</f>
        <v>0</v>
      </c>
      <c r="AF93" s="8">
        <f>IF(Master2017[[#This Row],[Status]]="Active",Master2017[[#This Row],[Status_Score]],IF(C93="","",Q93+G93+S93+U93+AE93-5))</f>
        <v>61</v>
      </c>
      <c r="AG93" s="8"/>
      <c r="AH93" s="8">
        <v>2023</v>
      </c>
      <c r="AI93" s="8">
        <v>2024</v>
      </c>
      <c r="AJ93" s="10"/>
    </row>
    <row r="94" spans="1:36" ht="30" x14ac:dyDescent="0.25">
      <c r="A94" s="103">
        <f t="shared" si="12"/>
        <v>88</v>
      </c>
      <c r="B94" s="10" t="s">
        <v>61</v>
      </c>
      <c r="C94" s="10" t="s">
        <v>345</v>
      </c>
      <c r="D94" s="10" t="s">
        <v>346</v>
      </c>
      <c r="E94" s="10" t="s">
        <v>347</v>
      </c>
      <c r="F94" s="10" t="s">
        <v>29</v>
      </c>
      <c r="G94" s="10">
        <f t="shared" si="11"/>
        <v>0</v>
      </c>
      <c r="H94" s="49"/>
      <c r="I94" s="49"/>
      <c r="J94" s="49">
        <f>Master2017[[#This Row],[Initial Budget]]-Master2017[[#This Row],[Previously Committed Funds]]</f>
        <v>0</v>
      </c>
      <c r="K94" s="49"/>
      <c r="L94" s="49"/>
      <c r="M94" s="97">
        <f>Master2017[[#This Row],[Design $ (Add/Deduct)]]+Master2017[[#This Row],[Construction $ (Add/Ded)]]</f>
        <v>0</v>
      </c>
      <c r="N94" s="32">
        <v>75000</v>
      </c>
      <c r="O94" s="8">
        <v>2018</v>
      </c>
      <c r="P94" s="10" t="s">
        <v>687</v>
      </c>
      <c r="Q94" s="8">
        <f t="shared" si="13"/>
        <v>30</v>
      </c>
      <c r="R94" s="8">
        <v>3</v>
      </c>
      <c r="S94" s="8">
        <f t="shared" si="14"/>
        <v>9</v>
      </c>
      <c r="T94" s="8" t="s">
        <v>45</v>
      </c>
      <c r="U94" s="8">
        <f t="shared" si="15"/>
        <v>32</v>
      </c>
      <c r="V94" s="8" t="s">
        <v>30</v>
      </c>
      <c r="W94" s="8">
        <v>0</v>
      </c>
      <c r="X94" s="8">
        <v>0</v>
      </c>
      <c r="Y94" s="8">
        <v>0</v>
      </c>
      <c r="Z94" s="8">
        <v>0</v>
      </c>
      <c r="AA94" s="8">
        <v>0</v>
      </c>
      <c r="AB94" s="8">
        <v>0</v>
      </c>
      <c r="AC94" s="8">
        <v>0</v>
      </c>
      <c r="AD94" s="17" t="s">
        <v>29</v>
      </c>
      <c r="AE94" s="8">
        <f>VLOOKUP(Master2017[[#This Row],[Elevated Priority]],Epriority,2,)</f>
        <v>0</v>
      </c>
      <c r="AF94" s="8">
        <f>IF(Master2017[[#This Row],[Status]]="Active",Master2017[[#This Row],[Status_Score]],IF(C94="","",Q94+G94+S94+U94+AE94-5))</f>
        <v>66</v>
      </c>
      <c r="AG94" s="8"/>
      <c r="AH94" s="8"/>
      <c r="AI94" s="8"/>
      <c r="AJ94" s="10"/>
    </row>
    <row r="95" spans="1:36" x14ac:dyDescent="0.25">
      <c r="A95" s="103">
        <f t="shared" si="12"/>
        <v>89</v>
      </c>
      <c r="B95" s="10" t="s">
        <v>94</v>
      </c>
      <c r="C95" s="10" t="s">
        <v>581</v>
      </c>
      <c r="D95" s="10" t="s">
        <v>582</v>
      </c>
      <c r="E95" s="10"/>
      <c r="F95" s="10" t="s">
        <v>29</v>
      </c>
      <c r="G95" s="10">
        <f t="shared" si="11"/>
        <v>0</v>
      </c>
      <c r="H95" s="49"/>
      <c r="I95" s="49"/>
      <c r="J95" s="49">
        <f>Master2017[[#This Row],[Initial Budget]]-Master2017[[#This Row],[Previously Committed Funds]]</f>
        <v>0</v>
      </c>
      <c r="K95" s="49"/>
      <c r="L95" s="49"/>
      <c r="M95" s="97">
        <f>Master2017[[#This Row],[Design $ (Add/Deduct)]]+Master2017[[#This Row],[Construction $ (Add/Ded)]]</f>
        <v>0</v>
      </c>
      <c r="N95" s="32">
        <v>650000</v>
      </c>
      <c r="O95" s="17">
        <v>2019</v>
      </c>
      <c r="P95" s="10" t="s">
        <v>687</v>
      </c>
      <c r="Q95" s="8">
        <f t="shared" si="13"/>
        <v>30</v>
      </c>
      <c r="R95" s="8">
        <v>19</v>
      </c>
      <c r="S95" s="8">
        <f t="shared" si="14"/>
        <v>26</v>
      </c>
      <c r="T95" s="8" t="s">
        <v>43</v>
      </c>
      <c r="U95" s="8">
        <f t="shared" si="15"/>
        <v>16</v>
      </c>
      <c r="V95" s="8" t="s">
        <v>30</v>
      </c>
      <c r="W95" s="8">
        <v>0</v>
      </c>
      <c r="X95" s="8">
        <v>0</v>
      </c>
      <c r="Y95" s="8">
        <v>0</v>
      </c>
      <c r="Z95" s="8">
        <v>0</v>
      </c>
      <c r="AA95" s="8">
        <v>0</v>
      </c>
      <c r="AB95" s="8">
        <v>0</v>
      </c>
      <c r="AC95" s="8">
        <v>0</v>
      </c>
      <c r="AD95" s="17" t="s">
        <v>29</v>
      </c>
      <c r="AE95" s="8">
        <f>VLOOKUP(Master2017[[#This Row],[Elevated Priority]],Epriority,2,)</f>
        <v>0</v>
      </c>
      <c r="AF95" s="8">
        <f>IF(Master2017[[#This Row],[Status]]="Active",Master2017[[#This Row],[Status_Score]],IF(C95="","",Q95+G95+S95+U95+AE95-5))</f>
        <v>67</v>
      </c>
      <c r="AG95" s="8"/>
      <c r="AH95" s="8"/>
      <c r="AI95" s="8"/>
      <c r="AJ95" s="10"/>
    </row>
    <row r="96" spans="1:36" ht="255" hidden="1" x14ac:dyDescent="0.25">
      <c r="A96" s="103">
        <f t="shared" si="12"/>
        <v>90</v>
      </c>
      <c r="B96" s="10" t="s">
        <v>73</v>
      </c>
      <c r="C96" s="10" t="s">
        <v>547</v>
      </c>
      <c r="D96" s="10" t="s">
        <v>548</v>
      </c>
      <c r="E96" s="10" t="s">
        <v>549</v>
      </c>
      <c r="F96" s="10" t="s">
        <v>29</v>
      </c>
      <c r="G96" s="10">
        <f t="shared" si="11"/>
        <v>0</v>
      </c>
      <c r="H96" s="49"/>
      <c r="I96" s="49"/>
      <c r="J96" s="49">
        <f>Master2017[[#This Row],[Initial Budget]]-Master2017[[#This Row],[Previously Committed Funds]]</f>
        <v>0</v>
      </c>
      <c r="K96" s="49"/>
      <c r="L96" s="49"/>
      <c r="M96" s="97">
        <f>Master2017[[#This Row],[Design $ (Add/Deduct)]]+Master2017[[#This Row],[Construction $ (Add/Ded)]]</f>
        <v>0</v>
      </c>
      <c r="N96" s="32">
        <v>65000</v>
      </c>
      <c r="O96" s="8">
        <v>2018</v>
      </c>
      <c r="P96" s="10" t="s">
        <v>686</v>
      </c>
      <c r="Q96" s="8">
        <f t="shared" si="13"/>
        <v>60</v>
      </c>
      <c r="R96" s="8">
        <v>2</v>
      </c>
      <c r="S96" s="8">
        <f t="shared" si="14"/>
        <v>6</v>
      </c>
      <c r="T96" s="8" t="s">
        <v>41</v>
      </c>
      <c r="U96" s="8">
        <f t="shared" si="15"/>
        <v>4</v>
      </c>
      <c r="V96" s="8" t="s">
        <v>34</v>
      </c>
      <c r="W96" s="114">
        <v>0</v>
      </c>
      <c r="X96" s="8">
        <v>-5</v>
      </c>
      <c r="Y96" s="8">
        <v>0</v>
      </c>
      <c r="Z96" s="8">
        <v>0</v>
      </c>
      <c r="AA96" s="8">
        <v>0</v>
      </c>
      <c r="AB96" s="8">
        <v>0</v>
      </c>
      <c r="AC96" s="8">
        <v>0</v>
      </c>
      <c r="AD96" s="17" t="s">
        <v>29</v>
      </c>
      <c r="AE96" s="8">
        <f>VLOOKUP(Master2017[[#This Row],[Elevated Priority]],Epriority,2,)</f>
        <v>0</v>
      </c>
      <c r="AF96" s="8">
        <f>IF(Master2017[[#This Row],[Status]]="Active",Master2017[[#This Row],[Status_Score]],IF(C96="","",Q96+G96+S96+U96+AE96-5))</f>
        <v>65</v>
      </c>
      <c r="AG96" s="8"/>
      <c r="AH96" s="8">
        <v>2021</v>
      </c>
      <c r="AI96" s="8">
        <v>2021</v>
      </c>
      <c r="AJ96" s="10"/>
    </row>
    <row r="97" spans="1:36" ht="30" x14ac:dyDescent="0.25">
      <c r="A97" s="103">
        <f t="shared" si="12"/>
        <v>91</v>
      </c>
      <c r="B97" s="10" t="s">
        <v>91</v>
      </c>
      <c r="C97" s="10" t="s">
        <v>492</v>
      </c>
      <c r="D97" s="10" t="s">
        <v>493</v>
      </c>
      <c r="E97" s="10" t="s">
        <v>494</v>
      </c>
      <c r="F97" s="10" t="s">
        <v>29</v>
      </c>
      <c r="G97" s="10">
        <f t="shared" si="11"/>
        <v>0</v>
      </c>
      <c r="H97" s="49"/>
      <c r="I97" s="49"/>
      <c r="J97" s="49">
        <f>Master2017[[#This Row],[Initial Budget]]-Master2017[[#This Row],[Previously Committed Funds]]</f>
        <v>0</v>
      </c>
      <c r="K97" s="49"/>
      <c r="L97" s="49"/>
      <c r="M97" s="97">
        <f>Master2017[[#This Row],[Design $ (Add/Deduct)]]+Master2017[[#This Row],[Construction $ (Add/Ded)]]</f>
        <v>0</v>
      </c>
      <c r="N97" s="32">
        <v>75000</v>
      </c>
      <c r="O97" s="8">
        <v>2018</v>
      </c>
      <c r="P97" s="10" t="s">
        <v>688</v>
      </c>
      <c r="Q97" s="8">
        <f t="shared" si="13"/>
        <v>20</v>
      </c>
      <c r="R97" s="8">
        <v>10</v>
      </c>
      <c r="S97" s="8">
        <f t="shared" si="14"/>
        <v>21</v>
      </c>
      <c r="T97" s="8" t="s">
        <v>45</v>
      </c>
      <c r="U97" s="8">
        <f t="shared" si="15"/>
        <v>32</v>
      </c>
      <c r="V97" s="8" t="s">
        <v>30</v>
      </c>
      <c r="W97" s="8">
        <v>0</v>
      </c>
      <c r="X97" s="8">
        <v>0</v>
      </c>
      <c r="Y97" s="8">
        <v>0</v>
      </c>
      <c r="Z97" s="8">
        <v>0</v>
      </c>
      <c r="AA97" s="8">
        <v>0</v>
      </c>
      <c r="AB97" s="8">
        <v>0</v>
      </c>
      <c r="AC97" s="8">
        <v>0</v>
      </c>
      <c r="AD97" s="17" t="s">
        <v>29</v>
      </c>
      <c r="AE97" s="8">
        <f>VLOOKUP(Master2017[[#This Row],[Elevated Priority]],Epriority,2,)</f>
        <v>0</v>
      </c>
      <c r="AF97" s="8">
        <f>IF(Master2017[[#This Row],[Status]]="Active",Master2017[[#This Row],[Status_Score]],IF(C97="","",Q97+G97+S97+U97+AE97-5))</f>
        <v>68</v>
      </c>
      <c r="AG97" s="8"/>
      <c r="AH97" s="8"/>
      <c r="AI97" s="8"/>
      <c r="AJ97" s="10"/>
    </row>
    <row r="98" spans="1:36" ht="180" hidden="1" x14ac:dyDescent="0.25">
      <c r="A98" s="103">
        <f t="shared" si="12"/>
        <v>92</v>
      </c>
      <c r="B98" s="10" t="s">
        <v>73</v>
      </c>
      <c r="C98" s="10" t="s">
        <v>825</v>
      </c>
      <c r="D98" s="10" t="s">
        <v>196</v>
      </c>
      <c r="E98" s="10" t="s">
        <v>826</v>
      </c>
      <c r="F98" s="10" t="s">
        <v>29</v>
      </c>
      <c r="G98" s="10">
        <f t="shared" si="11"/>
        <v>0</v>
      </c>
      <c r="H98" s="49"/>
      <c r="I98" s="49"/>
      <c r="J98" s="49">
        <f>Master2017[[#This Row],[Initial Budget]]-Master2017[[#This Row],[Previously Committed Funds]]</f>
        <v>0</v>
      </c>
      <c r="K98" s="49"/>
      <c r="L98" s="49"/>
      <c r="M98" s="97">
        <f>Master2017[[#This Row],[Design $ (Add/Deduct)]]+Master2017[[#This Row],[Construction $ (Add/Ded)]]</f>
        <v>0</v>
      </c>
      <c r="N98" s="32">
        <v>25000</v>
      </c>
      <c r="O98" s="8">
        <v>2018</v>
      </c>
      <c r="P98" s="10" t="s">
        <v>686</v>
      </c>
      <c r="Q98" s="8">
        <f t="shared" si="13"/>
        <v>60</v>
      </c>
      <c r="R98" s="8">
        <v>1</v>
      </c>
      <c r="S98" s="8">
        <f t="shared" si="14"/>
        <v>3</v>
      </c>
      <c r="T98" s="8" t="s">
        <v>37</v>
      </c>
      <c r="U98" s="8">
        <f t="shared" si="15"/>
        <v>3</v>
      </c>
      <c r="V98" s="8" t="s">
        <v>34</v>
      </c>
      <c r="W98" s="114">
        <v>0</v>
      </c>
      <c r="X98" s="8">
        <v>0</v>
      </c>
      <c r="Y98" s="8">
        <v>0</v>
      </c>
      <c r="Z98" s="8">
        <v>0</v>
      </c>
      <c r="AA98" s="8">
        <v>0</v>
      </c>
      <c r="AB98" s="8">
        <v>0</v>
      </c>
      <c r="AC98" s="8">
        <v>0</v>
      </c>
      <c r="AD98" s="17" t="s">
        <v>29</v>
      </c>
      <c r="AE98" s="8">
        <f>VLOOKUP(Master2017[[#This Row],[Elevated Priority]],Epriority,2,)</f>
        <v>0</v>
      </c>
      <c r="AF98" s="8">
        <f>IF(Master2017[[#This Row],[Status]]="Active",Master2017[[#This Row],[Status_Score]],IF(C98="","",Q98+G98+S98+U98+AE98-5))</f>
        <v>61</v>
      </c>
      <c r="AG98" s="8"/>
      <c r="AH98" s="8">
        <v>2023</v>
      </c>
      <c r="AI98" s="8">
        <v>2024</v>
      </c>
      <c r="AJ98" s="10"/>
    </row>
    <row r="99" spans="1:36" ht="60" hidden="1" x14ac:dyDescent="0.25">
      <c r="A99" s="103">
        <f t="shared" si="12"/>
        <v>93</v>
      </c>
      <c r="B99" s="74" t="s">
        <v>61</v>
      </c>
      <c r="C99" s="10" t="s">
        <v>632</v>
      </c>
      <c r="D99" s="10" t="s">
        <v>636</v>
      </c>
      <c r="E99" s="49" t="s">
        <v>633</v>
      </c>
      <c r="F99" s="10" t="s">
        <v>29</v>
      </c>
      <c r="G99" s="10">
        <f t="shared" si="11"/>
        <v>0</v>
      </c>
      <c r="H99" s="49"/>
      <c r="I99" s="49"/>
      <c r="J99" s="49">
        <f>Master2017[[#This Row],[Initial Budget]]-Master2017[[#This Row],[Previously Committed Funds]]</f>
        <v>0</v>
      </c>
      <c r="K99" s="49"/>
      <c r="L99" s="49"/>
      <c r="M99" s="97">
        <f>Master2017[[#This Row],[Design $ (Add/Deduct)]]+Master2017[[#This Row],[Construction $ (Add/Ded)]]</f>
        <v>0</v>
      </c>
      <c r="N99" s="32">
        <v>100000</v>
      </c>
      <c r="O99" s="8">
        <v>2019</v>
      </c>
      <c r="P99" s="10" t="s">
        <v>686</v>
      </c>
      <c r="Q99" s="8">
        <f t="shared" si="13"/>
        <v>60</v>
      </c>
      <c r="R99" s="8">
        <v>3</v>
      </c>
      <c r="S99" s="8">
        <f t="shared" si="14"/>
        <v>9</v>
      </c>
      <c r="T99" s="8" t="s">
        <v>41</v>
      </c>
      <c r="U99" s="8">
        <f t="shared" si="15"/>
        <v>4</v>
      </c>
      <c r="V99" s="8" t="s">
        <v>34</v>
      </c>
      <c r="W99" s="114">
        <v>-2</v>
      </c>
      <c r="X99" s="8">
        <v>0</v>
      </c>
      <c r="Y99" s="8">
        <v>0</v>
      </c>
      <c r="Z99" s="8">
        <v>-3</v>
      </c>
      <c r="AA99" s="8">
        <v>-2</v>
      </c>
      <c r="AB99" s="8">
        <v>0</v>
      </c>
      <c r="AC99" s="8">
        <v>0</v>
      </c>
      <c r="AD99" s="8" t="s">
        <v>29</v>
      </c>
      <c r="AE99" s="8">
        <f>VLOOKUP(Master2017[[#This Row],[Elevated Priority]],Epriority,2,)</f>
        <v>0</v>
      </c>
      <c r="AF99" s="8">
        <f>IF(Master2017[[#This Row],[Status]]="Active",Master2017[[#This Row],[Status_Score]],IF(C99="","",Q99+G99+S99+U99+AE99-5))</f>
        <v>68</v>
      </c>
      <c r="AG99" s="8"/>
      <c r="AH99" s="8"/>
      <c r="AI99" s="8"/>
      <c r="AJ99" s="10"/>
    </row>
    <row r="100" spans="1:36" ht="75" x14ac:dyDescent="0.25">
      <c r="A100" s="103">
        <f t="shared" si="12"/>
        <v>94</v>
      </c>
      <c r="B100" s="125" t="s">
        <v>67</v>
      </c>
      <c r="C100" s="67" t="s">
        <v>788</v>
      </c>
      <c r="D100" s="67" t="s">
        <v>789</v>
      </c>
      <c r="E100" s="67" t="s">
        <v>790</v>
      </c>
      <c r="F100" s="10" t="s">
        <v>29</v>
      </c>
      <c r="G100" s="10">
        <f t="shared" si="11"/>
        <v>0</v>
      </c>
      <c r="H100" s="49"/>
      <c r="I100" s="49"/>
      <c r="J100" s="49">
        <f>Master2017[[#This Row],[Initial Budget]]-Master2017[[#This Row],[Previously Committed Funds]]</f>
        <v>0</v>
      </c>
      <c r="K100" s="49"/>
      <c r="L100" s="49"/>
      <c r="M100" s="97">
        <f>Master2017[[#This Row],[Design $ (Add/Deduct)]]+Master2017[[#This Row],[Construction $ (Add/Ded)]]</f>
        <v>0</v>
      </c>
      <c r="N100" s="32">
        <v>60000</v>
      </c>
      <c r="O100" s="8">
        <v>2020</v>
      </c>
      <c r="P100" s="10" t="s">
        <v>686</v>
      </c>
      <c r="Q100" s="8">
        <f t="shared" si="13"/>
        <v>60</v>
      </c>
      <c r="R100" s="8">
        <v>10</v>
      </c>
      <c r="S100" s="8">
        <f t="shared" si="14"/>
        <v>21</v>
      </c>
      <c r="T100" s="8" t="s">
        <v>41</v>
      </c>
      <c r="U100" s="8">
        <f t="shared" si="15"/>
        <v>4</v>
      </c>
      <c r="V100" s="8" t="s">
        <v>30</v>
      </c>
      <c r="W100" s="8">
        <v>0</v>
      </c>
      <c r="X100" s="8">
        <v>0</v>
      </c>
      <c r="Y100" s="8">
        <v>0</v>
      </c>
      <c r="Z100" s="8">
        <v>0</v>
      </c>
      <c r="AA100" s="8">
        <v>0</v>
      </c>
      <c r="AB100" s="8">
        <v>0</v>
      </c>
      <c r="AC100" s="8">
        <v>0</v>
      </c>
      <c r="AD100" s="17" t="s">
        <v>29</v>
      </c>
      <c r="AE100" s="8">
        <f>VLOOKUP(Master2017[[#This Row],[Elevated Priority]],Epriority,2,)</f>
        <v>0</v>
      </c>
      <c r="AF100" s="8">
        <f>IF(Master2017[[#This Row],[Status]]="Active",Master2017[[#This Row],[Status_Score]],IF(C100="","",Q100+G100+S100+U100+AE100-5))</f>
        <v>80</v>
      </c>
      <c r="AG100" s="8"/>
      <c r="AH100" s="8"/>
      <c r="AI100" s="8"/>
      <c r="AJ100" s="10"/>
    </row>
    <row r="101" spans="1:36" ht="45" hidden="1" x14ac:dyDescent="0.25">
      <c r="A101" s="103">
        <f t="shared" si="12"/>
        <v>95</v>
      </c>
      <c r="B101" s="10" t="s">
        <v>61</v>
      </c>
      <c r="C101" s="10" t="s">
        <v>528</v>
      </c>
      <c r="D101" s="10" t="s">
        <v>529</v>
      </c>
      <c r="E101" s="10" t="s">
        <v>908</v>
      </c>
      <c r="F101" s="10" t="s">
        <v>29</v>
      </c>
      <c r="G101" s="10">
        <f t="shared" si="11"/>
        <v>0</v>
      </c>
      <c r="H101" s="49"/>
      <c r="I101" s="49"/>
      <c r="J101" s="49">
        <f>Master2017[[#This Row],[Initial Budget]]-Master2017[[#This Row],[Previously Committed Funds]]</f>
        <v>0</v>
      </c>
      <c r="K101" s="49"/>
      <c r="L101" s="49"/>
      <c r="M101" s="97">
        <f>Master2017[[#This Row],[Design $ (Add/Deduct)]]+Master2017[[#This Row],[Construction $ (Add/Ded)]]</f>
        <v>0</v>
      </c>
      <c r="N101" s="32">
        <v>4500000</v>
      </c>
      <c r="O101" s="8">
        <v>2018</v>
      </c>
      <c r="P101" s="10" t="s">
        <v>46</v>
      </c>
      <c r="Q101" s="8">
        <f t="shared" si="13"/>
        <v>50</v>
      </c>
      <c r="R101" s="8">
        <v>4</v>
      </c>
      <c r="S101" s="8">
        <f t="shared" si="14"/>
        <v>12</v>
      </c>
      <c r="T101" s="8" t="s">
        <v>41</v>
      </c>
      <c r="U101" s="8">
        <f t="shared" si="15"/>
        <v>4</v>
      </c>
      <c r="V101" s="8" t="s">
        <v>34</v>
      </c>
      <c r="W101" s="114">
        <v>-9</v>
      </c>
      <c r="X101" s="8">
        <v>0</v>
      </c>
      <c r="Y101" s="8">
        <v>-1</v>
      </c>
      <c r="Z101" s="8">
        <v>-3</v>
      </c>
      <c r="AA101" s="8">
        <v>-2</v>
      </c>
      <c r="AB101" s="8">
        <v>-5</v>
      </c>
      <c r="AC101" s="8">
        <v>0</v>
      </c>
      <c r="AD101" s="17" t="s">
        <v>29</v>
      </c>
      <c r="AE101" s="8">
        <f>VLOOKUP(Master2017[[#This Row],[Elevated Priority]],Epriority,2,)</f>
        <v>0</v>
      </c>
      <c r="AF101" s="8">
        <f>IF(Master2017[[#This Row],[Status]]="Active",Master2017[[#This Row],[Status_Score]],IF(C101="","",Q101+G101+S101+U101+AE101-5))</f>
        <v>61</v>
      </c>
      <c r="AG101" s="8"/>
      <c r="AH101" s="8">
        <v>2020</v>
      </c>
      <c r="AI101" s="8">
        <v>2021</v>
      </c>
      <c r="AJ101" s="10"/>
    </row>
    <row r="102" spans="1:36" ht="30" x14ac:dyDescent="0.25">
      <c r="A102" s="103">
        <f t="shared" si="12"/>
        <v>96</v>
      </c>
      <c r="B102" s="10" t="s">
        <v>79</v>
      </c>
      <c r="C102" s="10" t="s">
        <v>510</v>
      </c>
      <c r="D102" s="10" t="s">
        <v>511</v>
      </c>
      <c r="E102" s="10" t="s">
        <v>512</v>
      </c>
      <c r="F102" s="10" t="s">
        <v>29</v>
      </c>
      <c r="G102" s="10">
        <f t="shared" si="11"/>
        <v>0</v>
      </c>
      <c r="H102" s="49"/>
      <c r="I102" s="49"/>
      <c r="J102" s="49">
        <f>Master2017[[#This Row],[Initial Budget]]-Master2017[[#This Row],[Previously Committed Funds]]</f>
        <v>0</v>
      </c>
      <c r="K102" s="49"/>
      <c r="L102" s="49"/>
      <c r="M102" s="97">
        <f>Master2017[[#This Row],[Design $ (Add/Deduct)]]+Master2017[[#This Row],[Construction $ (Add/Ded)]]</f>
        <v>0</v>
      </c>
      <c r="N102" s="32">
        <v>15000</v>
      </c>
      <c r="O102" s="8">
        <v>2018</v>
      </c>
      <c r="P102" s="10" t="s">
        <v>688</v>
      </c>
      <c r="Q102" s="8">
        <f t="shared" si="13"/>
        <v>20</v>
      </c>
      <c r="R102" s="8">
        <v>16</v>
      </c>
      <c r="S102" s="8">
        <f t="shared" si="14"/>
        <v>24</v>
      </c>
      <c r="T102" s="8" t="s">
        <v>45</v>
      </c>
      <c r="U102" s="8">
        <f t="shared" si="15"/>
        <v>32</v>
      </c>
      <c r="V102" s="8" t="s">
        <v>30</v>
      </c>
      <c r="W102" s="8">
        <v>0</v>
      </c>
      <c r="X102" s="8">
        <v>0</v>
      </c>
      <c r="Y102" s="8">
        <v>0</v>
      </c>
      <c r="Z102" s="8">
        <v>0</v>
      </c>
      <c r="AA102" s="8">
        <v>0</v>
      </c>
      <c r="AB102" s="8">
        <v>0</v>
      </c>
      <c r="AC102" s="8">
        <v>0</v>
      </c>
      <c r="AD102" s="17" t="s">
        <v>29</v>
      </c>
      <c r="AE102" s="8">
        <f>VLOOKUP(Master2017[[#This Row],[Elevated Priority]],Epriority,2,)</f>
        <v>0</v>
      </c>
      <c r="AF102" s="8">
        <f>IF(Master2017[[#This Row],[Status]]="Active",Master2017[[#This Row],[Status_Score]],IF(C102="","",Q102+G102+S102+U102+AE102-5))</f>
        <v>71</v>
      </c>
      <c r="AG102" s="8"/>
      <c r="AH102" s="8"/>
      <c r="AI102" s="8"/>
      <c r="AJ102" s="10"/>
    </row>
    <row r="103" spans="1:36" x14ac:dyDescent="0.25">
      <c r="A103" s="103">
        <f t="shared" si="12"/>
        <v>97</v>
      </c>
      <c r="B103" s="10" t="s">
        <v>94</v>
      </c>
      <c r="C103" s="1" t="s">
        <v>319</v>
      </c>
      <c r="D103" s="1" t="s">
        <v>320</v>
      </c>
      <c r="E103" s="72" t="s">
        <v>321</v>
      </c>
      <c r="F103" s="10" t="s">
        <v>29</v>
      </c>
      <c r="G103" s="10">
        <f t="shared" si="11"/>
        <v>0</v>
      </c>
      <c r="H103" s="49"/>
      <c r="I103" s="49"/>
      <c r="J103" s="49">
        <f>Master2017[[#This Row],[Initial Budget]]-Master2017[[#This Row],[Previously Committed Funds]]</f>
        <v>0</v>
      </c>
      <c r="K103" s="49"/>
      <c r="L103" s="49"/>
      <c r="M103" s="97">
        <f>Master2017[[#This Row],[Design $ (Add/Deduct)]]+Master2017[[#This Row],[Construction $ (Add/Ded)]]</f>
        <v>0</v>
      </c>
      <c r="N103" s="32">
        <v>50000</v>
      </c>
      <c r="O103" s="8">
        <v>2018</v>
      </c>
      <c r="P103" s="10" t="s">
        <v>686</v>
      </c>
      <c r="Q103" s="8">
        <f t="shared" si="13"/>
        <v>60</v>
      </c>
      <c r="R103" s="8">
        <v>20</v>
      </c>
      <c r="S103" s="8">
        <f t="shared" si="14"/>
        <v>26</v>
      </c>
      <c r="T103" s="8" t="s">
        <v>33</v>
      </c>
      <c r="U103" s="8">
        <f t="shared" si="15"/>
        <v>1</v>
      </c>
      <c r="V103" s="8" t="s">
        <v>30</v>
      </c>
      <c r="W103" s="8">
        <v>0</v>
      </c>
      <c r="X103" s="8">
        <v>0</v>
      </c>
      <c r="Y103" s="8">
        <v>0</v>
      </c>
      <c r="Z103" s="8">
        <v>0</v>
      </c>
      <c r="AA103" s="8">
        <v>0</v>
      </c>
      <c r="AB103" s="8">
        <v>0</v>
      </c>
      <c r="AC103" s="8">
        <v>0</v>
      </c>
      <c r="AD103" s="17" t="s">
        <v>29</v>
      </c>
      <c r="AE103" s="8">
        <f>VLOOKUP(Master2017[[#This Row],[Elevated Priority]],Epriority,2,)</f>
        <v>0</v>
      </c>
      <c r="AF103" s="8">
        <f>IF(Master2017[[#This Row],[Status]]="Active",Master2017[[#This Row],[Status_Score]],IF(C103="","",Q103+G103+S103+U103+AE103-5))</f>
        <v>82</v>
      </c>
      <c r="AG103" s="8"/>
      <c r="AH103" s="8"/>
      <c r="AI103" s="8"/>
      <c r="AJ103" s="10"/>
    </row>
    <row r="104" spans="1:36" ht="30" x14ac:dyDescent="0.25">
      <c r="A104" s="103">
        <f t="shared" si="12"/>
        <v>98</v>
      </c>
      <c r="B104" s="10" t="s">
        <v>94</v>
      </c>
      <c r="C104" s="10" t="s">
        <v>411</v>
      </c>
      <c r="D104" s="10" t="s">
        <v>412</v>
      </c>
      <c r="E104" s="10" t="s">
        <v>413</v>
      </c>
      <c r="F104" s="10" t="s">
        <v>29</v>
      </c>
      <c r="G104" s="10">
        <f t="shared" si="11"/>
        <v>0</v>
      </c>
      <c r="H104" s="49"/>
      <c r="I104" s="49"/>
      <c r="J104" s="49">
        <f>Master2017[[#This Row],[Initial Budget]]-Master2017[[#This Row],[Previously Committed Funds]]</f>
        <v>0</v>
      </c>
      <c r="K104" s="49"/>
      <c r="L104" s="49"/>
      <c r="M104" s="97">
        <f>Master2017[[#This Row],[Design $ (Add/Deduct)]]+Master2017[[#This Row],[Construction $ (Add/Ded)]]</f>
        <v>0</v>
      </c>
      <c r="N104" s="32">
        <v>150000</v>
      </c>
      <c r="O104" s="8">
        <v>2018</v>
      </c>
      <c r="P104" s="10" t="s">
        <v>686</v>
      </c>
      <c r="Q104" s="8">
        <f t="shared" si="13"/>
        <v>60</v>
      </c>
      <c r="R104" s="8">
        <v>21</v>
      </c>
      <c r="S104" s="8">
        <f t="shared" si="14"/>
        <v>27</v>
      </c>
      <c r="T104" s="8" t="s">
        <v>41</v>
      </c>
      <c r="U104" s="8">
        <f t="shared" si="15"/>
        <v>4</v>
      </c>
      <c r="V104" s="8" t="s">
        <v>30</v>
      </c>
      <c r="W104" s="8">
        <v>0</v>
      </c>
      <c r="X104" s="8">
        <v>0</v>
      </c>
      <c r="Y104" s="8">
        <v>0</v>
      </c>
      <c r="Z104" s="8">
        <v>0</v>
      </c>
      <c r="AA104" s="8">
        <v>0</v>
      </c>
      <c r="AB104" s="8">
        <v>0</v>
      </c>
      <c r="AC104" s="8">
        <v>0</v>
      </c>
      <c r="AD104" s="17" t="s">
        <v>29</v>
      </c>
      <c r="AE104" s="8">
        <f>VLOOKUP(Master2017[[#This Row],[Elevated Priority]],Epriority,2,)</f>
        <v>0</v>
      </c>
      <c r="AF104" s="8">
        <f>IF(Master2017[[#This Row],[Status]]="Active",Master2017[[#This Row],[Status_Score]],IF(C104="","",Q104+G104+S104+U104+AE104-5))</f>
        <v>86</v>
      </c>
      <c r="AG104" s="8"/>
      <c r="AH104" s="8"/>
      <c r="AI104" s="8"/>
      <c r="AJ104" s="10"/>
    </row>
    <row r="105" spans="1:36" x14ac:dyDescent="0.25">
      <c r="A105" s="103">
        <f t="shared" si="12"/>
        <v>99</v>
      </c>
      <c r="B105" s="10" t="s">
        <v>67</v>
      </c>
      <c r="C105" s="10" t="s">
        <v>437</v>
      </c>
      <c r="E105" s="10"/>
      <c r="F105" s="10" t="s">
        <v>29</v>
      </c>
      <c r="G105" s="10">
        <f t="shared" si="11"/>
        <v>0</v>
      </c>
      <c r="H105" s="49"/>
      <c r="I105" s="49"/>
      <c r="J105" s="49">
        <f>Master2017[[#This Row],[Initial Budget]]-Master2017[[#This Row],[Previously Committed Funds]]</f>
        <v>0</v>
      </c>
      <c r="K105" s="49"/>
      <c r="L105" s="49"/>
      <c r="M105" s="97">
        <f>Master2017[[#This Row],[Design $ (Add/Deduct)]]+Master2017[[#This Row],[Construction $ (Add/Ded)]]</f>
        <v>0</v>
      </c>
      <c r="N105" s="32">
        <v>40000</v>
      </c>
      <c r="O105" s="8">
        <v>2018</v>
      </c>
      <c r="P105" s="10" t="s">
        <v>46</v>
      </c>
      <c r="Q105" s="8">
        <f t="shared" si="13"/>
        <v>50</v>
      </c>
      <c r="R105" s="8">
        <v>10</v>
      </c>
      <c r="S105" s="8">
        <f t="shared" si="14"/>
        <v>21</v>
      </c>
      <c r="T105" s="8" t="s">
        <v>29</v>
      </c>
      <c r="U105" s="8">
        <f t="shared" si="15"/>
        <v>0</v>
      </c>
      <c r="V105" s="8" t="s">
        <v>30</v>
      </c>
      <c r="W105" s="8">
        <v>0</v>
      </c>
      <c r="X105" s="8">
        <v>0</v>
      </c>
      <c r="Y105" s="8">
        <v>0</v>
      </c>
      <c r="Z105" s="8">
        <v>0</v>
      </c>
      <c r="AA105" s="8">
        <v>0</v>
      </c>
      <c r="AB105" s="8">
        <v>0</v>
      </c>
      <c r="AC105" s="8">
        <v>0</v>
      </c>
      <c r="AD105" s="17" t="s">
        <v>29</v>
      </c>
      <c r="AE105" s="8">
        <f>VLOOKUP(Master2017[[#This Row],[Elevated Priority]],Epriority,2,)</f>
        <v>0</v>
      </c>
      <c r="AF105" s="8">
        <f>IF(Master2017[[#This Row],[Status]]="Active",Master2017[[#This Row],[Status_Score]],IF(C105="","",Q105+G105+S105+U105+AE105-5))</f>
        <v>66</v>
      </c>
      <c r="AG105" s="8"/>
      <c r="AH105" s="8"/>
      <c r="AI105" s="8"/>
      <c r="AJ105" s="10"/>
    </row>
    <row r="106" spans="1:36" ht="30" x14ac:dyDescent="0.25">
      <c r="A106" s="103">
        <f t="shared" si="12"/>
        <v>100</v>
      </c>
      <c r="B106" s="10" t="s">
        <v>67</v>
      </c>
      <c r="C106" s="10" t="s">
        <v>431</v>
      </c>
      <c r="D106" s="10" t="s">
        <v>432</v>
      </c>
      <c r="E106" s="10" t="s">
        <v>433</v>
      </c>
      <c r="F106" s="10" t="s">
        <v>29</v>
      </c>
      <c r="G106" s="10">
        <f t="shared" si="11"/>
        <v>0</v>
      </c>
      <c r="H106" s="49"/>
      <c r="I106" s="49"/>
      <c r="J106" s="49">
        <f>Master2017[[#This Row],[Initial Budget]]-Master2017[[#This Row],[Previously Committed Funds]]</f>
        <v>0</v>
      </c>
      <c r="K106" s="49"/>
      <c r="L106" s="49"/>
      <c r="M106" s="97">
        <f>Master2017[[#This Row],[Design $ (Add/Deduct)]]+Master2017[[#This Row],[Construction $ (Add/Ded)]]</f>
        <v>0</v>
      </c>
      <c r="N106" s="32">
        <v>25000</v>
      </c>
      <c r="O106" s="8">
        <v>2018</v>
      </c>
      <c r="P106" s="10" t="s">
        <v>46</v>
      </c>
      <c r="Q106" s="8">
        <f t="shared" si="13"/>
        <v>50</v>
      </c>
      <c r="R106" s="8">
        <v>2</v>
      </c>
      <c r="S106" s="8">
        <f t="shared" si="14"/>
        <v>6</v>
      </c>
      <c r="T106" s="8" t="s">
        <v>43</v>
      </c>
      <c r="U106" s="8">
        <f t="shared" si="15"/>
        <v>16</v>
      </c>
      <c r="V106" s="8" t="s">
        <v>30</v>
      </c>
      <c r="W106" s="8">
        <v>0</v>
      </c>
      <c r="X106" s="8">
        <v>0</v>
      </c>
      <c r="Y106" s="8">
        <v>0</v>
      </c>
      <c r="Z106" s="8">
        <v>0</v>
      </c>
      <c r="AA106" s="8">
        <v>0</v>
      </c>
      <c r="AB106" s="8">
        <v>0</v>
      </c>
      <c r="AC106" s="8">
        <v>0</v>
      </c>
      <c r="AD106" s="17" t="s">
        <v>29</v>
      </c>
      <c r="AE106" s="8">
        <f>VLOOKUP(Master2017[[#This Row],[Elevated Priority]],Epriority,2,)</f>
        <v>0</v>
      </c>
      <c r="AF106" s="8">
        <f>IF(Master2017[[#This Row],[Status]]="Active",Master2017[[#This Row],[Status_Score]],IF(C106="","",Q106+G106+S106+U106+AE106-5))</f>
        <v>67</v>
      </c>
      <c r="AG106" s="8"/>
      <c r="AH106" s="8"/>
      <c r="AI106" s="8"/>
      <c r="AJ106" s="10"/>
    </row>
    <row r="107" spans="1:36" ht="30" hidden="1" x14ac:dyDescent="0.25">
      <c r="A107" s="103">
        <f t="shared" si="12"/>
        <v>101</v>
      </c>
      <c r="B107" s="10" t="s">
        <v>220</v>
      </c>
      <c r="C107" s="10" t="s">
        <v>772</v>
      </c>
      <c r="D107" s="43" t="s">
        <v>773</v>
      </c>
      <c r="E107" s="43" t="s">
        <v>838</v>
      </c>
      <c r="F107" s="10" t="s">
        <v>29</v>
      </c>
      <c r="G107" s="10">
        <f t="shared" si="11"/>
        <v>0</v>
      </c>
      <c r="H107" s="49"/>
      <c r="I107" s="49"/>
      <c r="J107" s="49">
        <f>Master2017[[#This Row],[Initial Budget]]-Master2017[[#This Row],[Previously Committed Funds]]</f>
        <v>0</v>
      </c>
      <c r="K107" s="49"/>
      <c r="L107" s="49"/>
      <c r="M107" s="97">
        <f>Master2017[[#This Row],[Design $ (Add/Deduct)]]+Master2017[[#This Row],[Construction $ (Add/Ded)]]</f>
        <v>0</v>
      </c>
      <c r="N107" s="32" t="s">
        <v>224</v>
      </c>
      <c r="O107" s="8">
        <v>2018</v>
      </c>
      <c r="P107" s="10" t="s">
        <v>686</v>
      </c>
      <c r="Q107" s="8">
        <f t="shared" si="13"/>
        <v>60</v>
      </c>
      <c r="R107" s="8">
        <v>2</v>
      </c>
      <c r="S107" s="8">
        <f t="shared" si="14"/>
        <v>6</v>
      </c>
      <c r="T107" s="8" t="s">
        <v>41</v>
      </c>
      <c r="U107" s="8">
        <f t="shared" si="15"/>
        <v>4</v>
      </c>
      <c r="V107" s="8" t="s">
        <v>34</v>
      </c>
      <c r="W107" s="114">
        <v>0</v>
      </c>
      <c r="X107" s="8">
        <v>0</v>
      </c>
      <c r="Y107" s="8">
        <v>0</v>
      </c>
      <c r="Z107" s="8">
        <v>0</v>
      </c>
      <c r="AA107" s="8">
        <v>0</v>
      </c>
      <c r="AB107" s="8">
        <v>0</v>
      </c>
      <c r="AC107" s="8">
        <v>0</v>
      </c>
      <c r="AD107" s="17" t="s">
        <v>29</v>
      </c>
      <c r="AE107" s="8">
        <f>VLOOKUP(Master2017[[#This Row],[Elevated Priority]],Epriority,2,)</f>
        <v>0</v>
      </c>
      <c r="AF107" s="8">
        <f>IF(Master2017[[#This Row],[Status]]="Active",Master2017[[#This Row],[Status_Score]],IF(C107="","",Q107+G107+S107+U107+AE107-5))</f>
        <v>65</v>
      </c>
      <c r="AG107" s="8"/>
      <c r="AH107" s="8">
        <v>2022</v>
      </c>
      <c r="AI107" s="8">
        <v>2023</v>
      </c>
      <c r="AJ107" s="10" t="s">
        <v>942</v>
      </c>
    </row>
    <row r="108" spans="1:36" ht="30" hidden="1" x14ac:dyDescent="0.25">
      <c r="A108" s="103">
        <f t="shared" si="12"/>
        <v>102</v>
      </c>
      <c r="B108" s="10" t="s">
        <v>70</v>
      </c>
      <c r="C108" s="10" t="s">
        <v>693</v>
      </c>
      <c r="D108" s="10" t="s">
        <v>699</v>
      </c>
      <c r="E108" s="10"/>
      <c r="F108" s="10" t="s">
        <v>29</v>
      </c>
      <c r="G108" s="10">
        <f t="shared" si="11"/>
        <v>0</v>
      </c>
      <c r="H108" s="49"/>
      <c r="I108" s="49"/>
      <c r="J108" s="49">
        <f>Master2017[[#This Row],[Initial Budget]]-Master2017[[#This Row],[Previously Committed Funds]]</f>
        <v>0</v>
      </c>
      <c r="K108" s="49"/>
      <c r="L108" s="49"/>
      <c r="M108" s="97">
        <f>Master2017[[#This Row],[Design $ (Add/Deduct)]]+Master2017[[#This Row],[Construction $ (Add/Ded)]]</f>
        <v>0</v>
      </c>
      <c r="N108" s="32">
        <v>7000000</v>
      </c>
      <c r="O108" s="8">
        <v>2019</v>
      </c>
      <c r="P108" s="10" t="s">
        <v>46</v>
      </c>
      <c r="Q108" s="8">
        <f t="shared" si="13"/>
        <v>50</v>
      </c>
      <c r="R108" s="8">
        <v>3</v>
      </c>
      <c r="S108" s="8">
        <f t="shared" si="14"/>
        <v>9</v>
      </c>
      <c r="T108" s="8" t="s">
        <v>43</v>
      </c>
      <c r="V108" s="8" t="s">
        <v>34</v>
      </c>
      <c r="W108" s="114">
        <v>0</v>
      </c>
      <c r="X108" s="8">
        <v>0</v>
      </c>
      <c r="Y108" s="8">
        <v>-3</v>
      </c>
      <c r="Z108" s="8">
        <v>-3</v>
      </c>
      <c r="AA108" s="8">
        <v>-2</v>
      </c>
      <c r="AB108" s="8">
        <v>0</v>
      </c>
      <c r="AC108" s="8">
        <v>0</v>
      </c>
      <c r="AD108" s="17" t="s">
        <v>29</v>
      </c>
      <c r="AE108" s="8">
        <f>VLOOKUP(Master2017[[#This Row],[Elevated Priority]],Epriority,2,)</f>
        <v>0</v>
      </c>
      <c r="AF108" s="8">
        <f>IF(Master2017[[#This Row],[Status]]="Active",Master2017[[#This Row],[Status_Score]],IF(C108="","",Q108+G108+S108+U108+AE108-5))</f>
        <v>54</v>
      </c>
      <c r="AG108" s="8"/>
      <c r="AH108" s="8">
        <v>2021</v>
      </c>
      <c r="AI108" s="8">
        <v>2022</v>
      </c>
      <c r="AJ108" s="10"/>
    </row>
    <row r="109" spans="1:36" x14ac:dyDescent="0.25">
      <c r="A109" s="103">
        <f t="shared" si="12"/>
        <v>103</v>
      </c>
      <c r="B109" s="10" t="s">
        <v>94</v>
      </c>
      <c r="C109" s="10" t="s">
        <v>586</v>
      </c>
      <c r="D109" s="10" t="s">
        <v>587</v>
      </c>
      <c r="E109" s="10"/>
      <c r="F109" s="10" t="s">
        <v>29</v>
      </c>
      <c r="G109" s="10">
        <f t="shared" si="11"/>
        <v>0</v>
      </c>
      <c r="H109" s="49"/>
      <c r="I109" s="49"/>
      <c r="J109" s="49">
        <f>Master2017[[#This Row],[Initial Budget]]-Master2017[[#This Row],[Previously Committed Funds]]</f>
        <v>0</v>
      </c>
      <c r="K109" s="49"/>
      <c r="L109" s="49"/>
      <c r="M109" s="97">
        <f>Master2017[[#This Row],[Design $ (Add/Deduct)]]+Master2017[[#This Row],[Construction $ (Add/Ded)]]</f>
        <v>0</v>
      </c>
      <c r="N109" s="32">
        <v>50000</v>
      </c>
      <c r="O109" s="17">
        <v>2019</v>
      </c>
      <c r="P109" s="10" t="s">
        <v>686</v>
      </c>
      <c r="Q109" s="8">
        <f t="shared" si="13"/>
        <v>60</v>
      </c>
      <c r="R109" s="8">
        <v>15</v>
      </c>
      <c r="S109" s="8">
        <f t="shared" si="14"/>
        <v>24</v>
      </c>
      <c r="T109" s="8" t="s">
        <v>43</v>
      </c>
      <c r="U109" s="8">
        <f t="shared" ref="U109:U114" si="16">VLOOKUP(T109,Urgency,2,FALSE)</f>
        <v>16</v>
      </c>
      <c r="V109" s="8" t="s">
        <v>30</v>
      </c>
      <c r="W109" s="8">
        <v>0</v>
      </c>
      <c r="X109" s="8">
        <v>0</v>
      </c>
      <c r="Y109" s="8">
        <v>0</v>
      </c>
      <c r="Z109" s="8">
        <v>0</v>
      </c>
      <c r="AA109" s="8">
        <v>0</v>
      </c>
      <c r="AB109" s="8">
        <v>0</v>
      </c>
      <c r="AC109" s="8">
        <v>0</v>
      </c>
      <c r="AD109" s="17" t="s">
        <v>29</v>
      </c>
      <c r="AE109" s="8">
        <f>VLOOKUP(Master2017[[#This Row],[Elevated Priority]],Epriority,2,)</f>
        <v>0</v>
      </c>
      <c r="AF109" s="8">
        <f>IF(Master2017[[#This Row],[Status]]="Active",Master2017[[#This Row],[Status_Score]],IF(C109="","",Q109+G109+S109+U109+AE109-5))</f>
        <v>95</v>
      </c>
      <c r="AG109" s="8"/>
      <c r="AH109" s="8"/>
      <c r="AI109" s="8"/>
      <c r="AJ109" s="10"/>
    </row>
    <row r="110" spans="1:36" ht="105" hidden="1" x14ac:dyDescent="0.25">
      <c r="A110" s="103">
        <f t="shared" si="12"/>
        <v>104</v>
      </c>
      <c r="B110" s="10" t="s">
        <v>143</v>
      </c>
      <c r="C110" s="10" t="s">
        <v>144</v>
      </c>
      <c r="D110" s="10" t="s">
        <v>145</v>
      </c>
      <c r="E110" s="10" t="s">
        <v>146</v>
      </c>
      <c r="F110" s="10" t="s">
        <v>29</v>
      </c>
      <c r="G110" s="10">
        <f t="shared" si="11"/>
        <v>0</v>
      </c>
      <c r="H110" s="49"/>
      <c r="I110" s="49"/>
      <c r="J110" s="49">
        <f>Master2017[[#This Row],[Initial Budget]]-Master2017[[#This Row],[Previously Committed Funds]]</f>
        <v>0</v>
      </c>
      <c r="K110" s="49"/>
      <c r="L110" s="49"/>
      <c r="M110" s="97">
        <f>Master2017[[#This Row],[Design $ (Add/Deduct)]]+Master2017[[#This Row],[Construction $ (Add/Ded)]]</f>
        <v>0</v>
      </c>
      <c r="N110" s="49">
        <v>50000</v>
      </c>
      <c r="O110" s="8">
        <v>2018</v>
      </c>
      <c r="P110" s="10" t="s">
        <v>686</v>
      </c>
      <c r="Q110" s="8">
        <f t="shared" si="13"/>
        <v>60</v>
      </c>
      <c r="R110" s="17">
        <v>3</v>
      </c>
      <c r="S110" s="8">
        <f t="shared" si="14"/>
        <v>9</v>
      </c>
      <c r="T110" s="17" t="s">
        <v>41</v>
      </c>
      <c r="U110" s="8">
        <f t="shared" si="16"/>
        <v>4</v>
      </c>
      <c r="V110" s="8" t="s">
        <v>34</v>
      </c>
      <c r="W110" s="114">
        <v>0</v>
      </c>
      <c r="X110" s="8">
        <v>0</v>
      </c>
      <c r="Y110" s="8">
        <v>0</v>
      </c>
      <c r="Z110" s="8">
        <v>0</v>
      </c>
      <c r="AA110" s="8">
        <v>0</v>
      </c>
      <c r="AB110" s="8">
        <v>0</v>
      </c>
      <c r="AC110" s="8">
        <v>-1</v>
      </c>
      <c r="AD110" s="17" t="s">
        <v>29</v>
      </c>
      <c r="AE110" s="8">
        <f>VLOOKUP(Master2017[[#This Row],[Elevated Priority]],Epriority,2,)</f>
        <v>0</v>
      </c>
      <c r="AF110" s="8">
        <f>IF(Master2017[[#This Row],[Status]]="Active",Master2017[[#This Row],[Status_Score]],IF(C110="","",Q110+G110+S110+U110+AE110-5))</f>
        <v>68</v>
      </c>
      <c r="AG110" s="8"/>
      <c r="AH110" s="8">
        <v>2022</v>
      </c>
      <c r="AI110" s="8">
        <v>2023</v>
      </c>
      <c r="AJ110" s="10" t="s">
        <v>942</v>
      </c>
    </row>
    <row r="111" spans="1:36" ht="45" hidden="1" x14ac:dyDescent="0.25">
      <c r="A111" s="103">
        <f t="shared" si="12"/>
        <v>105</v>
      </c>
      <c r="B111" s="10" t="s">
        <v>61</v>
      </c>
      <c r="C111" s="10" t="s">
        <v>541</v>
      </c>
      <c r="D111" s="10" t="s">
        <v>542</v>
      </c>
      <c r="E111" s="10" t="s">
        <v>543</v>
      </c>
      <c r="F111" s="10" t="s">
        <v>29</v>
      </c>
      <c r="G111" s="10">
        <f t="shared" si="11"/>
        <v>0</v>
      </c>
      <c r="H111" s="49"/>
      <c r="I111" s="49"/>
      <c r="J111" s="49">
        <f>Master2017[[#This Row],[Initial Budget]]-Master2017[[#This Row],[Previously Committed Funds]]</f>
        <v>0</v>
      </c>
      <c r="K111" s="49"/>
      <c r="L111" s="49"/>
      <c r="M111" s="97">
        <f>Master2017[[#This Row],[Design $ (Add/Deduct)]]+Master2017[[#This Row],[Construction $ (Add/Ded)]]</f>
        <v>0</v>
      </c>
      <c r="N111" s="32">
        <v>10000000</v>
      </c>
      <c r="O111" s="8">
        <v>2018</v>
      </c>
      <c r="P111" s="10" t="s">
        <v>46</v>
      </c>
      <c r="Q111" s="8">
        <f t="shared" si="13"/>
        <v>50</v>
      </c>
      <c r="R111" s="8">
        <v>4</v>
      </c>
      <c r="S111" s="8">
        <f t="shared" si="14"/>
        <v>12</v>
      </c>
      <c r="T111" s="8" t="s">
        <v>43</v>
      </c>
      <c r="U111" s="8">
        <f t="shared" si="16"/>
        <v>16</v>
      </c>
      <c r="V111" s="8" t="s">
        <v>34</v>
      </c>
      <c r="W111" s="114">
        <v>-9</v>
      </c>
      <c r="X111" s="8">
        <v>0</v>
      </c>
      <c r="Y111" s="8">
        <v>0</v>
      </c>
      <c r="Z111" s="8">
        <v>-3</v>
      </c>
      <c r="AA111" s="8">
        <v>-2</v>
      </c>
      <c r="AB111" s="8">
        <v>-9</v>
      </c>
      <c r="AC111" s="8">
        <v>-3</v>
      </c>
      <c r="AD111" s="17" t="s">
        <v>29</v>
      </c>
      <c r="AE111" s="8">
        <f>VLOOKUP(Master2017[[#This Row],[Elevated Priority]],Epriority,2,)</f>
        <v>0</v>
      </c>
      <c r="AF111" s="8">
        <f>IF(Master2017[[#This Row],[Status]]="Active",Master2017[[#This Row],[Status_Score]],IF(C111="","",Q111+G111+S111+U111+AE111-5))</f>
        <v>73</v>
      </c>
      <c r="AG111" s="8"/>
      <c r="AH111" s="8">
        <v>2020</v>
      </c>
      <c r="AI111" s="8">
        <v>2024</v>
      </c>
      <c r="AJ111" s="10"/>
    </row>
    <row r="112" spans="1:36" ht="30" x14ac:dyDescent="0.25">
      <c r="A112" s="103">
        <f t="shared" si="12"/>
        <v>106</v>
      </c>
      <c r="B112" s="10" t="s">
        <v>94</v>
      </c>
      <c r="C112" s="10" t="s">
        <v>506</v>
      </c>
      <c r="D112" s="10" t="s">
        <v>507</v>
      </c>
      <c r="E112" s="10" t="s">
        <v>909</v>
      </c>
      <c r="F112" s="10" t="s">
        <v>29</v>
      </c>
      <c r="G112" s="10">
        <f t="shared" si="11"/>
        <v>0</v>
      </c>
      <c r="H112" s="49"/>
      <c r="I112" s="49"/>
      <c r="J112" s="49">
        <f>Master2017[[#This Row],[Initial Budget]]-Master2017[[#This Row],[Previously Committed Funds]]</f>
        <v>0</v>
      </c>
      <c r="K112" s="49"/>
      <c r="L112" s="49"/>
      <c r="M112" s="97">
        <f>Master2017[[#This Row],[Design $ (Add/Deduct)]]+Master2017[[#This Row],[Construction $ (Add/Ded)]]</f>
        <v>0</v>
      </c>
      <c r="N112" s="32">
        <v>350000</v>
      </c>
      <c r="O112" s="8">
        <v>2018</v>
      </c>
      <c r="P112" s="10" t="s">
        <v>46</v>
      </c>
      <c r="Q112" s="8">
        <f t="shared" si="13"/>
        <v>50</v>
      </c>
      <c r="R112" s="8">
        <v>23</v>
      </c>
      <c r="S112" s="8">
        <f t="shared" si="14"/>
        <v>28</v>
      </c>
      <c r="T112" s="8" t="s">
        <v>41</v>
      </c>
      <c r="U112" s="8">
        <f t="shared" si="16"/>
        <v>4</v>
      </c>
      <c r="V112" s="8" t="s">
        <v>30</v>
      </c>
      <c r="W112" s="8">
        <v>0</v>
      </c>
      <c r="X112" s="8">
        <v>0</v>
      </c>
      <c r="Y112" s="8">
        <v>0</v>
      </c>
      <c r="Z112" s="8">
        <v>0</v>
      </c>
      <c r="AA112" s="8">
        <v>0</v>
      </c>
      <c r="AB112" s="8">
        <v>0</v>
      </c>
      <c r="AC112" s="8">
        <v>0</v>
      </c>
      <c r="AD112" s="17" t="s">
        <v>29</v>
      </c>
      <c r="AE112" s="8">
        <f>VLOOKUP(Master2017[[#This Row],[Elevated Priority]],Epriority,2,)</f>
        <v>0</v>
      </c>
      <c r="AF112" s="8">
        <f>IF(Master2017[[#This Row],[Status]]="Active",Master2017[[#This Row],[Status_Score]],IF(C112="","",Q112+G112+S112+U112+AE112-5))</f>
        <v>77</v>
      </c>
      <c r="AG112" s="8"/>
      <c r="AH112" s="8"/>
      <c r="AI112" s="8"/>
      <c r="AJ112" s="10"/>
    </row>
    <row r="113" spans="1:36" ht="60" hidden="1" x14ac:dyDescent="0.25">
      <c r="A113" s="103">
        <f t="shared" si="12"/>
        <v>107</v>
      </c>
      <c r="B113" s="10" t="s">
        <v>71</v>
      </c>
      <c r="C113" s="10" t="s">
        <v>943</v>
      </c>
      <c r="D113" s="10" t="s">
        <v>946</v>
      </c>
      <c r="E113" s="10" t="s">
        <v>944</v>
      </c>
      <c r="F113" s="10" t="s">
        <v>29</v>
      </c>
      <c r="G113" s="10">
        <f t="shared" si="11"/>
        <v>0</v>
      </c>
      <c r="H113" s="49"/>
      <c r="I113" s="49"/>
      <c r="J113" s="49">
        <f>Master2017[[#This Row],[Initial Budget]]-Master2017[[#This Row],[Previously Committed Funds]]</f>
        <v>0</v>
      </c>
      <c r="K113" s="49"/>
      <c r="L113" s="49"/>
      <c r="M113" s="97">
        <f>Master2017[[#This Row],[Design $ (Add/Deduct)]]+Master2017[[#This Row],[Construction $ (Add/Ded)]]</f>
        <v>0</v>
      </c>
      <c r="N113" s="32">
        <v>8000000</v>
      </c>
      <c r="O113" s="8">
        <v>2018</v>
      </c>
      <c r="P113" s="10" t="s">
        <v>46</v>
      </c>
      <c r="Q113" s="8">
        <f t="shared" si="13"/>
        <v>50</v>
      </c>
      <c r="R113" s="8">
        <v>2</v>
      </c>
      <c r="S113" s="8">
        <f t="shared" si="14"/>
        <v>6</v>
      </c>
      <c r="T113" s="8" t="s">
        <v>37</v>
      </c>
      <c r="U113" s="8">
        <f t="shared" si="16"/>
        <v>3</v>
      </c>
      <c r="V113" s="8" t="s">
        <v>34</v>
      </c>
      <c r="W113" s="114">
        <v>-1</v>
      </c>
      <c r="X113" s="8">
        <v>0</v>
      </c>
      <c r="Y113" s="8">
        <v>0</v>
      </c>
      <c r="Z113" s="8">
        <v>0</v>
      </c>
      <c r="AA113" s="8">
        <v>-2</v>
      </c>
      <c r="AB113" s="8">
        <v>0</v>
      </c>
      <c r="AC113" s="8">
        <v>-3</v>
      </c>
      <c r="AD113" s="17" t="s">
        <v>29</v>
      </c>
      <c r="AE113" s="8">
        <f>VLOOKUP(Master2017[[#This Row],[Elevated Priority]],Epriority,2,)</f>
        <v>0</v>
      </c>
      <c r="AF113" s="8">
        <f>IF(Master2017[[#This Row],[Status]]="Active",Master2017[[#This Row],[Status_Score]],IF(C113="","",Q113+G113+S113+U113+AE113-5))</f>
        <v>54</v>
      </c>
      <c r="AG113" s="8"/>
      <c r="AH113" s="8">
        <v>2022</v>
      </c>
      <c r="AI113" s="8">
        <v>2024</v>
      </c>
      <c r="AJ113" s="10"/>
    </row>
    <row r="114" spans="1:36" ht="90" hidden="1" x14ac:dyDescent="0.25">
      <c r="A114" s="103">
        <f t="shared" si="12"/>
        <v>108</v>
      </c>
      <c r="B114" s="10" t="s">
        <v>71</v>
      </c>
      <c r="C114" s="10" t="s">
        <v>455</v>
      </c>
      <c r="D114" s="10" t="s">
        <v>904</v>
      </c>
      <c r="E114" s="10" t="s">
        <v>905</v>
      </c>
      <c r="F114" s="10" t="s">
        <v>29</v>
      </c>
      <c r="G114" s="10">
        <f t="shared" si="11"/>
        <v>0</v>
      </c>
      <c r="H114" s="49"/>
      <c r="I114" s="49"/>
      <c r="J114" s="49">
        <f>Master2017[[#This Row],[Initial Budget]]-Master2017[[#This Row],[Previously Committed Funds]]</f>
        <v>0</v>
      </c>
      <c r="K114" s="49"/>
      <c r="L114" s="49"/>
      <c r="M114" s="97">
        <f>Master2017[[#This Row],[Design $ (Add/Deduct)]]+Master2017[[#This Row],[Construction $ (Add/Ded)]]</f>
        <v>0</v>
      </c>
      <c r="N114" s="32">
        <v>8000000</v>
      </c>
      <c r="O114" s="8">
        <v>2018</v>
      </c>
      <c r="P114" s="10" t="s">
        <v>46</v>
      </c>
      <c r="Q114" s="8">
        <f t="shared" si="13"/>
        <v>50</v>
      </c>
      <c r="R114" s="8">
        <v>1</v>
      </c>
      <c r="S114" s="8">
        <f t="shared" si="14"/>
        <v>3</v>
      </c>
      <c r="T114" s="8" t="s">
        <v>37</v>
      </c>
      <c r="U114" s="8">
        <f t="shared" si="16"/>
        <v>3</v>
      </c>
      <c r="V114" s="8" t="s">
        <v>34</v>
      </c>
      <c r="W114" s="114">
        <v>0</v>
      </c>
      <c r="X114" s="8">
        <v>0</v>
      </c>
      <c r="Y114" s="8">
        <v>0</v>
      </c>
      <c r="Z114" s="8">
        <v>0</v>
      </c>
      <c r="AA114" s="8">
        <v>-2</v>
      </c>
      <c r="AB114" s="8">
        <v>-1</v>
      </c>
      <c r="AC114" s="8">
        <v>0</v>
      </c>
      <c r="AD114" s="17" t="s">
        <v>29</v>
      </c>
      <c r="AE114" s="8">
        <f>VLOOKUP(Master2017[[#This Row],[Elevated Priority]],Epriority,2,)</f>
        <v>0</v>
      </c>
      <c r="AF114" s="8">
        <f>IF(Master2017[[#This Row],[Status]]="Active",Master2017[[#This Row],[Status_Score]],IF(C114="","",Q114+G114+S114+U114+AE114-5))</f>
        <v>51</v>
      </c>
      <c r="AG114" s="8"/>
      <c r="AH114" s="8">
        <v>2022</v>
      </c>
      <c r="AI114" s="8">
        <v>2024</v>
      </c>
      <c r="AJ114" s="10" t="s">
        <v>982</v>
      </c>
    </row>
    <row r="115" spans="1:36" ht="30" hidden="1" x14ac:dyDescent="0.25">
      <c r="A115" s="103">
        <f t="shared" si="12"/>
        <v>109</v>
      </c>
      <c r="B115" s="10" t="s">
        <v>70</v>
      </c>
      <c r="C115" s="10" t="s">
        <v>694</v>
      </c>
      <c r="D115" s="10" t="s">
        <v>700</v>
      </c>
      <c r="E115" s="10"/>
      <c r="F115" s="10" t="s">
        <v>29</v>
      </c>
      <c r="G115" s="10">
        <f t="shared" si="11"/>
        <v>0</v>
      </c>
      <c r="H115" s="49"/>
      <c r="I115" s="49"/>
      <c r="J115" s="49">
        <f>Master2017[[#This Row],[Initial Budget]]-Master2017[[#This Row],[Previously Committed Funds]]</f>
        <v>0</v>
      </c>
      <c r="K115" s="49"/>
      <c r="L115" s="49"/>
      <c r="M115" s="97">
        <f>Master2017[[#This Row],[Design $ (Add/Deduct)]]+Master2017[[#This Row],[Construction $ (Add/Ded)]]</f>
        <v>0</v>
      </c>
      <c r="N115" s="32">
        <v>5000000</v>
      </c>
      <c r="O115" s="8">
        <v>2019</v>
      </c>
      <c r="P115" s="10" t="s">
        <v>46</v>
      </c>
      <c r="Q115" s="8">
        <f t="shared" si="13"/>
        <v>50</v>
      </c>
      <c r="R115" s="8">
        <v>4</v>
      </c>
      <c r="S115" s="8">
        <f t="shared" si="14"/>
        <v>12</v>
      </c>
      <c r="T115" s="8" t="s">
        <v>43</v>
      </c>
      <c r="V115" s="8" t="s">
        <v>34</v>
      </c>
      <c r="W115" s="114">
        <v>0</v>
      </c>
      <c r="X115" s="8">
        <v>0</v>
      </c>
      <c r="Y115" s="8">
        <v>-3</v>
      </c>
      <c r="Z115" s="8">
        <v>-3</v>
      </c>
      <c r="AA115" s="8">
        <v>-2</v>
      </c>
      <c r="AB115" s="8">
        <v>0</v>
      </c>
      <c r="AC115" s="8">
        <v>0</v>
      </c>
      <c r="AD115" s="17" t="s">
        <v>29</v>
      </c>
      <c r="AE115" s="8">
        <f>VLOOKUP(Master2017[[#This Row],[Elevated Priority]],Epriority,2,)</f>
        <v>0</v>
      </c>
      <c r="AF115" s="8">
        <f>IF(Master2017[[#This Row],[Status]]="Active",Master2017[[#This Row],[Status_Score]],IF(C115="","",Q115+G115+S115+U115+AE115-5))</f>
        <v>57</v>
      </c>
      <c r="AG115" s="8"/>
      <c r="AH115" s="8">
        <v>2022</v>
      </c>
      <c r="AI115" s="8">
        <v>2023</v>
      </c>
      <c r="AJ115" s="10"/>
    </row>
    <row r="116" spans="1:36" ht="89.25" customHeight="1" x14ac:dyDescent="0.25">
      <c r="A116" s="103">
        <f t="shared" si="12"/>
        <v>110</v>
      </c>
      <c r="B116" s="10" t="s">
        <v>69</v>
      </c>
      <c r="C116" s="10" t="s">
        <v>552</v>
      </c>
      <c r="D116" s="10" t="s">
        <v>553</v>
      </c>
      <c r="E116" s="10" t="s">
        <v>554</v>
      </c>
      <c r="F116" s="10" t="s">
        <v>29</v>
      </c>
      <c r="G116" s="10">
        <f t="shared" si="11"/>
        <v>0</v>
      </c>
      <c r="H116" s="49"/>
      <c r="I116" s="49"/>
      <c r="J116" s="49">
        <f>Master2017[[#This Row],[Initial Budget]]-Master2017[[#This Row],[Previously Committed Funds]]</f>
        <v>0</v>
      </c>
      <c r="K116" s="49"/>
      <c r="L116" s="49"/>
      <c r="M116" s="97">
        <f>Master2017[[#This Row],[Design $ (Add/Deduct)]]+Master2017[[#This Row],[Construction $ (Add/Ded)]]</f>
        <v>0</v>
      </c>
      <c r="N116" s="49">
        <v>400000</v>
      </c>
      <c r="O116" s="8">
        <v>2018</v>
      </c>
      <c r="P116" s="10" t="s">
        <v>688</v>
      </c>
      <c r="Q116" s="8">
        <f t="shared" si="13"/>
        <v>20</v>
      </c>
      <c r="R116" s="17">
        <v>3</v>
      </c>
      <c r="S116" s="8">
        <f t="shared" si="14"/>
        <v>9</v>
      </c>
      <c r="T116" s="17" t="s">
        <v>47</v>
      </c>
      <c r="U116" s="8">
        <f t="shared" ref="U116:U121" si="17">VLOOKUP(T116,Urgency,2,FALSE)</f>
        <v>64</v>
      </c>
      <c r="V116" s="8" t="s">
        <v>30</v>
      </c>
      <c r="W116" s="8">
        <v>0</v>
      </c>
      <c r="X116" s="8">
        <v>0</v>
      </c>
      <c r="Y116" s="8">
        <v>0</v>
      </c>
      <c r="Z116" s="8">
        <v>0</v>
      </c>
      <c r="AA116" s="8">
        <v>0</v>
      </c>
      <c r="AB116" s="8">
        <v>0</v>
      </c>
      <c r="AC116" s="8">
        <v>0</v>
      </c>
      <c r="AD116" s="17" t="s">
        <v>29</v>
      </c>
      <c r="AE116" s="8">
        <f>VLOOKUP(Master2017[[#This Row],[Elevated Priority]],Epriority,2,)</f>
        <v>0</v>
      </c>
      <c r="AF116" s="8">
        <f>IF(Master2017[[#This Row],[Status]]="Active",Master2017[[#This Row],[Status_Score]],IF(C116="","",Q116+G116+S116+U116+AE116-5))</f>
        <v>88</v>
      </c>
      <c r="AG116" s="8"/>
      <c r="AH116" s="8"/>
      <c r="AI116" s="8"/>
      <c r="AJ116" s="10"/>
    </row>
    <row r="117" spans="1:36" ht="30" x14ac:dyDescent="0.25">
      <c r="A117" s="103">
        <f t="shared" si="12"/>
        <v>111</v>
      </c>
      <c r="B117" s="10" t="s">
        <v>94</v>
      </c>
      <c r="C117" s="48" t="s">
        <v>522</v>
      </c>
      <c r="D117" s="10" t="s">
        <v>523</v>
      </c>
      <c r="E117" s="10" t="s">
        <v>524</v>
      </c>
      <c r="F117" s="10" t="s">
        <v>29</v>
      </c>
      <c r="G117" s="10">
        <f t="shared" si="11"/>
        <v>0</v>
      </c>
      <c r="H117" s="49"/>
      <c r="I117" s="49"/>
      <c r="J117" s="49">
        <f>Master2017[[#This Row],[Initial Budget]]-Master2017[[#This Row],[Previously Committed Funds]]</f>
        <v>0</v>
      </c>
      <c r="K117" s="49"/>
      <c r="L117" s="49"/>
      <c r="M117" s="97">
        <f>Master2017[[#This Row],[Design $ (Add/Deduct)]]+Master2017[[#This Row],[Construction $ (Add/Ded)]]</f>
        <v>0</v>
      </c>
      <c r="N117" s="32">
        <v>100000</v>
      </c>
      <c r="O117" s="8">
        <v>2018</v>
      </c>
      <c r="P117" s="10" t="s">
        <v>46</v>
      </c>
      <c r="Q117" s="8">
        <f t="shared" si="13"/>
        <v>50</v>
      </c>
      <c r="R117" s="8">
        <v>32</v>
      </c>
      <c r="S117" s="8">
        <f t="shared" si="14"/>
        <v>32</v>
      </c>
      <c r="T117" s="8" t="s">
        <v>41</v>
      </c>
      <c r="U117" s="8">
        <f t="shared" si="17"/>
        <v>4</v>
      </c>
      <c r="V117" s="8" t="s">
        <v>30</v>
      </c>
      <c r="W117" s="8">
        <v>0</v>
      </c>
      <c r="X117" s="8">
        <v>0</v>
      </c>
      <c r="Y117" s="8">
        <v>0</v>
      </c>
      <c r="Z117" s="8">
        <v>0</v>
      </c>
      <c r="AA117" s="8">
        <v>0</v>
      </c>
      <c r="AB117" s="8">
        <v>0</v>
      </c>
      <c r="AC117" s="8">
        <v>0</v>
      </c>
      <c r="AD117" s="17" t="s">
        <v>29</v>
      </c>
      <c r="AE117" s="8">
        <f>VLOOKUP(Master2017[[#This Row],[Elevated Priority]],Epriority,2,)</f>
        <v>0</v>
      </c>
      <c r="AF117" s="8">
        <f>IF(Master2017[[#This Row],[Status]]="Active",Master2017[[#This Row],[Status_Score]],IF(C117="","",Q117+G117+S117+U117+AE117-5))</f>
        <v>81</v>
      </c>
      <c r="AG117" s="8"/>
      <c r="AH117" s="8"/>
      <c r="AI117" s="8"/>
      <c r="AJ117" s="10"/>
    </row>
    <row r="118" spans="1:36" ht="107.25" hidden="1" customHeight="1" x14ac:dyDescent="0.25">
      <c r="A118" s="103">
        <f t="shared" si="12"/>
        <v>112</v>
      </c>
      <c r="B118" s="125" t="s">
        <v>79</v>
      </c>
      <c r="C118" s="1" t="s">
        <v>783</v>
      </c>
      <c r="D118" s="10" t="s">
        <v>785</v>
      </c>
      <c r="E118" s="10" t="s">
        <v>804</v>
      </c>
      <c r="F118" s="10" t="s">
        <v>29</v>
      </c>
      <c r="G118" s="10">
        <f t="shared" si="11"/>
        <v>0</v>
      </c>
      <c r="H118" s="49"/>
      <c r="I118" s="49"/>
      <c r="J118" s="49">
        <f>Master2017[[#This Row],[Initial Budget]]-Master2017[[#This Row],[Previously Committed Funds]]</f>
        <v>0</v>
      </c>
      <c r="K118" s="49"/>
      <c r="L118" s="49"/>
      <c r="M118" s="97">
        <f>Master2017[[#This Row],[Design $ (Add/Deduct)]]+Master2017[[#This Row],[Construction $ (Add/Ded)]]</f>
        <v>0</v>
      </c>
      <c r="N118" s="32">
        <v>100000</v>
      </c>
      <c r="O118" s="8">
        <v>2017</v>
      </c>
      <c r="P118" s="10" t="s">
        <v>686</v>
      </c>
      <c r="Q118" s="8">
        <f t="shared" si="13"/>
        <v>60</v>
      </c>
      <c r="R118" s="8">
        <v>1</v>
      </c>
      <c r="S118" s="8">
        <f t="shared" si="14"/>
        <v>3</v>
      </c>
      <c r="T118" s="8" t="s">
        <v>43</v>
      </c>
      <c r="U118" s="8">
        <f t="shared" si="17"/>
        <v>16</v>
      </c>
      <c r="V118" s="8" t="s">
        <v>34</v>
      </c>
      <c r="W118" s="114">
        <v>0</v>
      </c>
      <c r="X118" s="8">
        <v>0</v>
      </c>
      <c r="Y118" s="8">
        <v>0</v>
      </c>
      <c r="Z118" s="8">
        <v>0</v>
      </c>
      <c r="AA118" s="8">
        <v>0</v>
      </c>
      <c r="AB118" s="8">
        <v>0</v>
      </c>
      <c r="AC118" s="8">
        <v>-3</v>
      </c>
      <c r="AD118" s="17" t="s">
        <v>29</v>
      </c>
      <c r="AE118" s="8">
        <f>VLOOKUP(Master2017[[#This Row],[Elevated Priority]],Epriority,2,)</f>
        <v>0</v>
      </c>
      <c r="AF118" s="8">
        <f>IF(Master2017[[#This Row],[Status]]="Active",Master2017[[#This Row],[Status_Score]],IF(C118="","",Q118+G118+S118+U118+AE118-5))</f>
        <v>74</v>
      </c>
      <c r="AG118" s="8"/>
      <c r="AH118" s="8"/>
      <c r="AI118" s="8"/>
      <c r="AJ118" s="10"/>
    </row>
    <row r="119" spans="1:36" ht="30" hidden="1" x14ac:dyDescent="0.25">
      <c r="A119" s="103">
        <f t="shared" si="12"/>
        <v>113</v>
      </c>
      <c r="B119" s="10" t="s">
        <v>152</v>
      </c>
      <c r="C119" s="10" t="s">
        <v>926</v>
      </c>
      <c r="D119" s="10" t="s">
        <v>927</v>
      </c>
      <c r="E119" s="10" t="s">
        <v>928</v>
      </c>
      <c r="F119" s="10" t="s">
        <v>29</v>
      </c>
      <c r="G119" s="105">
        <f t="shared" si="11"/>
        <v>0</v>
      </c>
      <c r="H119" s="49"/>
      <c r="I119" s="49"/>
      <c r="J119" s="49">
        <f>Master2017[[#This Row],[Initial Budget]]-Master2017[[#This Row],[Previously Committed Funds]]</f>
        <v>0</v>
      </c>
      <c r="K119" s="49"/>
      <c r="L119" s="49"/>
      <c r="M119" s="97">
        <f>Master2017[[#This Row],[Design $ (Add/Deduct)]]+Master2017[[#This Row],[Construction $ (Add/Ded)]]</f>
        <v>0</v>
      </c>
      <c r="N119" s="32">
        <v>5000000</v>
      </c>
      <c r="O119" s="8">
        <v>2020</v>
      </c>
      <c r="P119" s="10" t="s">
        <v>46</v>
      </c>
      <c r="Q119" s="8">
        <f t="shared" si="13"/>
        <v>50</v>
      </c>
      <c r="R119" s="8">
        <v>1</v>
      </c>
      <c r="S119" s="8">
        <f t="shared" si="14"/>
        <v>3</v>
      </c>
      <c r="T119" s="8" t="s">
        <v>43</v>
      </c>
      <c r="U119" s="8">
        <f t="shared" si="17"/>
        <v>16</v>
      </c>
      <c r="V119" s="8" t="s">
        <v>34</v>
      </c>
      <c r="W119" s="114">
        <v>-5</v>
      </c>
      <c r="X119" s="8">
        <v>0</v>
      </c>
      <c r="Y119" s="8">
        <v>-3</v>
      </c>
      <c r="Z119" s="8">
        <v>-3</v>
      </c>
      <c r="AA119" s="8">
        <v>-2</v>
      </c>
      <c r="AB119" s="8">
        <v>0</v>
      </c>
      <c r="AC119" s="8">
        <v>0</v>
      </c>
      <c r="AD119" s="17" t="s">
        <v>29</v>
      </c>
      <c r="AE119" s="8">
        <f>VLOOKUP(Master2017[[#This Row],[Elevated Priority]],Epriority,2,)</f>
        <v>0</v>
      </c>
      <c r="AF119" s="8">
        <f>IF(Master2017[[#This Row],[Status]]="Active",Master2017[[#This Row],[Status_Score]],IF(C119="","",Q119+G119+S119+U119+AE119-5))</f>
        <v>64</v>
      </c>
      <c r="AG119" s="8"/>
      <c r="AH119" s="8">
        <v>2021</v>
      </c>
      <c r="AI119" s="8">
        <v>2023</v>
      </c>
      <c r="AJ119" s="10" t="s">
        <v>983</v>
      </c>
    </row>
    <row r="120" spans="1:36" x14ac:dyDescent="0.25">
      <c r="A120" s="103">
        <f t="shared" si="12"/>
        <v>114</v>
      </c>
      <c r="B120" s="10" t="s">
        <v>91</v>
      </c>
      <c r="C120" s="10" t="s">
        <v>565</v>
      </c>
      <c r="E120" s="10"/>
      <c r="F120" s="10" t="s">
        <v>29</v>
      </c>
      <c r="G120" s="10">
        <f t="shared" si="11"/>
        <v>0</v>
      </c>
      <c r="H120" s="49"/>
      <c r="I120" s="49"/>
      <c r="J120" s="49">
        <f>Master2017[[#This Row],[Initial Budget]]-Master2017[[#This Row],[Previously Committed Funds]]</f>
        <v>0</v>
      </c>
      <c r="K120" s="49"/>
      <c r="L120" s="49"/>
      <c r="M120" s="97">
        <f>Master2017[[#This Row],[Design $ (Add/Deduct)]]+Master2017[[#This Row],[Construction $ (Add/Ded)]]</f>
        <v>0</v>
      </c>
      <c r="N120" s="32">
        <v>25000</v>
      </c>
      <c r="O120" s="8">
        <v>2018</v>
      </c>
      <c r="P120" s="10" t="s">
        <v>688</v>
      </c>
      <c r="Q120" s="8">
        <f t="shared" si="13"/>
        <v>20</v>
      </c>
      <c r="R120" s="8">
        <v>10</v>
      </c>
      <c r="S120" s="8">
        <f t="shared" si="14"/>
        <v>21</v>
      </c>
      <c r="T120" s="8" t="s">
        <v>47</v>
      </c>
      <c r="U120" s="8">
        <f t="shared" si="17"/>
        <v>64</v>
      </c>
      <c r="V120" s="8" t="s">
        <v>30</v>
      </c>
      <c r="W120" s="8">
        <v>0</v>
      </c>
      <c r="X120" s="8">
        <v>0</v>
      </c>
      <c r="Y120" s="8">
        <v>0</v>
      </c>
      <c r="Z120" s="8">
        <v>0</v>
      </c>
      <c r="AA120" s="8">
        <v>0</v>
      </c>
      <c r="AB120" s="8">
        <v>0</v>
      </c>
      <c r="AC120" s="8">
        <v>0</v>
      </c>
      <c r="AD120" s="17" t="s">
        <v>29</v>
      </c>
      <c r="AE120" s="8">
        <f>VLOOKUP(Master2017[[#This Row],[Elevated Priority]],Epriority,2,)</f>
        <v>0</v>
      </c>
      <c r="AF120" s="8">
        <f>IF(Master2017[[#This Row],[Status]]="Active",Master2017[[#This Row],[Status_Score]],IF(C120="","",Q120+G120+S120+U120+AE120-5))</f>
        <v>100</v>
      </c>
      <c r="AG120" s="8"/>
      <c r="AH120" s="8"/>
      <c r="AI120" s="8"/>
      <c r="AJ120" s="10"/>
    </row>
    <row r="121" spans="1:36" x14ac:dyDescent="0.25">
      <c r="A121" s="103">
        <f t="shared" si="12"/>
        <v>115</v>
      </c>
      <c r="B121" s="10" t="s">
        <v>91</v>
      </c>
      <c r="C121" s="10" t="s">
        <v>566</v>
      </c>
      <c r="E121" s="10"/>
      <c r="F121" s="10" t="s">
        <v>29</v>
      </c>
      <c r="G121" s="10">
        <f t="shared" si="11"/>
        <v>0</v>
      </c>
      <c r="H121" s="49"/>
      <c r="I121" s="49"/>
      <c r="J121" s="49">
        <f>Master2017[[#This Row],[Initial Budget]]-Master2017[[#This Row],[Previously Committed Funds]]</f>
        <v>0</v>
      </c>
      <c r="K121" s="49"/>
      <c r="L121" s="49"/>
      <c r="M121" s="97">
        <f>Master2017[[#This Row],[Design $ (Add/Deduct)]]+Master2017[[#This Row],[Construction $ (Add/Ded)]]</f>
        <v>0</v>
      </c>
      <c r="N121" s="32">
        <v>400000</v>
      </c>
      <c r="O121" s="8">
        <v>2018</v>
      </c>
      <c r="P121" s="10" t="s">
        <v>688</v>
      </c>
      <c r="Q121" s="8">
        <f t="shared" ref="Q121:Q146" si="18">VLOOKUP(P121,Importance,2,FALSE)</f>
        <v>20</v>
      </c>
      <c r="R121" s="8">
        <v>10</v>
      </c>
      <c r="S121" s="8">
        <f t="shared" ref="S121:S146" si="19">VLOOKUP(R121,Department,2,FALSE)</f>
        <v>21</v>
      </c>
      <c r="T121" s="8" t="s">
        <v>47</v>
      </c>
      <c r="U121" s="8">
        <f t="shared" si="17"/>
        <v>64</v>
      </c>
      <c r="V121" s="8" t="s">
        <v>30</v>
      </c>
      <c r="W121" s="8">
        <v>0</v>
      </c>
      <c r="X121" s="8">
        <v>0</v>
      </c>
      <c r="Y121" s="8">
        <v>0</v>
      </c>
      <c r="Z121" s="8">
        <v>0</v>
      </c>
      <c r="AA121" s="8">
        <v>0</v>
      </c>
      <c r="AB121" s="8">
        <v>0</v>
      </c>
      <c r="AC121" s="8">
        <v>0</v>
      </c>
      <c r="AD121" s="17" t="s">
        <v>29</v>
      </c>
      <c r="AE121" s="8">
        <f>VLOOKUP(Master2017[[#This Row],[Elevated Priority]],Epriority,2,)</f>
        <v>0</v>
      </c>
      <c r="AF121" s="8">
        <f>IF(Master2017[[#This Row],[Status]]="Active",Master2017[[#This Row],[Status_Score]],IF(C121="","",Q121+G121+S121+U121+AE121-5))</f>
        <v>100</v>
      </c>
      <c r="AG121" s="8"/>
      <c r="AH121" s="8"/>
      <c r="AI121" s="8"/>
      <c r="AJ121" s="10"/>
    </row>
    <row r="122" spans="1:36" ht="30" hidden="1" x14ac:dyDescent="0.25">
      <c r="A122" s="103">
        <f t="shared" si="12"/>
        <v>116</v>
      </c>
      <c r="B122" s="10" t="s">
        <v>70</v>
      </c>
      <c r="C122" s="10" t="s">
        <v>695</v>
      </c>
      <c r="D122" s="10" t="s">
        <v>701</v>
      </c>
      <c r="E122" s="10"/>
      <c r="F122" s="10" t="s">
        <v>29</v>
      </c>
      <c r="G122" s="10">
        <f t="shared" si="11"/>
        <v>0</v>
      </c>
      <c r="H122" s="49"/>
      <c r="I122" s="49"/>
      <c r="J122" s="49">
        <f>Master2017[[#This Row],[Initial Budget]]-Master2017[[#This Row],[Previously Committed Funds]]</f>
        <v>0</v>
      </c>
      <c r="K122" s="49"/>
      <c r="L122" s="49"/>
      <c r="M122" s="97">
        <f>Master2017[[#This Row],[Design $ (Add/Deduct)]]+Master2017[[#This Row],[Construction $ (Add/Ded)]]</f>
        <v>0</v>
      </c>
      <c r="N122" s="32">
        <v>5000000</v>
      </c>
      <c r="O122" s="8">
        <v>2019</v>
      </c>
      <c r="P122" s="10" t="s">
        <v>46</v>
      </c>
      <c r="Q122" s="8">
        <f t="shared" si="18"/>
        <v>50</v>
      </c>
      <c r="R122" s="8">
        <v>5</v>
      </c>
      <c r="S122" s="8">
        <f t="shared" si="19"/>
        <v>15</v>
      </c>
      <c r="T122" s="8" t="s">
        <v>45</v>
      </c>
      <c r="V122" s="8" t="s">
        <v>34</v>
      </c>
      <c r="W122" s="114">
        <v>0</v>
      </c>
      <c r="X122" s="8">
        <v>0</v>
      </c>
      <c r="Y122" s="8">
        <v>-3</v>
      </c>
      <c r="Z122" s="8">
        <v>-3</v>
      </c>
      <c r="AA122" s="8">
        <v>-2</v>
      </c>
      <c r="AB122" s="8">
        <v>0</v>
      </c>
      <c r="AC122" s="8">
        <v>0</v>
      </c>
      <c r="AD122" s="17" t="s">
        <v>29</v>
      </c>
      <c r="AE122" s="8">
        <f>VLOOKUP(Master2017[[#This Row],[Elevated Priority]],Epriority,2,)</f>
        <v>0</v>
      </c>
      <c r="AF122" s="8">
        <f>IF(Master2017[[#This Row],[Status]]="Active",Master2017[[#This Row],[Status_Score]],IF(C122="","",Q122+G122+S122+U122+AE122-5))</f>
        <v>60</v>
      </c>
      <c r="AG122" s="8"/>
      <c r="AH122" s="8">
        <v>2023</v>
      </c>
      <c r="AI122" s="8">
        <v>2024</v>
      </c>
      <c r="AJ122" s="10"/>
    </row>
    <row r="123" spans="1:36" ht="30" x14ac:dyDescent="0.25">
      <c r="A123" s="103">
        <f t="shared" si="12"/>
        <v>117</v>
      </c>
      <c r="B123" s="10" t="s">
        <v>65</v>
      </c>
      <c r="C123" s="10" t="s">
        <v>556</v>
      </c>
      <c r="D123" s="10" t="s">
        <v>557</v>
      </c>
      <c r="E123" s="10" t="s">
        <v>558</v>
      </c>
      <c r="F123" s="10" t="s">
        <v>29</v>
      </c>
      <c r="G123" s="10">
        <f t="shared" si="11"/>
        <v>0</v>
      </c>
      <c r="H123" s="49"/>
      <c r="I123" s="49"/>
      <c r="J123" s="49">
        <f>Master2017[[#This Row],[Initial Budget]]-Master2017[[#This Row],[Previously Committed Funds]]</f>
        <v>0</v>
      </c>
      <c r="K123" s="49"/>
      <c r="L123" s="49"/>
      <c r="M123" s="97">
        <f>Master2017[[#This Row],[Design $ (Add/Deduct)]]+Master2017[[#This Row],[Construction $ (Add/Ded)]]</f>
        <v>0</v>
      </c>
      <c r="N123" s="32">
        <v>30000</v>
      </c>
      <c r="O123" s="8">
        <v>2018</v>
      </c>
      <c r="P123" s="10" t="s">
        <v>686</v>
      </c>
      <c r="Q123" s="8">
        <f t="shared" si="18"/>
        <v>60</v>
      </c>
      <c r="R123" s="8">
        <v>14</v>
      </c>
      <c r="S123" s="8">
        <f t="shared" si="19"/>
        <v>23</v>
      </c>
      <c r="T123" s="8" t="s">
        <v>45</v>
      </c>
      <c r="U123" s="8">
        <f t="shared" ref="U123:U137" si="20">VLOOKUP(T123,Urgency,2,FALSE)</f>
        <v>32</v>
      </c>
      <c r="V123" s="8" t="s">
        <v>30</v>
      </c>
      <c r="W123" s="8">
        <v>0</v>
      </c>
      <c r="X123" s="8">
        <v>0</v>
      </c>
      <c r="Y123" s="8">
        <v>0</v>
      </c>
      <c r="Z123" s="8">
        <v>0</v>
      </c>
      <c r="AA123" s="8">
        <v>0</v>
      </c>
      <c r="AB123" s="8">
        <v>0</v>
      </c>
      <c r="AC123" s="8">
        <v>0</v>
      </c>
      <c r="AD123" s="17" t="s">
        <v>29</v>
      </c>
      <c r="AE123" s="8">
        <f>VLOOKUP(Master2017[[#This Row],[Elevated Priority]],Epriority,2,)</f>
        <v>0</v>
      </c>
      <c r="AF123" s="8">
        <f>IF(Master2017[[#This Row],[Status]]="Active",Master2017[[#This Row],[Status_Score]],IF(C123="","",Q123+G123+S123+U123+AE123-5))</f>
        <v>110</v>
      </c>
      <c r="AG123" s="8"/>
      <c r="AH123" s="8"/>
      <c r="AI123" s="8"/>
      <c r="AJ123" s="10"/>
    </row>
    <row r="124" spans="1:36" ht="75" hidden="1" x14ac:dyDescent="0.25">
      <c r="A124" s="103">
        <f t="shared" si="12"/>
        <v>118</v>
      </c>
      <c r="B124" s="10" t="s">
        <v>143</v>
      </c>
      <c r="C124" s="10" t="s">
        <v>166</v>
      </c>
      <c r="D124" s="10" t="s">
        <v>167</v>
      </c>
      <c r="E124" s="10" t="s">
        <v>763</v>
      </c>
      <c r="F124" s="10" t="s">
        <v>29</v>
      </c>
      <c r="G124" s="10">
        <f t="shared" si="11"/>
        <v>0</v>
      </c>
      <c r="H124" s="49"/>
      <c r="I124" s="49"/>
      <c r="J124" s="49">
        <f>Master2017[[#This Row],[Initial Budget]]-Master2017[[#This Row],[Previously Committed Funds]]</f>
        <v>0</v>
      </c>
      <c r="K124" s="49"/>
      <c r="L124" s="49"/>
      <c r="M124" s="97">
        <f>Master2017[[#This Row],[Design $ (Add/Deduct)]]+Master2017[[#This Row],[Construction $ (Add/Ded)]]</f>
        <v>0</v>
      </c>
      <c r="N124" s="49">
        <v>40000</v>
      </c>
      <c r="O124" s="8">
        <v>2018</v>
      </c>
      <c r="P124" s="10" t="s">
        <v>686</v>
      </c>
      <c r="Q124" s="8">
        <f t="shared" si="18"/>
        <v>60</v>
      </c>
      <c r="R124" s="17">
        <v>5</v>
      </c>
      <c r="S124" s="8">
        <f t="shared" si="19"/>
        <v>15</v>
      </c>
      <c r="T124" s="17" t="s">
        <v>41</v>
      </c>
      <c r="U124" s="8">
        <f t="shared" si="20"/>
        <v>4</v>
      </c>
      <c r="V124" s="8" t="s">
        <v>34</v>
      </c>
      <c r="W124" s="114">
        <v>0</v>
      </c>
      <c r="X124" s="8">
        <v>0</v>
      </c>
      <c r="Y124" s="8">
        <v>0</v>
      </c>
      <c r="Z124" s="8">
        <v>0</v>
      </c>
      <c r="AA124" s="8">
        <v>0</v>
      </c>
      <c r="AB124" s="8">
        <v>0</v>
      </c>
      <c r="AC124" s="8">
        <v>-1</v>
      </c>
      <c r="AD124" s="17" t="s">
        <v>29</v>
      </c>
      <c r="AE124" s="8">
        <f>VLOOKUP(Master2017[[#This Row],[Elevated Priority]],Epriority,2,)</f>
        <v>0</v>
      </c>
      <c r="AF124" s="8">
        <f>IF(Master2017[[#This Row],[Status]]="Active",Master2017[[#This Row],[Status_Score]],IF(C124="","",Q124+G124+S124+U124+AE124-5))</f>
        <v>74</v>
      </c>
      <c r="AG124" s="8"/>
      <c r="AH124" s="8"/>
      <c r="AI124" s="8"/>
      <c r="AJ124" s="10"/>
    </row>
    <row r="125" spans="1:36" ht="30" hidden="1" x14ac:dyDescent="0.25">
      <c r="A125" s="103">
        <f t="shared" si="12"/>
        <v>119</v>
      </c>
      <c r="B125" s="10" t="s">
        <v>61</v>
      </c>
      <c r="C125" s="10" t="s">
        <v>473</v>
      </c>
      <c r="D125" s="10" t="s">
        <v>474</v>
      </c>
      <c r="E125" s="10" t="s">
        <v>475</v>
      </c>
      <c r="F125" s="10" t="s">
        <v>29</v>
      </c>
      <c r="G125" s="10">
        <f t="shared" si="11"/>
        <v>0</v>
      </c>
      <c r="H125" s="49"/>
      <c r="I125" s="49"/>
      <c r="J125" s="49">
        <f>Master2017[[#This Row],[Initial Budget]]-Master2017[[#This Row],[Previously Committed Funds]]</f>
        <v>0</v>
      </c>
      <c r="K125" s="49"/>
      <c r="L125" s="49"/>
      <c r="M125" s="97">
        <f>Master2017[[#This Row],[Design $ (Add/Deduct)]]+Master2017[[#This Row],[Construction $ (Add/Ded)]]</f>
        <v>0</v>
      </c>
      <c r="N125" s="32">
        <v>150000</v>
      </c>
      <c r="O125" s="8">
        <v>2018</v>
      </c>
      <c r="P125" s="10" t="s">
        <v>686</v>
      </c>
      <c r="Q125" s="8">
        <f t="shared" si="18"/>
        <v>60</v>
      </c>
      <c r="R125" s="8">
        <v>4</v>
      </c>
      <c r="S125" s="8">
        <f t="shared" si="19"/>
        <v>12</v>
      </c>
      <c r="T125" s="8" t="s">
        <v>43</v>
      </c>
      <c r="U125" s="8">
        <f t="shared" si="20"/>
        <v>16</v>
      </c>
      <c r="V125" s="8" t="s">
        <v>34</v>
      </c>
      <c r="W125" s="114">
        <v>0</v>
      </c>
      <c r="X125" s="8">
        <v>0</v>
      </c>
      <c r="Y125" s="8">
        <v>0</v>
      </c>
      <c r="Z125" s="8">
        <v>0</v>
      </c>
      <c r="AA125" s="8">
        <v>0</v>
      </c>
      <c r="AB125" s="8">
        <v>-5</v>
      </c>
      <c r="AC125" s="8">
        <v>-3</v>
      </c>
      <c r="AD125" s="17" t="s">
        <v>29</v>
      </c>
      <c r="AE125" s="8">
        <f>VLOOKUP(Master2017[[#This Row],[Elevated Priority]],Epriority,2,)</f>
        <v>0</v>
      </c>
      <c r="AF125" s="8">
        <f>IF(Master2017[[#This Row],[Status]]="Active",Master2017[[#This Row],[Status_Score]],IF(C125="","",Q125+G125+S125+U125+AE125-5))</f>
        <v>83</v>
      </c>
      <c r="AG125" s="8"/>
      <c r="AH125" s="8"/>
      <c r="AI125" s="8"/>
      <c r="AJ125" s="10" t="s">
        <v>984</v>
      </c>
    </row>
    <row r="126" spans="1:36" ht="30" hidden="1" x14ac:dyDescent="0.25">
      <c r="A126" s="103">
        <f t="shared" si="12"/>
        <v>120</v>
      </c>
      <c r="B126" s="125" t="s">
        <v>61</v>
      </c>
      <c r="C126" s="127" t="s">
        <v>796</v>
      </c>
      <c r="D126" s="67" t="s">
        <v>808</v>
      </c>
      <c r="E126" s="110" t="s">
        <v>907</v>
      </c>
      <c r="F126" s="10" t="s">
        <v>29</v>
      </c>
      <c r="G126" s="10">
        <f t="shared" si="11"/>
        <v>0</v>
      </c>
      <c r="H126" s="49"/>
      <c r="I126" s="49"/>
      <c r="J126" s="49">
        <f>Master2017[[#This Row],[Initial Budget]]-Master2017[[#This Row],[Previously Committed Funds]]</f>
        <v>0</v>
      </c>
      <c r="K126" s="49"/>
      <c r="L126" s="49"/>
      <c r="M126" s="97">
        <f>Master2017[[#This Row],[Design $ (Add/Deduct)]]+Master2017[[#This Row],[Construction $ (Add/Ded)]]</f>
        <v>0</v>
      </c>
      <c r="N126" s="32">
        <v>350000</v>
      </c>
      <c r="O126" s="8">
        <v>2020</v>
      </c>
      <c r="P126" s="10" t="s">
        <v>46</v>
      </c>
      <c r="Q126" s="8">
        <f t="shared" si="18"/>
        <v>50</v>
      </c>
      <c r="R126" s="8">
        <v>2</v>
      </c>
      <c r="S126" s="8">
        <f t="shared" si="19"/>
        <v>6</v>
      </c>
      <c r="T126" s="8" t="s">
        <v>41</v>
      </c>
      <c r="U126" s="8">
        <f t="shared" si="20"/>
        <v>4</v>
      </c>
      <c r="V126" s="8" t="s">
        <v>34</v>
      </c>
      <c r="W126" s="114">
        <v>0</v>
      </c>
      <c r="X126" s="8">
        <v>0</v>
      </c>
      <c r="Y126" s="8">
        <v>0</v>
      </c>
      <c r="Z126" s="8">
        <v>0</v>
      </c>
      <c r="AA126" s="8">
        <v>0</v>
      </c>
      <c r="AB126" s="8">
        <v>0</v>
      </c>
      <c r="AC126" s="8">
        <v>0</v>
      </c>
      <c r="AD126" s="17" t="s">
        <v>29</v>
      </c>
      <c r="AE126" s="8">
        <f>VLOOKUP(Master2017[[#This Row],[Elevated Priority]],Epriority,2,)</f>
        <v>0</v>
      </c>
      <c r="AF126" s="8">
        <f>IF(Master2017[[#This Row],[Status]]="Active",Master2017[[#This Row],[Status_Score]],IF(C126="","",Q126+G126+S126+U126+AE126-5))</f>
        <v>55</v>
      </c>
      <c r="AG126" s="8"/>
      <c r="AH126" s="8"/>
      <c r="AI126" s="8"/>
      <c r="AJ126" s="10"/>
    </row>
    <row r="127" spans="1:36" ht="30" hidden="1" x14ac:dyDescent="0.25">
      <c r="A127" s="103">
        <f t="shared" si="12"/>
        <v>121</v>
      </c>
      <c r="B127" s="10" t="s">
        <v>61</v>
      </c>
      <c r="C127" s="10" t="s">
        <v>381</v>
      </c>
      <c r="D127" s="10" t="s">
        <v>382</v>
      </c>
      <c r="E127" s="10" t="s">
        <v>383</v>
      </c>
      <c r="F127" s="10" t="s">
        <v>29</v>
      </c>
      <c r="G127" s="10">
        <f t="shared" si="11"/>
        <v>0</v>
      </c>
      <c r="H127" s="49"/>
      <c r="I127" s="49"/>
      <c r="J127" s="49">
        <f>Master2017[[#This Row],[Initial Budget]]-Master2017[[#This Row],[Previously Committed Funds]]</f>
        <v>0</v>
      </c>
      <c r="K127" s="49"/>
      <c r="L127" s="49"/>
      <c r="M127" s="97">
        <f>Master2017[[#This Row],[Design $ (Add/Deduct)]]+Master2017[[#This Row],[Construction $ (Add/Ded)]]</f>
        <v>0</v>
      </c>
      <c r="N127" s="32">
        <v>15000000</v>
      </c>
      <c r="O127" s="8">
        <v>2018</v>
      </c>
      <c r="P127" s="10" t="s">
        <v>688</v>
      </c>
      <c r="Q127" s="8">
        <f t="shared" si="18"/>
        <v>20</v>
      </c>
      <c r="R127" s="8">
        <v>1</v>
      </c>
      <c r="S127" s="8">
        <f t="shared" si="19"/>
        <v>3</v>
      </c>
      <c r="T127" s="8" t="s">
        <v>47</v>
      </c>
      <c r="U127" s="8">
        <f t="shared" si="20"/>
        <v>64</v>
      </c>
      <c r="V127" s="8" t="s">
        <v>34</v>
      </c>
      <c r="W127" s="114">
        <v>-5</v>
      </c>
      <c r="X127" s="8">
        <v>0</v>
      </c>
      <c r="Y127" s="8">
        <v>-3</v>
      </c>
      <c r="Z127" s="8">
        <v>-3</v>
      </c>
      <c r="AA127" s="8">
        <v>0</v>
      </c>
      <c r="AB127" s="8">
        <v>-3</v>
      </c>
      <c r="AC127" s="8">
        <v>-3</v>
      </c>
      <c r="AD127" s="17" t="s">
        <v>29</v>
      </c>
      <c r="AE127" s="8">
        <f>VLOOKUP(Master2017[[#This Row],[Elevated Priority]],Epriority,2,)</f>
        <v>0</v>
      </c>
      <c r="AF127" s="8">
        <f>IF(Master2017[[#This Row],[Status]]="Active",Master2017[[#This Row],[Status_Score]],IF(C127="","",Q127+G127+S127+U127+AE127-5))</f>
        <v>82</v>
      </c>
      <c r="AG127" s="8"/>
      <c r="AH127" s="8"/>
      <c r="AI127" s="8"/>
      <c r="AJ127" s="10"/>
    </row>
    <row r="128" spans="1:36" ht="30" hidden="1" x14ac:dyDescent="0.25">
      <c r="A128" s="103">
        <f t="shared" si="12"/>
        <v>122</v>
      </c>
      <c r="B128" s="10" t="s">
        <v>65</v>
      </c>
      <c r="C128" s="10" t="s">
        <v>544</v>
      </c>
      <c r="D128" s="10" t="s">
        <v>945</v>
      </c>
      <c r="E128" s="10" t="s">
        <v>546</v>
      </c>
      <c r="F128" s="10" t="s">
        <v>29</v>
      </c>
      <c r="G128" s="10">
        <f t="shared" si="11"/>
        <v>0</v>
      </c>
      <c r="H128" s="49"/>
      <c r="I128" s="49"/>
      <c r="J128" s="49">
        <f>Master2017[[#This Row],[Initial Budget]]-Master2017[[#This Row],[Previously Committed Funds]]</f>
        <v>0</v>
      </c>
      <c r="K128" s="49"/>
      <c r="L128" s="49"/>
      <c r="M128" s="97">
        <f>Master2017[[#This Row],[Design $ (Add/Deduct)]]+Master2017[[#This Row],[Construction $ (Add/Ded)]]</f>
        <v>0</v>
      </c>
      <c r="N128" s="32">
        <v>400000</v>
      </c>
      <c r="O128" s="8">
        <v>2018</v>
      </c>
      <c r="P128" s="10" t="s">
        <v>686</v>
      </c>
      <c r="Q128" s="8">
        <f t="shared" si="18"/>
        <v>60</v>
      </c>
      <c r="R128" s="8">
        <v>6</v>
      </c>
      <c r="S128" s="8">
        <f t="shared" si="19"/>
        <v>18</v>
      </c>
      <c r="T128" s="8" t="s">
        <v>37</v>
      </c>
      <c r="U128" s="8">
        <f t="shared" si="20"/>
        <v>3</v>
      </c>
      <c r="V128" s="8" t="s">
        <v>34</v>
      </c>
      <c r="W128" s="114">
        <v>0</v>
      </c>
      <c r="X128" s="8">
        <v>0</v>
      </c>
      <c r="Y128" s="8">
        <v>0</v>
      </c>
      <c r="Z128" s="8">
        <v>0</v>
      </c>
      <c r="AA128" s="8">
        <v>0</v>
      </c>
      <c r="AB128" s="8">
        <v>0</v>
      </c>
      <c r="AC128" s="8">
        <v>-1</v>
      </c>
      <c r="AD128" s="17" t="s">
        <v>29</v>
      </c>
      <c r="AE128" s="8">
        <f>VLOOKUP(Master2017[[#This Row],[Elevated Priority]],Epriority,2,)</f>
        <v>0</v>
      </c>
      <c r="AF128" s="8">
        <f>IF(Master2017[[#This Row],[Status]]="Active",Master2017[[#This Row],[Status_Score]],IF(C128="","",Q128+G128+S128+U128+AE128-5))</f>
        <v>76</v>
      </c>
      <c r="AG128" s="8"/>
      <c r="AH128" s="8"/>
      <c r="AI128" s="8"/>
      <c r="AJ128" s="10"/>
    </row>
    <row r="129" spans="1:36" x14ac:dyDescent="0.25">
      <c r="A129" s="103">
        <f t="shared" si="12"/>
        <v>123</v>
      </c>
      <c r="B129" s="10" t="s">
        <v>91</v>
      </c>
      <c r="C129" s="10" t="s">
        <v>573</v>
      </c>
      <c r="E129" s="10" t="s">
        <v>574</v>
      </c>
      <c r="F129" s="10" t="s">
        <v>29</v>
      </c>
      <c r="G129" s="10">
        <f t="shared" si="11"/>
        <v>0</v>
      </c>
      <c r="H129" s="49"/>
      <c r="I129" s="49"/>
      <c r="J129" s="49">
        <f>Master2017[[#This Row],[Initial Budget]]-Master2017[[#This Row],[Previously Committed Funds]]</f>
        <v>0</v>
      </c>
      <c r="K129" s="49"/>
      <c r="L129" s="49"/>
      <c r="M129" s="97">
        <f>Master2017[[#This Row],[Design $ (Add/Deduct)]]+Master2017[[#This Row],[Construction $ (Add/Ded)]]</f>
        <v>0</v>
      </c>
      <c r="N129" s="32">
        <v>50000</v>
      </c>
      <c r="O129" s="8">
        <v>2018</v>
      </c>
      <c r="P129" s="10" t="s">
        <v>46</v>
      </c>
      <c r="Q129" s="8">
        <f t="shared" si="18"/>
        <v>50</v>
      </c>
      <c r="R129" s="8">
        <v>5</v>
      </c>
      <c r="S129" s="8">
        <f t="shared" si="19"/>
        <v>15</v>
      </c>
      <c r="T129" s="8" t="s">
        <v>45</v>
      </c>
      <c r="U129" s="8">
        <f t="shared" si="20"/>
        <v>32</v>
      </c>
      <c r="V129" s="8" t="s">
        <v>30</v>
      </c>
      <c r="W129" s="114">
        <v>0</v>
      </c>
      <c r="X129" s="8">
        <v>0</v>
      </c>
      <c r="Y129" s="8">
        <v>0</v>
      </c>
      <c r="Z129" s="8">
        <v>0</v>
      </c>
      <c r="AA129" s="8">
        <v>0</v>
      </c>
      <c r="AB129" s="8">
        <v>0</v>
      </c>
      <c r="AC129" s="8">
        <v>0</v>
      </c>
      <c r="AD129" s="17" t="s">
        <v>29</v>
      </c>
      <c r="AE129" s="8">
        <f>VLOOKUP(Master2017[[#This Row],[Elevated Priority]],Epriority,2,)</f>
        <v>0</v>
      </c>
      <c r="AF129" s="8">
        <f>IF(Master2017[[#This Row],[Status]]="Active",Master2017[[#This Row],[Status_Score]],IF(C129="","",Q129+G129+S129+U129+AE129-5))</f>
        <v>92</v>
      </c>
      <c r="AG129" s="8"/>
      <c r="AH129" s="8"/>
      <c r="AI129" s="8"/>
      <c r="AJ129" s="10"/>
    </row>
    <row r="130" spans="1:36" ht="105" x14ac:dyDescent="0.25">
      <c r="A130" s="103">
        <f t="shared" si="12"/>
        <v>124</v>
      </c>
      <c r="B130" s="10" t="s">
        <v>70</v>
      </c>
      <c r="C130" s="10" t="s">
        <v>141</v>
      </c>
      <c r="D130" s="10" t="s">
        <v>142</v>
      </c>
      <c r="E130" s="10"/>
      <c r="F130" s="10" t="s">
        <v>832</v>
      </c>
      <c r="G130" s="10">
        <f t="shared" ref="G130:G193" si="21">VLOOKUP(F130,Status_Score,2,FALSE)</f>
        <v>100</v>
      </c>
      <c r="H130" s="49"/>
      <c r="I130" s="49"/>
      <c r="J130" s="49">
        <f>Master2017[[#This Row],[Initial Budget]]-Master2017[[#This Row],[Previously Committed Funds]]</f>
        <v>0</v>
      </c>
      <c r="K130" s="49"/>
      <c r="L130" s="49"/>
      <c r="M130" s="97">
        <f>Master2017[[#This Row],[Design $ (Add/Deduct)]]+Master2017[[#This Row],[Construction $ (Add/Ded)]]</f>
        <v>0</v>
      </c>
      <c r="N130" s="32">
        <v>100000</v>
      </c>
      <c r="O130" s="8">
        <v>2018</v>
      </c>
      <c r="P130" s="10" t="s">
        <v>36</v>
      </c>
      <c r="Q130" s="8">
        <f t="shared" si="18"/>
        <v>10</v>
      </c>
      <c r="R130" s="8">
        <v>1</v>
      </c>
      <c r="S130" s="8">
        <f t="shared" si="19"/>
        <v>3</v>
      </c>
      <c r="T130" s="8" t="s">
        <v>37</v>
      </c>
      <c r="U130" s="8">
        <f t="shared" si="20"/>
        <v>3</v>
      </c>
      <c r="V130" s="8" t="s">
        <v>30</v>
      </c>
      <c r="W130" s="8">
        <v>0</v>
      </c>
      <c r="X130" s="8">
        <v>0</v>
      </c>
      <c r="Y130" s="8">
        <v>0</v>
      </c>
      <c r="Z130" s="8">
        <v>0</v>
      </c>
      <c r="AA130" s="8">
        <v>0</v>
      </c>
      <c r="AB130" s="8">
        <v>0</v>
      </c>
      <c r="AC130" s="8">
        <v>0</v>
      </c>
      <c r="AD130" s="17" t="s">
        <v>29</v>
      </c>
      <c r="AE130" s="8">
        <f>VLOOKUP(Master2017[[#This Row],[Elevated Priority]],Epriority,2,)</f>
        <v>0</v>
      </c>
      <c r="AF130" s="8">
        <f>IF(Master2017[[#This Row],[Status]]="Active",Master2017[[#This Row],[Status_Score]],IF(C130="","",Q130+G130+S130+U130+AE130-5))</f>
        <v>111</v>
      </c>
      <c r="AG130" s="8"/>
      <c r="AH130" s="8">
        <v>2021</v>
      </c>
      <c r="AI130" s="8">
        <v>2021</v>
      </c>
      <c r="AJ130" s="10"/>
    </row>
    <row r="131" spans="1:36" ht="105" hidden="1" x14ac:dyDescent="0.25">
      <c r="A131" s="103">
        <f t="shared" si="12"/>
        <v>125</v>
      </c>
      <c r="B131" s="10" t="s">
        <v>69</v>
      </c>
      <c r="C131" s="10" t="s">
        <v>378</v>
      </c>
      <c r="D131" s="10" t="s">
        <v>379</v>
      </c>
      <c r="E131" s="10" t="s">
        <v>380</v>
      </c>
      <c r="F131" s="10" t="s">
        <v>29</v>
      </c>
      <c r="G131" s="10">
        <f t="shared" si="21"/>
        <v>0</v>
      </c>
      <c r="H131" s="49"/>
      <c r="I131" s="49"/>
      <c r="J131" s="49">
        <f>Master2017[[#This Row],[Initial Budget]]-Master2017[[#This Row],[Previously Committed Funds]]</f>
        <v>0</v>
      </c>
      <c r="K131" s="49"/>
      <c r="L131" s="49"/>
      <c r="M131" s="97">
        <f>Master2017[[#This Row],[Design $ (Add/Deduct)]]+Master2017[[#This Row],[Construction $ (Add/Ded)]]</f>
        <v>0</v>
      </c>
      <c r="N131" s="49">
        <v>20000</v>
      </c>
      <c r="O131" s="8">
        <v>2018</v>
      </c>
      <c r="P131" s="10" t="s">
        <v>686</v>
      </c>
      <c r="Q131" s="8">
        <f t="shared" si="18"/>
        <v>60</v>
      </c>
      <c r="R131" s="17">
        <v>2</v>
      </c>
      <c r="S131" s="8">
        <f t="shared" si="19"/>
        <v>6</v>
      </c>
      <c r="T131" s="17" t="s">
        <v>43</v>
      </c>
      <c r="U131" s="8">
        <f t="shared" si="20"/>
        <v>16</v>
      </c>
      <c r="V131" s="8" t="s">
        <v>34</v>
      </c>
      <c r="W131" s="114">
        <v>0</v>
      </c>
      <c r="X131" s="8">
        <v>0</v>
      </c>
      <c r="Y131" s="8">
        <v>0</v>
      </c>
      <c r="Z131" s="8">
        <v>0</v>
      </c>
      <c r="AA131" s="8">
        <v>0</v>
      </c>
      <c r="AB131" s="8">
        <v>0</v>
      </c>
      <c r="AC131" s="8">
        <v>0</v>
      </c>
      <c r="AD131" s="17" t="s">
        <v>29</v>
      </c>
      <c r="AE131" s="8">
        <f>VLOOKUP(Master2017[[#This Row],[Elevated Priority]],Epriority,2,)</f>
        <v>0</v>
      </c>
      <c r="AF131" s="8">
        <f>IF(Master2017[[#This Row],[Status]]="Active",Master2017[[#This Row],[Status_Score]],IF(C131="","",Q131+G131+S131+U131+AE131-5))</f>
        <v>77</v>
      </c>
      <c r="AG131" s="8"/>
      <c r="AH131" s="8"/>
      <c r="AI131" s="8"/>
      <c r="AJ131" s="10"/>
    </row>
    <row r="132" spans="1:36" ht="75" hidden="1" x14ac:dyDescent="0.25">
      <c r="A132" s="103">
        <f t="shared" si="12"/>
        <v>126</v>
      </c>
      <c r="B132" s="10" t="s">
        <v>71</v>
      </c>
      <c r="C132" s="10" t="s">
        <v>516</v>
      </c>
      <c r="D132" s="10" t="s">
        <v>517</v>
      </c>
      <c r="E132" s="10" t="s">
        <v>518</v>
      </c>
      <c r="F132" s="10" t="s">
        <v>29</v>
      </c>
      <c r="G132" s="10">
        <f t="shared" si="21"/>
        <v>0</v>
      </c>
      <c r="H132" s="49"/>
      <c r="I132" s="49"/>
      <c r="J132" s="49">
        <f>Master2017[[#This Row],[Initial Budget]]-Master2017[[#This Row],[Previously Committed Funds]]</f>
        <v>0</v>
      </c>
      <c r="K132" s="49"/>
      <c r="L132" s="49"/>
      <c r="M132" s="97">
        <f>Master2017[[#This Row],[Design $ (Add/Deduct)]]+Master2017[[#This Row],[Construction $ (Add/Ded)]]</f>
        <v>0</v>
      </c>
      <c r="N132" s="32">
        <v>1500000</v>
      </c>
      <c r="O132" s="8">
        <v>2018</v>
      </c>
      <c r="P132" s="10" t="s">
        <v>46</v>
      </c>
      <c r="Q132" s="8">
        <f t="shared" si="18"/>
        <v>50</v>
      </c>
      <c r="R132" s="8">
        <v>3</v>
      </c>
      <c r="S132" s="8">
        <f t="shared" si="19"/>
        <v>9</v>
      </c>
      <c r="T132" s="8" t="s">
        <v>41</v>
      </c>
      <c r="U132" s="8">
        <f t="shared" si="20"/>
        <v>4</v>
      </c>
      <c r="V132" s="8" t="s">
        <v>34</v>
      </c>
      <c r="W132" s="114">
        <v>-1</v>
      </c>
      <c r="X132" s="8">
        <v>0</v>
      </c>
      <c r="Y132" s="8">
        <v>0</v>
      </c>
      <c r="Z132" s="8">
        <v>0</v>
      </c>
      <c r="AA132" s="8">
        <v>0</v>
      </c>
      <c r="AB132" s="8">
        <v>0</v>
      </c>
      <c r="AC132" s="8">
        <v>0</v>
      </c>
      <c r="AD132" s="17" t="s">
        <v>29</v>
      </c>
      <c r="AE132" s="8">
        <f>VLOOKUP(Master2017[[#This Row],[Elevated Priority]],Epriority,2,)</f>
        <v>0</v>
      </c>
      <c r="AF132" s="8">
        <f>IF(Master2017[[#This Row],[Status]]="Active",Master2017[[#This Row],[Status_Score]],IF(C132="","",Q132+G132+S132+U132+AE132-5))</f>
        <v>58</v>
      </c>
      <c r="AG132" s="8"/>
      <c r="AH132" s="8"/>
      <c r="AI132" s="8"/>
      <c r="AJ132" s="10"/>
    </row>
    <row r="133" spans="1:36" ht="45" x14ac:dyDescent="0.25">
      <c r="A133" s="103">
        <f t="shared" si="12"/>
        <v>127</v>
      </c>
      <c r="B133" s="127" t="s">
        <v>73</v>
      </c>
      <c r="C133" s="10" t="s">
        <v>177</v>
      </c>
      <c r="D133" s="10" t="s">
        <v>178</v>
      </c>
      <c r="E133" s="10" t="s">
        <v>179</v>
      </c>
      <c r="F133" s="10" t="s">
        <v>832</v>
      </c>
      <c r="G133" s="10">
        <f t="shared" si="21"/>
        <v>100</v>
      </c>
      <c r="H133" s="49"/>
      <c r="I133" s="49"/>
      <c r="J133" s="49">
        <f>Master2017[[#This Row],[Initial Budget]]-Master2017[[#This Row],[Previously Committed Funds]]</f>
        <v>0</v>
      </c>
      <c r="K133" s="49"/>
      <c r="L133" s="49"/>
      <c r="M133" s="97">
        <f>Master2017[[#This Row],[Design $ (Add/Deduct)]]+Master2017[[#This Row],[Construction $ (Add/Ded)]]</f>
        <v>0</v>
      </c>
      <c r="N133" s="32">
        <v>15000</v>
      </c>
      <c r="O133" s="8">
        <v>2018</v>
      </c>
      <c r="P133" s="10" t="s">
        <v>36</v>
      </c>
      <c r="Q133" s="8">
        <f t="shared" si="18"/>
        <v>10</v>
      </c>
      <c r="R133" s="8">
        <v>2</v>
      </c>
      <c r="S133" s="8">
        <f t="shared" si="19"/>
        <v>6</v>
      </c>
      <c r="T133" s="8" t="s">
        <v>41</v>
      </c>
      <c r="U133" s="8">
        <f t="shared" si="20"/>
        <v>4</v>
      </c>
      <c r="V133" s="8" t="s">
        <v>30</v>
      </c>
      <c r="W133" s="8">
        <v>0</v>
      </c>
      <c r="X133" s="8">
        <v>0</v>
      </c>
      <c r="Y133" s="8">
        <v>0</v>
      </c>
      <c r="Z133" s="8">
        <v>0</v>
      </c>
      <c r="AA133" s="8">
        <v>0</v>
      </c>
      <c r="AB133" s="8">
        <v>0</v>
      </c>
      <c r="AC133" s="8">
        <v>0</v>
      </c>
      <c r="AD133" s="17" t="s">
        <v>29</v>
      </c>
      <c r="AE133" s="8">
        <f>VLOOKUP(Master2017[[#This Row],[Elevated Priority]],Epriority,2,)</f>
        <v>0</v>
      </c>
      <c r="AF133" s="8">
        <f>IF(Master2017[[#This Row],[Status]]="Active",Master2017[[#This Row],[Status_Score]],IF(C133="","",Q133+G133+S133+U133+AE133-5))</f>
        <v>115</v>
      </c>
      <c r="AG133" s="8"/>
      <c r="AH133" s="8">
        <v>2021</v>
      </c>
      <c r="AI133" s="8">
        <v>2022</v>
      </c>
      <c r="AJ133" s="10"/>
    </row>
    <row r="134" spans="1:36" ht="90" hidden="1" x14ac:dyDescent="0.25">
      <c r="A134" s="103">
        <f t="shared" si="12"/>
        <v>128</v>
      </c>
      <c r="B134" s="10" t="s">
        <v>61</v>
      </c>
      <c r="C134" s="10" t="s">
        <v>476</v>
      </c>
      <c r="E134" s="10" t="s">
        <v>906</v>
      </c>
      <c r="F134" s="10" t="s">
        <v>29</v>
      </c>
      <c r="G134" s="10">
        <f t="shared" si="21"/>
        <v>0</v>
      </c>
      <c r="H134" s="49"/>
      <c r="I134" s="49"/>
      <c r="J134" s="49">
        <f>Master2017[[#This Row],[Initial Budget]]-Master2017[[#This Row],[Previously Committed Funds]]</f>
        <v>0</v>
      </c>
      <c r="K134" s="49"/>
      <c r="L134" s="49"/>
      <c r="M134" s="97">
        <f>Master2017[[#This Row],[Design $ (Add/Deduct)]]+Master2017[[#This Row],[Construction $ (Add/Ded)]]</f>
        <v>0</v>
      </c>
      <c r="N134" s="32">
        <v>350000</v>
      </c>
      <c r="O134" s="8">
        <v>2018</v>
      </c>
      <c r="P134" s="10" t="s">
        <v>686</v>
      </c>
      <c r="Q134" s="8">
        <f t="shared" si="18"/>
        <v>60</v>
      </c>
      <c r="R134" s="8">
        <v>4</v>
      </c>
      <c r="S134" s="8">
        <f t="shared" si="19"/>
        <v>12</v>
      </c>
      <c r="T134" s="8" t="s">
        <v>43</v>
      </c>
      <c r="U134" s="8">
        <f t="shared" si="20"/>
        <v>16</v>
      </c>
      <c r="V134" s="8" t="s">
        <v>34</v>
      </c>
      <c r="W134" s="114">
        <v>-5</v>
      </c>
      <c r="X134" s="8">
        <v>0</v>
      </c>
      <c r="Y134" s="8">
        <v>0</v>
      </c>
      <c r="Z134" s="8">
        <v>0</v>
      </c>
      <c r="AA134" s="8">
        <v>0</v>
      </c>
      <c r="AB134" s="8">
        <v>0</v>
      </c>
      <c r="AC134" s="8">
        <v>0</v>
      </c>
      <c r="AD134" s="17" t="s">
        <v>29</v>
      </c>
      <c r="AE134" s="8">
        <f>VLOOKUP(Master2017[[#This Row],[Elevated Priority]],Epriority,2,)</f>
        <v>0</v>
      </c>
      <c r="AF134" s="8">
        <f>IF(Master2017[[#This Row],[Status]]="Active",Master2017[[#This Row],[Status_Score]],IF(C134="","",Q134+G134+S134+U134+AE134-5))</f>
        <v>83</v>
      </c>
      <c r="AG134" s="8"/>
      <c r="AH134" s="8"/>
      <c r="AI134" s="8"/>
      <c r="AJ134" s="10"/>
    </row>
    <row r="135" spans="1:36" ht="30" x14ac:dyDescent="0.25">
      <c r="A135" s="103">
        <f t="shared" si="12"/>
        <v>129</v>
      </c>
      <c r="B135" s="111" t="s">
        <v>214</v>
      </c>
      <c r="C135" s="111" t="s">
        <v>215</v>
      </c>
      <c r="D135" s="111" t="s">
        <v>216</v>
      </c>
      <c r="E135" s="111" t="s">
        <v>658</v>
      </c>
      <c r="F135" s="111" t="s">
        <v>832</v>
      </c>
      <c r="G135" s="111">
        <f t="shared" si="21"/>
        <v>100</v>
      </c>
      <c r="H135" s="112"/>
      <c r="I135" s="112"/>
      <c r="J135" s="112">
        <f>Master2017[[#This Row],[Initial Budget]]-Master2017[[#This Row],[Previously Committed Funds]]</f>
        <v>0</v>
      </c>
      <c r="K135" s="112"/>
      <c r="L135" s="112"/>
      <c r="M135" s="116">
        <f>Master2017[[#This Row],[Design $ (Add/Deduct)]]+Master2017[[#This Row],[Construction $ (Add/Ded)]]</f>
        <v>0</v>
      </c>
      <c r="N135" s="115">
        <v>250000</v>
      </c>
      <c r="O135" s="114">
        <v>2018</v>
      </c>
      <c r="P135" s="111" t="s">
        <v>688</v>
      </c>
      <c r="Q135" s="114">
        <f t="shared" si="18"/>
        <v>20</v>
      </c>
      <c r="R135" s="114">
        <v>1</v>
      </c>
      <c r="S135" s="114">
        <f t="shared" si="19"/>
        <v>3</v>
      </c>
      <c r="T135" s="114" t="s">
        <v>41</v>
      </c>
      <c r="U135" s="114">
        <f t="shared" si="20"/>
        <v>4</v>
      </c>
      <c r="V135" s="114" t="s">
        <v>30</v>
      </c>
      <c r="W135" s="8">
        <v>0</v>
      </c>
      <c r="X135" s="8">
        <v>0</v>
      </c>
      <c r="Y135" s="8">
        <v>0</v>
      </c>
      <c r="Z135" s="8">
        <v>0</v>
      </c>
      <c r="AA135" s="8">
        <v>0</v>
      </c>
      <c r="AB135" s="8">
        <v>0</v>
      </c>
      <c r="AC135" s="8">
        <v>0</v>
      </c>
      <c r="AD135" s="113" t="s">
        <v>29</v>
      </c>
      <c r="AE135" s="114">
        <f>VLOOKUP(Master2017[[#This Row],[Elevated Priority]],Epriority,2,)</f>
        <v>0</v>
      </c>
      <c r="AF135" s="8">
        <f>IF(Master2017[[#This Row],[Status]]="Active",Master2017[[#This Row],[Status_Score]],IF(C135="","",Q135+G135+S135+U135+AE135-5))</f>
        <v>122</v>
      </c>
      <c r="AG135" s="114"/>
      <c r="AH135" s="114">
        <v>2022</v>
      </c>
      <c r="AI135" s="114">
        <v>2022</v>
      </c>
      <c r="AJ135" s="111"/>
    </row>
    <row r="136" spans="1:36" ht="30" x14ac:dyDescent="0.25">
      <c r="A136" s="103">
        <f t="shared" si="12"/>
        <v>130</v>
      </c>
      <c r="B136" s="111" t="s">
        <v>65</v>
      </c>
      <c r="C136" s="111" t="s">
        <v>208</v>
      </c>
      <c r="D136" s="111" t="s">
        <v>209</v>
      </c>
      <c r="E136" s="111" t="s">
        <v>210</v>
      </c>
      <c r="F136" s="111" t="s">
        <v>832</v>
      </c>
      <c r="G136" s="111">
        <f t="shared" si="21"/>
        <v>100</v>
      </c>
      <c r="H136" s="112"/>
      <c r="I136" s="112"/>
      <c r="J136" s="112">
        <f>Master2017[[#This Row],[Initial Budget]]-Master2017[[#This Row],[Previously Committed Funds]]</f>
        <v>0</v>
      </c>
      <c r="K136" s="112"/>
      <c r="L136" s="112"/>
      <c r="M136" s="116">
        <f>Master2017[[#This Row],[Design $ (Add/Deduct)]]+Master2017[[#This Row],[Construction $ (Add/Ded)]]</f>
        <v>0</v>
      </c>
      <c r="N136" s="115">
        <v>250000</v>
      </c>
      <c r="O136" s="114">
        <v>2018</v>
      </c>
      <c r="P136" s="111" t="s">
        <v>688</v>
      </c>
      <c r="Q136" s="114">
        <f t="shared" si="18"/>
        <v>20</v>
      </c>
      <c r="R136" s="114">
        <v>1</v>
      </c>
      <c r="S136" s="114">
        <f t="shared" si="19"/>
        <v>3</v>
      </c>
      <c r="T136" s="114" t="s">
        <v>41</v>
      </c>
      <c r="U136" s="114">
        <f t="shared" si="20"/>
        <v>4</v>
      </c>
      <c r="V136" s="114" t="s">
        <v>30</v>
      </c>
      <c r="W136" s="8">
        <v>0</v>
      </c>
      <c r="X136" s="114">
        <v>0</v>
      </c>
      <c r="Y136" s="114">
        <v>0</v>
      </c>
      <c r="Z136" s="114">
        <v>0</v>
      </c>
      <c r="AA136" s="114">
        <v>0</v>
      </c>
      <c r="AB136" s="114">
        <v>0</v>
      </c>
      <c r="AC136" s="114">
        <v>0</v>
      </c>
      <c r="AD136" s="113" t="s">
        <v>29</v>
      </c>
      <c r="AE136" s="114">
        <f>VLOOKUP(Master2017[[#This Row],[Elevated Priority]],Epriority,2,)</f>
        <v>0</v>
      </c>
      <c r="AF136" s="114">
        <f>IF(Master2017[[#This Row],[Status]]="Active",Master2017[[#This Row],[Status_Score]],IF(C136="","",Q136+G136+S136+U136+AE136-5))</f>
        <v>122</v>
      </c>
      <c r="AG136" s="114"/>
      <c r="AH136" s="114"/>
      <c r="AI136" s="114"/>
      <c r="AJ136" s="111"/>
    </row>
    <row r="137" spans="1:36" ht="60" x14ac:dyDescent="0.25">
      <c r="A137" s="103">
        <f t="shared" si="12"/>
        <v>131</v>
      </c>
      <c r="B137" s="10" t="s">
        <v>214</v>
      </c>
      <c r="C137" s="10" t="s">
        <v>225</v>
      </c>
      <c r="D137" s="10" t="s">
        <v>226</v>
      </c>
      <c r="E137" s="10" t="s">
        <v>227</v>
      </c>
      <c r="F137" s="10" t="s">
        <v>832</v>
      </c>
      <c r="G137" s="10">
        <f t="shared" si="21"/>
        <v>100</v>
      </c>
      <c r="H137" s="49"/>
      <c r="I137" s="49"/>
      <c r="J137" s="49">
        <f>Master2017[[#This Row],[Initial Budget]]-Master2017[[#This Row],[Previously Committed Funds]]</f>
        <v>0</v>
      </c>
      <c r="K137" s="49"/>
      <c r="L137" s="49"/>
      <c r="M137" s="97">
        <f>Master2017[[#This Row],[Design $ (Add/Deduct)]]+Master2017[[#This Row],[Construction $ (Add/Ded)]]</f>
        <v>0</v>
      </c>
      <c r="N137" s="32">
        <v>250000</v>
      </c>
      <c r="O137" s="8">
        <v>2018</v>
      </c>
      <c r="P137" s="10" t="s">
        <v>688</v>
      </c>
      <c r="Q137" s="8">
        <f t="shared" si="18"/>
        <v>20</v>
      </c>
      <c r="R137" s="8">
        <v>2</v>
      </c>
      <c r="S137" s="8">
        <f t="shared" si="19"/>
        <v>6</v>
      </c>
      <c r="T137" s="8" t="s">
        <v>41</v>
      </c>
      <c r="U137" s="8">
        <f t="shared" si="20"/>
        <v>4</v>
      </c>
      <c r="V137" s="8" t="s">
        <v>30</v>
      </c>
      <c r="W137" s="8">
        <v>0</v>
      </c>
      <c r="X137" s="8">
        <v>0</v>
      </c>
      <c r="Y137" s="8">
        <v>0</v>
      </c>
      <c r="Z137" s="8">
        <v>0</v>
      </c>
      <c r="AA137" s="8">
        <v>0</v>
      </c>
      <c r="AB137" s="8">
        <v>0</v>
      </c>
      <c r="AC137" s="8">
        <v>0</v>
      </c>
      <c r="AD137" s="17" t="s">
        <v>29</v>
      </c>
      <c r="AE137" s="8">
        <f>VLOOKUP(Master2017[[#This Row],[Elevated Priority]],Epriority,2,)</f>
        <v>0</v>
      </c>
      <c r="AF137" s="8">
        <f>IF(Master2017[[#This Row],[Status]]="Active",Master2017[[#This Row],[Status_Score]],IF(C137="","",Q137+G137+S137+U137+AE137-5))</f>
        <v>125</v>
      </c>
      <c r="AG137" s="8"/>
      <c r="AH137" s="8">
        <v>2022</v>
      </c>
      <c r="AI137" s="8">
        <v>2022</v>
      </c>
      <c r="AJ137" s="10"/>
    </row>
    <row r="138" spans="1:36" ht="30" hidden="1" x14ac:dyDescent="0.25">
      <c r="A138" s="103">
        <f t="shared" si="12"/>
        <v>132</v>
      </c>
      <c r="B138" s="10" t="s">
        <v>70</v>
      </c>
      <c r="C138" s="10" t="s">
        <v>696</v>
      </c>
      <c r="D138" s="10" t="s">
        <v>702</v>
      </c>
      <c r="E138" s="10"/>
      <c r="F138" s="10" t="s">
        <v>29</v>
      </c>
      <c r="G138" s="10">
        <f t="shared" si="21"/>
        <v>0</v>
      </c>
      <c r="H138" s="49"/>
      <c r="I138" s="49"/>
      <c r="J138" s="49">
        <f>Master2017[[#This Row],[Initial Budget]]-Master2017[[#This Row],[Previously Committed Funds]]</f>
        <v>0</v>
      </c>
      <c r="K138" s="49"/>
      <c r="L138" s="49"/>
      <c r="M138" s="97">
        <f>Master2017[[#This Row],[Design $ (Add/Deduct)]]+Master2017[[#This Row],[Construction $ (Add/Ded)]]</f>
        <v>0</v>
      </c>
      <c r="N138" s="32">
        <v>10000000</v>
      </c>
      <c r="O138" s="8">
        <v>2019</v>
      </c>
      <c r="P138" s="10" t="s">
        <v>46</v>
      </c>
      <c r="Q138" s="8">
        <f t="shared" si="18"/>
        <v>50</v>
      </c>
      <c r="R138" s="8">
        <v>6</v>
      </c>
      <c r="S138" s="8">
        <f t="shared" si="19"/>
        <v>18</v>
      </c>
      <c r="T138" s="8" t="s">
        <v>45</v>
      </c>
      <c r="V138" s="8" t="s">
        <v>34</v>
      </c>
      <c r="W138" s="114">
        <v>0</v>
      </c>
      <c r="X138" s="8">
        <v>0</v>
      </c>
      <c r="Y138" s="8">
        <v>0</v>
      </c>
      <c r="Z138" s="8">
        <v>0</v>
      </c>
      <c r="AA138" s="8">
        <v>0</v>
      </c>
      <c r="AB138" s="8">
        <v>0</v>
      </c>
      <c r="AC138" s="8">
        <v>0</v>
      </c>
      <c r="AD138" s="17" t="s">
        <v>29</v>
      </c>
      <c r="AE138" s="8">
        <f>VLOOKUP(Master2017[[#This Row],[Elevated Priority]],Epriority,2,)</f>
        <v>0</v>
      </c>
      <c r="AF138" s="8">
        <f>IF(Master2017[[#This Row],[Status]]="Active",Master2017[[#This Row],[Status_Score]],IF(C138="","",Q138+G138+S138+U138+AE138-5))</f>
        <v>63</v>
      </c>
      <c r="AG138" s="8"/>
      <c r="AH138" s="8"/>
      <c r="AI138" s="8"/>
      <c r="AJ138" s="10"/>
    </row>
    <row r="139" spans="1:36" ht="45" hidden="1" x14ac:dyDescent="0.25">
      <c r="A139" s="103">
        <f t="shared" si="12"/>
        <v>133</v>
      </c>
      <c r="B139" s="10" t="s">
        <v>65</v>
      </c>
      <c r="C139" s="10" t="s">
        <v>468</v>
      </c>
      <c r="D139" s="10" t="s">
        <v>671</v>
      </c>
      <c r="E139" s="10" t="s">
        <v>469</v>
      </c>
      <c r="F139" s="10" t="s">
        <v>29</v>
      </c>
      <c r="G139" s="10">
        <f t="shared" si="21"/>
        <v>0</v>
      </c>
      <c r="H139" s="49"/>
      <c r="I139" s="49"/>
      <c r="J139" s="49">
        <f>Master2017[[#This Row],[Initial Budget]]-Master2017[[#This Row],[Previously Committed Funds]]</f>
        <v>0</v>
      </c>
      <c r="K139" s="49"/>
      <c r="L139" s="49"/>
      <c r="M139" s="97">
        <f>Master2017[[#This Row],[Design $ (Add/Deduct)]]+Master2017[[#This Row],[Construction $ (Add/Ded)]]</f>
        <v>0</v>
      </c>
      <c r="N139" s="32">
        <v>250000</v>
      </c>
      <c r="O139" s="8">
        <v>2018</v>
      </c>
      <c r="P139" s="10" t="s">
        <v>686</v>
      </c>
      <c r="Q139" s="8">
        <f t="shared" si="18"/>
        <v>60</v>
      </c>
      <c r="R139" s="8">
        <v>4</v>
      </c>
      <c r="S139" s="8">
        <f t="shared" si="19"/>
        <v>12</v>
      </c>
      <c r="T139" s="8" t="s">
        <v>43</v>
      </c>
      <c r="U139" s="8">
        <f t="shared" ref="U139:U146" si="22">VLOOKUP(T139,Urgency,2,FALSE)</f>
        <v>16</v>
      </c>
      <c r="V139" s="8" t="s">
        <v>34</v>
      </c>
      <c r="W139" s="114">
        <v>0</v>
      </c>
      <c r="X139" s="8">
        <v>0</v>
      </c>
      <c r="Y139" s="8">
        <v>0</v>
      </c>
      <c r="Z139" s="8">
        <v>0</v>
      </c>
      <c r="AA139" s="8">
        <v>0</v>
      </c>
      <c r="AB139" s="8">
        <v>0</v>
      </c>
      <c r="AC139" s="8">
        <v>0</v>
      </c>
      <c r="AD139" s="17" t="s">
        <v>29</v>
      </c>
      <c r="AE139" s="8">
        <f>VLOOKUP(Master2017[[#This Row],[Elevated Priority]],Epriority,2,)</f>
        <v>0</v>
      </c>
      <c r="AF139" s="8">
        <f>IF(Master2017[[#This Row],[Status]]="Active",Master2017[[#This Row],[Status_Score]],IF(C139="","",Q139+G139+S139+U139+AE139-5))</f>
        <v>83</v>
      </c>
      <c r="AG139" s="8"/>
      <c r="AH139" s="8"/>
      <c r="AI139" s="8"/>
      <c r="AJ139" s="10"/>
    </row>
    <row r="140" spans="1:36" ht="30" hidden="1" x14ac:dyDescent="0.25">
      <c r="A140" s="103">
        <f t="shared" si="12"/>
        <v>134</v>
      </c>
      <c r="B140" s="10" t="s">
        <v>70</v>
      </c>
      <c r="C140" s="10" t="s">
        <v>408</v>
      </c>
      <c r="D140" s="10" t="s">
        <v>409</v>
      </c>
      <c r="E140" s="10" t="s">
        <v>410</v>
      </c>
      <c r="F140" s="10" t="s">
        <v>29</v>
      </c>
      <c r="G140" s="10">
        <f t="shared" si="21"/>
        <v>0</v>
      </c>
      <c r="H140" s="49"/>
      <c r="I140" s="49"/>
      <c r="J140" s="49">
        <f>Master2017[[#This Row],[Initial Budget]]-Master2017[[#This Row],[Previously Committed Funds]]</f>
        <v>0</v>
      </c>
      <c r="K140" s="49"/>
      <c r="L140" s="49"/>
      <c r="M140" s="97">
        <f>Master2017[[#This Row],[Design $ (Add/Deduct)]]+Master2017[[#This Row],[Construction $ (Add/Ded)]]</f>
        <v>0</v>
      </c>
      <c r="N140" s="32">
        <v>750000</v>
      </c>
      <c r="O140" s="8">
        <v>2018</v>
      </c>
      <c r="P140" s="10" t="s">
        <v>686</v>
      </c>
      <c r="Q140" s="8">
        <f t="shared" si="18"/>
        <v>60</v>
      </c>
      <c r="R140" s="8">
        <v>5</v>
      </c>
      <c r="S140" s="8">
        <f t="shared" si="19"/>
        <v>15</v>
      </c>
      <c r="T140" s="8" t="s">
        <v>43</v>
      </c>
      <c r="U140" s="8">
        <f t="shared" si="22"/>
        <v>16</v>
      </c>
      <c r="V140" s="8" t="s">
        <v>34</v>
      </c>
      <c r="W140" s="114">
        <v>0</v>
      </c>
      <c r="X140" s="8">
        <v>0</v>
      </c>
      <c r="Y140" s="8">
        <v>0</v>
      </c>
      <c r="Z140" s="8">
        <v>0</v>
      </c>
      <c r="AA140" s="8">
        <v>0</v>
      </c>
      <c r="AB140" s="8">
        <v>0</v>
      </c>
      <c r="AC140" s="8">
        <v>-1</v>
      </c>
      <c r="AD140" s="17" t="s">
        <v>29</v>
      </c>
      <c r="AE140" s="8">
        <f>VLOOKUP(Master2017[[#This Row],[Elevated Priority]],Epriority,2,)</f>
        <v>0</v>
      </c>
      <c r="AF140" s="8">
        <f>IF(Master2017[[#This Row],[Status]]="Active",Master2017[[#This Row],[Status_Score]],IF(C140="","",Q140+G140+S140+U140+AE140-5))</f>
        <v>86</v>
      </c>
      <c r="AG140" s="8"/>
      <c r="AH140" s="8"/>
      <c r="AI140" s="8"/>
      <c r="AJ140" s="10"/>
    </row>
    <row r="141" spans="1:36" ht="30" x14ac:dyDescent="0.25">
      <c r="A141" s="103">
        <f t="shared" si="12"/>
        <v>135</v>
      </c>
      <c r="B141" s="10" t="s">
        <v>214</v>
      </c>
      <c r="C141" s="10" t="s">
        <v>307</v>
      </c>
      <c r="D141" s="10" t="s">
        <v>308</v>
      </c>
      <c r="E141" s="10" t="s">
        <v>309</v>
      </c>
      <c r="F141" s="10" t="s">
        <v>832</v>
      </c>
      <c r="G141" s="10">
        <f t="shared" si="21"/>
        <v>100</v>
      </c>
      <c r="H141" s="49"/>
      <c r="I141" s="49"/>
      <c r="J141" s="49">
        <f>Master2017[[#This Row],[Initial Budget]]-Master2017[[#This Row],[Previously Committed Funds]]</f>
        <v>0</v>
      </c>
      <c r="K141" s="49"/>
      <c r="L141" s="49"/>
      <c r="M141" s="97">
        <f>Master2017[[#This Row],[Design $ (Add/Deduct)]]+Master2017[[#This Row],[Construction $ (Add/Ded)]]</f>
        <v>0</v>
      </c>
      <c r="N141" s="32">
        <v>150000</v>
      </c>
      <c r="O141" s="8">
        <v>2018</v>
      </c>
      <c r="P141" s="10" t="s">
        <v>688</v>
      </c>
      <c r="Q141" s="8">
        <f t="shared" si="18"/>
        <v>20</v>
      </c>
      <c r="R141" s="8">
        <v>4</v>
      </c>
      <c r="S141" s="8">
        <f t="shared" si="19"/>
        <v>12</v>
      </c>
      <c r="T141" s="8" t="s">
        <v>41</v>
      </c>
      <c r="U141" s="8">
        <f t="shared" si="22"/>
        <v>4</v>
      </c>
      <c r="V141" s="8" t="s">
        <v>30</v>
      </c>
      <c r="W141" s="8">
        <v>0</v>
      </c>
      <c r="X141" s="8">
        <v>0</v>
      </c>
      <c r="Y141" s="8">
        <v>0</v>
      </c>
      <c r="Z141" s="8">
        <v>0</v>
      </c>
      <c r="AA141" s="8">
        <v>0</v>
      </c>
      <c r="AB141" s="8">
        <v>0</v>
      </c>
      <c r="AC141" s="8">
        <v>0</v>
      </c>
      <c r="AD141" s="17" t="s">
        <v>29</v>
      </c>
      <c r="AE141" s="8">
        <f>VLOOKUP(Master2017[[#This Row],[Elevated Priority]],Epriority,2,)</f>
        <v>0</v>
      </c>
      <c r="AF141" s="8">
        <f>IF(Master2017[[#This Row],[Status]]="Active",Master2017[[#This Row],[Status_Score]],IF(C141="","",Q141+G141+S141+U141+AE141-5))</f>
        <v>131</v>
      </c>
      <c r="AG141" s="8"/>
      <c r="AH141" s="8"/>
      <c r="AI141" s="8"/>
      <c r="AJ141" s="10"/>
    </row>
    <row r="142" spans="1:36" ht="30" hidden="1" x14ac:dyDescent="0.25">
      <c r="A142" s="103">
        <f t="shared" si="12"/>
        <v>136</v>
      </c>
      <c r="B142" s="10" t="s">
        <v>70</v>
      </c>
      <c r="C142" s="10" t="s">
        <v>390</v>
      </c>
      <c r="D142" s="10" t="s">
        <v>391</v>
      </c>
      <c r="E142" s="10" t="s">
        <v>392</v>
      </c>
      <c r="F142" s="10" t="s">
        <v>29</v>
      </c>
      <c r="G142" s="10">
        <f t="shared" si="21"/>
        <v>0</v>
      </c>
      <c r="H142" s="49"/>
      <c r="I142" s="49"/>
      <c r="J142" s="49">
        <f>Master2017[[#This Row],[Initial Budget]]-Master2017[[#This Row],[Previously Committed Funds]]</f>
        <v>0</v>
      </c>
      <c r="K142" s="49"/>
      <c r="L142" s="49"/>
      <c r="M142" s="97">
        <f>Master2017[[#This Row],[Design $ (Add/Deduct)]]+Master2017[[#This Row],[Construction $ (Add/Ded)]]</f>
        <v>0</v>
      </c>
      <c r="N142" s="32">
        <v>150000</v>
      </c>
      <c r="O142" s="8">
        <v>2018</v>
      </c>
      <c r="P142" s="10" t="s">
        <v>686</v>
      </c>
      <c r="Q142" s="8">
        <f t="shared" si="18"/>
        <v>60</v>
      </c>
      <c r="R142" s="8">
        <v>5</v>
      </c>
      <c r="S142" s="8">
        <f t="shared" si="19"/>
        <v>15</v>
      </c>
      <c r="T142" s="8" t="s">
        <v>43</v>
      </c>
      <c r="U142" s="8">
        <f t="shared" si="22"/>
        <v>16</v>
      </c>
      <c r="V142" s="8" t="s">
        <v>34</v>
      </c>
      <c r="W142" s="114">
        <v>0</v>
      </c>
      <c r="X142" s="8">
        <v>0</v>
      </c>
      <c r="Y142" s="8">
        <v>0</v>
      </c>
      <c r="Z142" s="8">
        <v>0</v>
      </c>
      <c r="AA142" s="8">
        <v>0</v>
      </c>
      <c r="AB142" s="8">
        <v>0</v>
      </c>
      <c r="AC142" s="8">
        <v>0</v>
      </c>
      <c r="AD142" s="17" t="s">
        <v>29</v>
      </c>
      <c r="AE142" s="8">
        <f>VLOOKUP(Master2017[[#This Row],[Elevated Priority]],Epriority,2,)</f>
        <v>0</v>
      </c>
      <c r="AF142" s="8">
        <f>IF(Master2017[[#This Row],[Status]]="Active",Master2017[[#This Row],[Status_Score]],IF(C142="","",Q142+G142+S142+U142+AE142-5))</f>
        <v>86</v>
      </c>
      <c r="AG142" s="8"/>
      <c r="AH142" s="8"/>
      <c r="AI142" s="8"/>
      <c r="AJ142" s="10"/>
    </row>
    <row r="143" spans="1:36" ht="45" x14ac:dyDescent="0.25">
      <c r="A143" s="103">
        <f t="shared" si="12"/>
        <v>137</v>
      </c>
      <c r="B143" s="107" t="s">
        <v>674</v>
      </c>
      <c r="C143" s="107" t="s">
        <v>19</v>
      </c>
      <c r="D143" s="107" t="s">
        <v>831</v>
      </c>
      <c r="E143" s="107" t="s">
        <v>915</v>
      </c>
      <c r="F143" s="107" t="s">
        <v>832</v>
      </c>
      <c r="G143" s="107">
        <f t="shared" si="21"/>
        <v>100</v>
      </c>
      <c r="H143" s="149">
        <v>2097410</v>
      </c>
      <c r="I143" s="149">
        <v>1769</v>
      </c>
      <c r="J143" s="149">
        <f>Master2017[[#This Row],[Initial Budget]]-Master2017[[#This Row],[Previously Committed Funds]]</f>
        <v>2095641</v>
      </c>
      <c r="K143" s="149">
        <v>0</v>
      </c>
      <c r="L143" s="149">
        <v>0</v>
      </c>
      <c r="M143" s="150">
        <f>Master2017[[#This Row],[Design $ (Add/Deduct)]]+Master2017[[#This Row],[Construction $ (Add/Ded)]]</f>
        <v>0</v>
      </c>
      <c r="N143" s="149">
        <f>Master2017[[#This Row],[Total Add]]+Master2017[[#This Row],[Current Available Balance]]+Master2017[[#This Row],[Previously Committed Funds]]</f>
        <v>2097410</v>
      </c>
      <c r="O143" s="106">
        <v>2018</v>
      </c>
      <c r="P143" s="107" t="s">
        <v>46</v>
      </c>
      <c r="Q143" s="8">
        <f t="shared" si="18"/>
        <v>50</v>
      </c>
      <c r="R143" s="106">
        <v>10</v>
      </c>
      <c r="S143" s="106">
        <f t="shared" si="19"/>
        <v>21</v>
      </c>
      <c r="T143" s="106" t="s">
        <v>45</v>
      </c>
      <c r="U143" s="106">
        <f t="shared" si="22"/>
        <v>32</v>
      </c>
      <c r="V143" s="106" t="s">
        <v>38</v>
      </c>
      <c r="W143" s="114">
        <v>0</v>
      </c>
      <c r="X143" s="106"/>
      <c r="Y143" s="106"/>
      <c r="Z143" s="106"/>
      <c r="AA143" s="106"/>
      <c r="AB143" s="106"/>
      <c r="AC143" s="106"/>
      <c r="AD143" s="108" t="s">
        <v>29</v>
      </c>
      <c r="AE143" s="106">
        <f>VLOOKUP(Master2017[[#This Row],[Elevated Priority]],Epriority,2,)</f>
        <v>0</v>
      </c>
      <c r="AF143" s="106">
        <f>IF(Master2017[[#This Row],[Status]]="Active",Master2017[[#This Row],[Status_Score]],IF(C143="","",Q143+G143+S143+U143+AE143-5))</f>
        <v>198</v>
      </c>
      <c r="AG143" s="106" t="s">
        <v>717</v>
      </c>
      <c r="AH143" s="106"/>
      <c r="AI143" s="106"/>
      <c r="AJ143" s="107" t="s">
        <v>916</v>
      </c>
    </row>
    <row r="144" spans="1:36" ht="30" hidden="1" x14ac:dyDescent="0.25">
      <c r="A144" s="103">
        <f t="shared" ref="A144:A205" si="23">A143+1</f>
        <v>138</v>
      </c>
      <c r="B144" s="10" t="s">
        <v>65</v>
      </c>
      <c r="C144" s="10" t="s">
        <v>910</v>
      </c>
      <c r="D144" s="10" t="s">
        <v>919</v>
      </c>
      <c r="E144" s="10" t="s">
        <v>920</v>
      </c>
      <c r="F144" s="10" t="s">
        <v>29</v>
      </c>
      <c r="G144" s="10">
        <f t="shared" si="21"/>
        <v>0</v>
      </c>
      <c r="H144" s="49"/>
      <c r="I144" s="49"/>
      <c r="J144" s="49">
        <f>Master2017[[#This Row],[Initial Budget]]-Master2017[[#This Row],[Previously Committed Funds]]</f>
        <v>0</v>
      </c>
      <c r="K144" s="49"/>
      <c r="L144" s="49"/>
      <c r="M144" s="97">
        <f>Master2017[[#This Row],[Design $ (Add/Deduct)]]+Master2017[[#This Row],[Construction $ (Add/Ded)]]</f>
        <v>0</v>
      </c>
      <c r="N144" s="32">
        <v>5000000</v>
      </c>
      <c r="O144" s="8">
        <v>2018</v>
      </c>
      <c r="P144" s="10" t="s">
        <v>46</v>
      </c>
      <c r="Q144" s="8">
        <f t="shared" si="18"/>
        <v>50</v>
      </c>
      <c r="R144" s="8">
        <v>6</v>
      </c>
      <c r="S144" s="8">
        <f t="shared" si="19"/>
        <v>18</v>
      </c>
      <c r="T144" s="8" t="s">
        <v>43</v>
      </c>
      <c r="U144" s="8">
        <f t="shared" si="22"/>
        <v>16</v>
      </c>
      <c r="V144" s="8" t="s">
        <v>34</v>
      </c>
      <c r="W144" s="114">
        <v>-3</v>
      </c>
      <c r="X144" s="8">
        <v>0</v>
      </c>
      <c r="Y144" s="8">
        <v>0</v>
      </c>
      <c r="Z144" s="8">
        <v>-3</v>
      </c>
      <c r="AA144" s="8">
        <v>-2</v>
      </c>
      <c r="AB144" s="8">
        <v>-5</v>
      </c>
      <c r="AC144" s="8">
        <v>0</v>
      </c>
      <c r="AD144" s="17" t="s">
        <v>29</v>
      </c>
      <c r="AE144" s="8">
        <f>VLOOKUP(Master2017[[#This Row],[Elevated Priority]],Epriority,2,)</f>
        <v>0</v>
      </c>
      <c r="AF144" s="8">
        <f>IF(Master2017[[#This Row],[Status]]="Active",Master2017[[#This Row],[Status_Score]],IF(C144="","",Q144+G144+S144+U144+AE144-5))</f>
        <v>79</v>
      </c>
      <c r="AG144" s="8"/>
      <c r="AH144" s="8"/>
      <c r="AI144" s="8"/>
      <c r="AJ144" s="10"/>
    </row>
    <row r="145" spans="1:36" ht="75" hidden="1" x14ac:dyDescent="0.25">
      <c r="A145" s="103">
        <f t="shared" si="23"/>
        <v>139</v>
      </c>
      <c r="B145" s="10" t="s">
        <v>67</v>
      </c>
      <c r="C145" s="10" t="s">
        <v>419</v>
      </c>
      <c r="D145" s="10" t="s">
        <v>420</v>
      </c>
      <c r="E145" s="10" t="s">
        <v>421</v>
      </c>
      <c r="F145" s="10" t="s">
        <v>29</v>
      </c>
      <c r="G145" s="10">
        <f t="shared" si="21"/>
        <v>0</v>
      </c>
      <c r="H145" s="49"/>
      <c r="I145" s="49"/>
      <c r="J145" s="49">
        <f>Master2017[[#This Row],[Initial Budget]]-Master2017[[#This Row],[Previously Committed Funds]]</f>
        <v>0</v>
      </c>
      <c r="K145" s="49"/>
      <c r="L145" s="49"/>
      <c r="M145" s="97">
        <f>Master2017[[#This Row],[Design $ (Add/Deduct)]]+Master2017[[#This Row],[Construction $ (Add/Ded)]]</f>
        <v>0</v>
      </c>
      <c r="N145" s="32">
        <v>100000</v>
      </c>
      <c r="O145" s="8">
        <v>2018</v>
      </c>
      <c r="P145" s="10" t="s">
        <v>46</v>
      </c>
      <c r="Q145" s="8">
        <f t="shared" si="18"/>
        <v>50</v>
      </c>
      <c r="R145" s="8">
        <v>2</v>
      </c>
      <c r="S145" s="8">
        <f t="shared" si="19"/>
        <v>6</v>
      </c>
      <c r="T145" s="8" t="s">
        <v>43</v>
      </c>
      <c r="U145" s="8">
        <f t="shared" si="22"/>
        <v>16</v>
      </c>
      <c r="V145" s="8" t="s">
        <v>34</v>
      </c>
      <c r="W145" s="114">
        <v>0</v>
      </c>
      <c r="X145" s="8">
        <v>0</v>
      </c>
      <c r="Y145" s="8">
        <v>0</v>
      </c>
      <c r="Z145" s="8">
        <v>0</v>
      </c>
      <c r="AA145" s="8">
        <v>0</v>
      </c>
      <c r="AB145" s="8">
        <v>0</v>
      </c>
      <c r="AC145" s="8">
        <v>0</v>
      </c>
      <c r="AD145" s="17" t="s">
        <v>29</v>
      </c>
      <c r="AE145" s="8">
        <f>VLOOKUP(Master2017[[#This Row],[Elevated Priority]],Epriority,2,)</f>
        <v>0</v>
      </c>
      <c r="AF145" s="8">
        <f>IF(Master2017[[#This Row],[Status]]="Active",Master2017[[#This Row],[Status_Score]],IF(C145="","",Q145+G145+S145+U145+AE145-5))</f>
        <v>67</v>
      </c>
      <c r="AG145" s="8"/>
      <c r="AH145" s="8"/>
      <c r="AI145" s="8"/>
      <c r="AJ145" s="10"/>
    </row>
    <row r="146" spans="1:36" ht="75" hidden="1" x14ac:dyDescent="0.25">
      <c r="A146" s="103">
        <f t="shared" si="23"/>
        <v>140</v>
      </c>
      <c r="B146" s="10" t="s">
        <v>67</v>
      </c>
      <c r="C146" s="10" t="s">
        <v>531</v>
      </c>
      <c r="D146" s="10" t="s">
        <v>532</v>
      </c>
      <c r="E146" s="10" t="s">
        <v>533</v>
      </c>
      <c r="F146" s="10" t="s">
        <v>29</v>
      </c>
      <c r="G146" s="10">
        <f t="shared" si="21"/>
        <v>0</v>
      </c>
      <c r="H146" s="49"/>
      <c r="I146" s="49"/>
      <c r="J146" s="49">
        <f>Master2017[[#This Row],[Initial Budget]]-Master2017[[#This Row],[Previously Committed Funds]]</f>
        <v>0</v>
      </c>
      <c r="K146" s="49"/>
      <c r="L146" s="49"/>
      <c r="M146" s="97">
        <f>Master2017[[#This Row],[Design $ (Add/Deduct)]]+Master2017[[#This Row],[Construction $ (Add/Ded)]]</f>
        <v>0</v>
      </c>
      <c r="N146" s="32">
        <v>2000000</v>
      </c>
      <c r="O146" s="8">
        <v>2018</v>
      </c>
      <c r="P146" s="10" t="s">
        <v>46</v>
      </c>
      <c r="Q146" s="8">
        <f t="shared" si="18"/>
        <v>50</v>
      </c>
      <c r="R146" s="8">
        <v>2</v>
      </c>
      <c r="S146" s="8">
        <f t="shared" si="19"/>
        <v>6</v>
      </c>
      <c r="T146" s="8" t="s">
        <v>43</v>
      </c>
      <c r="U146" s="8">
        <f t="shared" si="22"/>
        <v>16</v>
      </c>
      <c r="V146" s="8" t="s">
        <v>34</v>
      </c>
      <c r="W146" s="114">
        <v>0</v>
      </c>
      <c r="X146" s="8">
        <v>0</v>
      </c>
      <c r="Y146" s="8">
        <v>0</v>
      </c>
      <c r="Z146" s="8">
        <v>0</v>
      </c>
      <c r="AA146" s="8">
        <v>0</v>
      </c>
      <c r="AB146" s="8">
        <v>0</v>
      </c>
      <c r="AC146" s="8">
        <v>0</v>
      </c>
      <c r="AD146" s="17" t="s">
        <v>29</v>
      </c>
      <c r="AE146" s="8">
        <f>VLOOKUP(Master2017[[#This Row],[Elevated Priority]],Epriority,2,)</f>
        <v>0</v>
      </c>
      <c r="AF146" s="8">
        <f>IF(Master2017[[#This Row],[Status]]="Active",Master2017[[#This Row],[Status_Score]],IF(C146="","",Q146+G146+S146+U146+AE146-5))</f>
        <v>67</v>
      </c>
      <c r="AG146" s="8"/>
      <c r="AH146" s="8"/>
      <c r="AI146" s="8"/>
      <c r="AJ146" s="10"/>
    </row>
    <row r="147" spans="1:36" ht="45" x14ac:dyDescent="0.25">
      <c r="A147" s="103">
        <f t="shared" si="23"/>
        <v>141</v>
      </c>
      <c r="B147" s="10" t="s">
        <v>646</v>
      </c>
      <c r="C147" s="10" t="s">
        <v>746</v>
      </c>
      <c r="D147" s="10" t="s">
        <v>675</v>
      </c>
      <c r="E147" s="10" t="s">
        <v>676</v>
      </c>
      <c r="F147" s="10" t="s">
        <v>814</v>
      </c>
      <c r="G147" s="10">
        <f t="shared" si="21"/>
        <v>200</v>
      </c>
      <c r="H147" s="49">
        <v>50000</v>
      </c>
      <c r="I147" s="49">
        <v>17833</v>
      </c>
      <c r="J147" s="49">
        <f>Master2017[[#This Row],[Initial Budget]]-Master2017[[#This Row],[Previously Committed Funds]]</f>
        <v>32167</v>
      </c>
      <c r="K147" s="49">
        <v>0</v>
      </c>
      <c r="L147" s="49">
        <v>0</v>
      </c>
      <c r="M147" s="97">
        <f>Master2017[[#This Row],[Design $ (Add/Deduct)]]+Master2017[[#This Row],[Construction $ (Add/Ded)]]</f>
        <v>0</v>
      </c>
      <c r="N147" s="49">
        <f>Master2017[[#This Row],[Total Add]]+Master2017[[#This Row],[Current Available Balance]]+Master2017[[#This Row],[Previously Committed Funds]]</f>
        <v>50000</v>
      </c>
      <c r="O147" s="8">
        <v>2019</v>
      </c>
      <c r="P147" s="10" t="s">
        <v>686</v>
      </c>
      <c r="Q147" s="8">
        <v>40</v>
      </c>
      <c r="R147" s="8">
        <v>1</v>
      </c>
      <c r="S147" s="8">
        <v>3</v>
      </c>
      <c r="T147" s="8" t="s">
        <v>37</v>
      </c>
      <c r="U147" s="8">
        <v>4</v>
      </c>
      <c r="V147" s="8" t="s">
        <v>38</v>
      </c>
      <c r="W147" s="8">
        <v>0</v>
      </c>
      <c r="AD147" s="17" t="s">
        <v>29</v>
      </c>
      <c r="AE147" s="8">
        <v>0</v>
      </c>
      <c r="AF147" s="8">
        <f>IF(Master2017[[#This Row],[Status]]="Active",Master2017[[#This Row],[Status_Score]],IF(C147="","",Q147+G147+S147+U147+AE147-5))</f>
        <v>242</v>
      </c>
      <c r="AG147" s="8"/>
      <c r="AH147" s="8"/>
      <c r="AI147" s="8"/>
      <c r="AJ147" s="10" t="s">
        <v>157</v>
      </c>
    </row>
    <row r="148" spans="1:36" ht="30" hidden="1" x14ac:dyDescent="0.25">
      <c r="A148" s="103">
        <f t="shared" si="23"/>
        <v>142</v>
      </c>
      <c r="B148" s="10" t="s">
        <v>67</v>
      </c>
      <c r="C148" s="10" t="s">
        <v>621</v>
      </c>
      <c r="D148" s="10" t="s">
        <v>622</v>
      </c>
      <c r="E148" s="10" t="s">
        <v>623</v>
      </c>
      <c r="F148" s="10" t="s">
        <v>29</v>
      </c>
      <c r="G148" s="10">
        <f t="shared" si="21"/>
        <v>0</v>
      </c>
      <c r="H148" s="49"/>
      <c r="I148" s="49"/>
      <c r="J148" s="49">
        <f>Master2017[[#This Row],[Initial Budget]]-Master2017[[#This Row],[Previously Committed Funds]]</f>
        <v>0</v>
      </c>
      <c r="K148" s="49"/>
      <c r="L148" s="49"/>
      <c r="M148" s="97">
        <f>Master2017[[#This Row],[Design $ (Add/Deduct)]]+Master2017[[#This Row],[Construction $ (Add/Ded)]]</f>
        <v>0</v>
      </c>
      <c r="N148" s="32">
        <v>400000</v>
      </c>
      <c r="O148" s="8">
        <v>2019</v>
      </c>
      <c r="P148" s="10" t="s">
        <v>46</v>
      </c>
      <c r="Q148" s="8">
        <f t="shared" ref="Q148:Q179" si="24">VLOOKUP(P148,Importance,2,FALSE)</f>
        <v>50</v>
      </c>
      <c r="R148" s="8">
        <v>7</v>
      </c>
      <c r="S148" s="8">
        <f t="shared" ref="S148:S186" si="25">VLOOKUP(R148,Department,2,FALSE)</f>
        <v>20</v>
      </c>
      <c r="T148" s="8" t="s">
        <v>41</v>
      </c>
      <c r="U148" s="8">
        <f t="shared" ref="U148:U186" si="26">VLOOKUP(T148,Urgency,2,FALSE)</f>
        <v>4</v>
      </c>
      <c r="V148" s="8" t="s">
        <v>34</v>
      </c>
      <c r="W148" s="114">
        <v>0</v>
      </c>
      <c r="X148" s="8">
        <v>0</v>
      </c>
      <c r="Y148" s="8">
        <v>0</v>
      </c>
      <c r="Z148" s="8">
        <v>0</v>
      </c>
      <c r="AA148" s="8">
        <v>0</v>
      </c>
      <c r="AB148" s="8">
        <v>0</v>
      </c>
      <c r="AC148" s="8">
        <v>0</v>
      </c>
      <c r="AD148" s="8" t="s">
        <v>29</v>
      </c>
      <c r="AE148" s="8">
        <f>VLOOKUP(Master2017[[#This Row],[Elevated Priority]],Epriority,2,)</f>
        <v>0</v>
      </c>
      <c r="AF148" s="8">
        <f>IF(Master2017[[#This Row],[Status]]="Active",Master2017[[#This Row],[Status_Score]],IF(C148="","",Q148+G148+S148+U148+AE148-5))</f>
        <v>69</v>
      </c>
      <c r="AG148" s="8"/>
      <c r="AH148" s="8"/>
      <c r="AI148" s="8"/>
      <c r="AJ148" s="10"/>
    </row>
    <row r="149" spans="1:36" ht="60" hidden="1" x14ac:dyDescent="0.25">
      <c r="A149" s="103">
        <f t="shared" si="23"/>
        <v>143</v>
      </c>
      <c r="B149" s="10" t="s">
        <v>65</v>
      </c>
      <c r="C149" s="10" t="s">
        <v>567</v>
      </c>
      <c r="D149" s="10" t="s">
        <v>911</v>
      </c>
      <c r="E149" s="10" t="s">
        <v>569</v>
      </c>
      <c r="F149" s="10" t="s">
        <v>29</v>
      </c>
      <c r="G149" s="10">
        <f t="shared" si="21"/>
        <v>0</v>
      </c>
      <c r="H149" s="49"/>
      <c r="I149" s="49"/>
      <c r="J149" s="49">
        <f>Master2017[[#This Row],[Initial Budget]]-Master2017[[#This Row],[Previously Committed Funds]]</f>
        <v>0</v>
      </c>
      <c r="K149" s="49"/>
      <c r="L149" s="49"/>
      <c r="M149" s="97">
        <f>Master2017[[#This Row],[Design $ (Add/Deduct)]]+Master2017[[#This Row],[Construction $ (Add/Ded)]]</f>
        <v>0</v>
      </c>
      <c r="N149" s="32">
        <v>5000000</v>
      </c>
      <c r="O149" s="8">
        <v>2018</v>
      </c>
      <c r="P149" s="10" t="s">
        <v>46</v>
      </c>
      <c r="Q149" s="8">
        <f t="shared" si="24"/>
        <v>50</v>
      </c>
      <c r="R149" s="8">
        <v>5</v>
      </c>
      <c r="S149" s="8">
        <f t="shared" si="25"/>
        <v>15</v>
      </c>
      <c r="T149" s="8" t="s">
        <v>45</v>
      </c>
      <c r="U149" s="8">
        <f t="shared" si="26"/>
        <v>32</v>
      </c>
      <c r="V149" s="8" t="s">
        <v>34</v>
      </c>
      <c r="W149" s="114">
        <v>-9</v>
      </c>
      <c r="X149" s="8">
        <v>0</v>
      </c>
      <c r="Y149" s="8">
        <v>0</v>
      </c>
      <c r="Z149" s="8">
        <v>-3</v>
      </c>
      <c r="AA149" s="8">
        <v>-2</v>
      </c>
      <c r="AB149" s="8">
        <v>-7</v>
      </c>
      <c r="AC149" s="8">
        <v>0</v>
      </c>
      <c r="AD149" s="17" t="s">
        <v>29</v>
      </c>
      <c r="AE149" s="8">
        <f>VLOOKUP(Master2017[[#This Row],[Elevated Priority]],Epriority,2,)</f>
        <v>0</v>
      </c>
      <c r="AF149" s="8">
        <f>IF(Master2017[[#This Row],[Status]]="Active",Master2017[[#This Row],[Status_Score]],IF(C149="","",Q149+G149+S149+U149+AE149-5))</f>
        <v>92</v>
      </c>
      <c r="AG149" s="8"/>
      <c r="AH149" s="8"/>
      <c r="AI149" s="8"/>
      <c r="AJ149" s="10"/>
    </row>
    <row r="150" spans="1:36" ht="30" hidden="1" x14ac:dyDescent="0.25">
      <c r="A150" s="103">
        <f t="shared" si="23"/>
        <v>144</v>
      </c>
      <c r="B150" s="10" t="s">
        <v>79</v>
      </c>
      <c r="C150" s="10" t="s">
        <v>513</v>
      </c>
      <c r="D150" s="10" t="s">
        <v>514</v>
      </c>
      <c r="E150" s="10" t="s">
        <v>515</v>
      </c>
      <c r="F150" s="10" t="s">
        <v>29</v>
      </c>
      <c r="G150" s="10">
        <f t="shared" si="21"/>
        <v>0</v>
      </c>
      <c r="H150" s="49"/>
      <c r="I150" s="49"/>
      <c r="J150" s="49">
        <f>Master2017[[#This Row],[Initial Budget]]-Master2017[[#This Row],[Previously Committed Funds]]</f>
        <v>0</v>
      </c>
      <c r="K150" s="49"/>
      <c r="L150" s="49"/>
      <c r="M150" s="97">
        <f>Master2017[[#This Row],[Design $ (Add/Deduct)]]+Master2017[[#This Row],[Construction $ (Add/Ded)]]</f>
        <v>0</v>
      </c>
      <c r="N150" s="32">
        <v>50000</v>
      </c>
      <c r="O150" s="8">
        <v>2018</v>
      </c>
      <c r="P150" s="10" t="s">
        <v>686</v>
      </c>
      <c r="Q150" s="8">
        <f t="shared" si="24"/>
        <v>60</v>
      </c>
      <c r="R150" s="8">
        <v>10</v>
      </c>
      <c r="S150" s="8">
        <f t="shared" si="25"/>
        <v>21</v>
      </c>
      <c r="T150" s="8" t="s">
        <v>43</v>
      </c>
      <c r="U150" s="8">
        <f t="shared" si="26"/>
        <v>16</v>
      </c>
      <c r="V150" s="8" t="s">
        <v>34</v>
      </c>
      <c r="W150" s="114">
        <v>0</v>
      </c>
      <c r="X150" s="8">
        <v>0</v>
      </c>
      <c r="Y150" s="8">
        <v>0</v>
      </c>
      <c r="Z150" s="8">
        <v>0</v>
      </c>
      <c r="AA150" s="8">
        <v>0</v>
      </c>
      <c r="AB150" s="8">
        <v>0</v>
      </c>
      <c r="AC150" s="8">
        <v>0</v>
      </c>
      <c r="AD150" s="17" t="s">
        <v>29</v>
      </c>
      <c r="AE150" s="8">
        <f>VLOOKUP(Master2017[[#This Row],[Elevated Priority]],Epriority,2,)</f>
        <v>0</v>
      </c>
      <c r="AF150" s="8">
        <f>IF(Master2017[[#This Row],[Status]]="Active",Master2017[[#This Row],[Status_Score]],IF(C150="","",Q150+G150+S150+U150+AE150-5))</f>
        <v>92</v>
      </c>
      <c r="AG150" s="8"/>
      <c r="AH150" s="8"/>
      <c r="AI150" s="8"/>
      <c r="AJ150" s="10"/>
    </row>
    <row r="151" spans="1:36" ht="45" hidden="1" x14ac:dyDescent="0.25">
      <c r="A151" s="103">
        <f t="shared" si="23"/>
        <v>145</v>
      </c>
      <c r="B151" s="10" t="s">
        <v>65</v>
      </c>
      <c r="C151" s="10" t="s">
        <v>842</v>
      </c>
      <c r="D151" s="10" t="s">
        <v>388</v>
      </c>
      <c r="E151" s="10" t="s">
        <v>389</v>
      </c>
      <c r="F151" s="10" t="s">
        <v>29</v>
      </c>
      <c r="G151" s="10">
        <f t="shared" si="21"/>
        <v>0</v>
      </c>
      <c r="H151" s="49"/>
      <c r="I151" s="49"/>
      <c r="J151" s="49">
        <f>Master2017[[#This Row],[Initial Budget]]-Master2017[[#This Row],[Previously Committed Funds]]</f>
        <v>0</v>
      </c>
      <c r="K151" s="49"/>
      <c r="L151" s="49"/>
      <c r="M151" s="97">
        <f>Master2017[[#This Row],[Design $ (Add/Deduct)]]+Master2017[[#This Row],[Construction $ (Add/Ded)]]</f>
        <v>0</v>
      </c>
      <c r="N151" s="32">
        <v>375000</v>
      </c>
      <c r="O151" s="8">
        <v>2018</v>
      </c>
      <c r="P151" s="10" t="s">
        <v>686</v>
      </c>
      <c r="Q151" s="8">
        <f t="shared" si="24"/>
        <v>60</v>
      </c>
      <c r="R151" s="8">
        <v>10</v>
      </c>
      <c r="S151" s="8">
        <f t="shared" si="25"/>
        <v>21</v>
      </c>
      <c r="T151" s="8" t="s">
        <v>43</v>
      </c>
      <c r="U151" s="8">
        <f t="shared" si="26"/>
        <v>16</v>
      </c>
      <c r="V151" s="8" t="s">
        <v>34</v>
      </c>
      <c r="W151" s="114">
        <v>0</v>
      </c>
      <c r="X151" s="8">
        <v>0</v>
      </c>
      <c r="Y151" s="8">
        <v>0</v>
      </c>
      <c r="Z151" s="8">
        <v>0</v>
      </c>
      <c r="AA151" s="8">
        <v>0</v>
      </c>
      <c r="AB151" s="8">
        <v>0</v>
      </c>
      <c r="AC151" s="8">
        <v>0</v>
      </c>
      <c r="AD151" s="17" t="s">
        <v>29</v>
      </c>
      <c r="AE151" s="8">
        <f>VLOOKUP(Master2017[[#This Row],[Elevated Priority]],Epriority,2,)</f>
        <v>0</v>
      </c>
      <c r="AF151" s="8">
        <f>IF(Master2017[[#This Row],[Status]]="Active",Master2017[[#This Row],[Status_Score]],IF(C151="","",Q151+G151+S151+U151+AE151-5))</f>
        <v>92</v>
      </c>
      <c r="AG151" s="8"/>
      <c r="AH151" s="8"/>
      <c r="AI151" s="8"/>
      <c r="AJ151" s="10"/>
    </row>
    <row r="152" spans="1:36" ht="150" hidden="1" x14ac:dyDescent="0.25">
      <c r="A152" s="103">
        <f t="shared" si="23"/>
        <v>146</v>
      </c>
      <c r="B152" s="10" t="s">
        <v>299</v>
      </c>
      <c r="C152" s="10" t="s">
        <v>450</v>
      </c>
      <c r="D152" s="10" t="s">
        <v>451</v>
      </c>
      <c r="E152" s="10" t="s">
        <v>764</v>
      </c>
      <c r="F152" s="10" t="s">
        <v>29</v>
      </c>
      <c r="G152" s="10">
        <f t="shared" si="21"/>
        <v>0</v>
      </c>
      <c r="H152" s="49"/>
      <c r="I152" s="49"/>
      <c r="J152" s="49">
        <f>Master2017[[#This Row],[Initial Budget]]-Master2017[[#This Row],[Previously Committed Funds]]</f>
        <v>0</v>
      </c>
      <c r="K152" s="49"/>
      <c r="L152" s="49"/>
      <c r="M152" s="97">
        <f>Master2017[[#This Row],[Design $ (Add/Deduct)]]+Master2017[[#This Row],[Construction $ (Add/Ded)]]</f>
        <v>0</v>
      </c>
      <c r="N152" s="49">
        <v>50000</v>
      </c>
      <c r="O152" s="8">
        <v>2018</v>
      </c>
      <c r="P152" s="10" t="s">
        <v>686</v>
      </c>
      <c r="Q152" s="8">
        <f t="shared" si="24"/>
        <v>60</v>
      </c>
      <c r="R152" s="17">
        <v>3</v>
      </c>
      <c r="S152" s="8">
        <f t="shared" si="25"/>
        <v>9</v>
      </c>
      <c r="T152" s="17" t="s">
        <v>45</v>
      </c>
      <c r="U152" s="8">
        <f t="shared" si="26"/>
        <v>32</v>
      </c>
      <c r="V152" s="8" t="s">
        <v>34</v>
      </c>
      <c r="W152" s="114">
        <v>0</v>
      </c>
      <c r="X152" s="8">
        <v>0</v>
      </c>
      <c r="Y152" s="8">
        <v>0</v>
      </c>
      <c r="Z152" s="8">
        <v>0</v>
      </c>
      <c r="AA152" s="8">
        <v>-2</v>
      </c>
      <c r="AB152" s="8">
        <v>0</v>
      </c>
      <c r="AC152" s="8">
        <v>0</v>
      </c>
      <c r="AD152" s="17" t="s">
        <v>29</v>
      </c>
      <c r="AE152" s="8">
        <f>VLOOKUP(Master2017[[#This Row],[Elevated Priority]],Epriority,2,)</f>
        <v>0</v>
      </c>
      <c r="AF152" s="8">
        <f>IF(Master2017[[#This Row],[Status]]="Active",Master2017[[#This Row],[Status_Score]],IF(C152="","",Q152+G152+S152+U152+AE152-5))</f>
        <v>96</v>
      </c>
      <c r="AG152" s="8"/>
      <c r="AH152" s="8"/>
      <c r="AI152" s="8"/>
      <c r="AJ152" s="10"/>
    </row>
    <row r="153" spans="1:36" ht="30" x14ac:dyDescent="0.25">
      <c r="A153" s="103">
        <f t="shared" si="23"/>
        <v>147</v>
      </c>
      <c r="B153" s="111" t="s">
        <v>79</v>
      </c>
      <c r="C153" s="111" t="s">
        <v>779</v>
      </c>
      <c r="D153" s="111" t="s">
        <v>802</v>
      </c>
      <c r="E153" s="111" t="s">
        <v>803</v>
      </c>
      <c r="F153" s="111" t="s">
        <v>816</v>
      </c>
      <c r="G153" s="111">
        <f t="shared" si="21"/>
        <v>1000</v>
      </c>
      <c r="H153" s="112"/>
      <c r="I153" s="112"/>
      <c r="J153" s="112">
        <f>Master2017[[#This Row],[Initial Budget]]-Master2017[[#This Row],[Previously Committed Funds]]</f>
        <v>0</v>
      </c>
      <c r="K153" s="112"/>
      <c r="L153" s="112"/>
      <c r="M153" s="116">
        <f>Master2017[[#This Row],[Design $ (Add/Deduct)]]+Master2017[[#This Row],[Construction $ (Add/Ded)]]</f>
        <v>0</v>
      </c>
      <c r="N153" s="115">
        <v>150000</v>
      </c>
      <c r="O153" s="114">
        <v>2020</v>
      </c>
      <c r="P153" s="111" t="s">
        <v>688</v>
      </c>
      <c r="Q153" s="114">
        <f t="shared" si="24"/>
        <v>20</v>
      </c>
      <c r="R153" s="114">
        <v>3</v>
      </c>
      <c r="S153" s="114">
        <f t="shared" si="25"/>
        <v>9</v>
      </c>
      <c r="T153" s="114" t="s">
        <v>33</v>
      </c>
      <c r="U153" s="114">
        <f t="shared" si="26"/>
        <v>1</v>
      </c>
      <c r="V153" s="114" t="s">
        <v>30</v>
      </c>
      <c r="W153" s="114">
        <v>0</v>
      </c>
      <c r="X153" s="114">
        <v>0</v>
      </c>
      <c r="Y153" s="114">
        <v>0</v>
      </c>
      <c r="Z153" s="114">
        <v>0</v>
      </c>
      <c r="AA153" s="114">
        <v>0</v>
      </c>
      <c r="AB153" s="114">
        <v>0</v>
      </c>
      <c r="AC153" s="114">
        <v>0</v>
      </c>
      <c r="AD153" s="113" t="s">
        <v>29</v>
      </c>
      <c r="AE153" s="114">
        <f>VLOOKUP(Master2017[[#This Row],[Elevated Priority]],Epriority,2,)</f>
        <v>0</v>
      </c>
      <c r="AF153" s="114">
        <f>IF(Master2017[[#This Row],[Status]]="Active",Master2017[[#This Row],[Status_Score]],IF(C153="","",Q153+G153+S153+U153+AE153-5))</f>
        <v>1025</v>
      </c>
      <c r="AG153" s="114" t="s">
        <v>758</v>
      </c>
      <c r="AH153" s="114">
        <v>2020</v>
      </c>
      <c r="AI153" s="114">
        <v>2020</v>
      </c>
      <c r="AJ153" s="10"/>
    </row>
    <row r="154" spans="1:36" ht="60" hidden="1" x14ac:dyDescent="0.25">
      <c r="A154" s="103">
        <f t="shared" si="23"/>
        <v>148</v>
      </c>
      <c r="B154" s="111" t="s">
        <v>61</v>
      </c>
      <c r="C154" s="111" t="s">
        <v>498</v>
      </c>
      <c r="D154" s="111" t="s">
        <v>499</v>
      </c>
      <c r="E154" s="111" t="s">
        <v>458</v>
      </c>
      <c r="F154" s="111" t="s">
        <v>29</v>
      </c>
      <c r="G154" s="111">
        <f t="shared" si="21"/>
        <v>0</v>
      </c>
      <c r="H154" s="112"/>
      <c r="I154" s="112"/>
      <c r="J154" s="112">
        <f>Master2017[[#This Row],[Initial Budget]]-Master2017[[#This Row],[Previously Committed Funds]]</f>
        <v>0</v>
      </c>
      <c r="K154" s="112"/>
      <c r="L154" s="112"/>
      <c r="M154" s="116">
        <f>Master2017[[#This Row],[Design $ (Add/Deduct)]]+Master2017[[#This Row],[Construction $ (Add/Ded)]]</f>
        <v>0</v>
      </c>
      <c r="N154" s="115">
        <v>6000000</v>
      </c>
      <c r="O154" s="114">
        <v>2018</v>
      </c>
      <c r="P154" s="111" t="s">
        <v>46</v>
      </c>
      <c r="Q154" s="114">
        <f t="shared" si="24"/>
        <v>50</v>
      </c>
      <c r="R154" s="114">
        <v>2</v>
      </c>
      <c r="S154" s="114">
        <f t="shared" si="25"/>
        <v>6</v>
      </c>
      <c r="T154" s="114" t="s">
        <v>45</v>
      </c>
      <c r="U154" s="114">
        <f t="shared" si="26"/>
        <v>32</v>
      </c>
      <c r="V154" s="114" t="s">
        <v>34</v>
      </c>
      <c r="W154" s="114">
        <v>0</v>
      </c>
      <c r="X154" s="8">
        <v>0</v>
      </c>
      <c r="Y154" s="8">
        <v>-3</v>
      </c>
      <c r="Z154" s="8">
        <v>0</v>
      </c>
      <c r="AA154" s="8">
        <v>-2</v>
      </c>
      <c r="AB154" s="8">
        <v>-3</v>
      </c>
      <c r="AC154" s="8">
        <v>0</v>
      </c>
      <c r="AD154" s="113" t="s">
        <v>29</v>
      </c>
      <c r="AE154" s="114">
        <f>VLOOKUP(Master2017[[#This Row],[Elevated Priority]],Epriority,2,)</f>
        <v>0</v>
      </c>
      <c r="AF154" s="8">
        <f>IF(Master2017[[#This Row],[Status]]="Active",Master2017[[#This Row],[Status_Score]],IF(C154="","",Q154+G154+S154+U154+AE154-5))</f>
        <v>83</v>
      </c>
      <c r="AG154" s="114" t="s">
        <v>717</v>
      </c>
      <c r="AH154" s="114"/>
      <c r="AI154" s="114"/>
      <c r="AJ154" s="111" t="s">
        <v>722</v>
      </c>
    </row>
    <row r="155" spans="1:36" ht="45" hidden="1" x14ac:dyDescent="0.25">
      <c r="A155" s="103">
        <f t="shared" si="23"/>
        <v>149</v>
      </c>
      <c r="B155" s="10" t="s">
        <v>94</v>
      </c>
      <c r="C155" s="10" t="s">
        <v>590</v>
      </c>
      <c r="D155" s="10" t="s">
        <v>591</v>
      </c>
      <c r="E155" s="10"/>
      <c r="F155" s="10" t="s">
        <v>29</v>
      </c>
      <c r="G155" s="10">
        <f t="shared" si="21"/>
        <v>0</v>
      </c>
      <c r="H155" s="49"/>
      <c r="I155" s="49"/>
      <c r="J155" s="49">
        <f>Master2017[[#This Row],[Initial Budget]]-Master2017[[#This Row],[Previously Committed Funds]]</f>
        <v>0</v>
      </c>
      <c r="K155" s="49"/>
      <c r="L155" s="49"/>
      <c r="M155" s="97">
        <f>Master2017[[#This Row],[Design $ (Add/Deduct)]]+Master2017[[#This Row],[Construction $ (Add/Ded)]]</f>
        <v>0</v>
      </c>
      <c r="N155" s="32">
        <v>120000</v>
      </c>
      <c r="O155" s="17">
        <v>2019</v>
      </c>
      <c r="P155" s="10" t="s">
        <v>686</v>
      </c>
      <c r="Q155" s="8">
        <f t="shared" si="24"/>
        <v>60</v>
      </c>
      <c r="R155" s="8">
        <v>17</v>
      </c>
      <c r="S155" s="8">
        <f t="shared" si="25"/>
        <v>25</v>
      </c>
      <c r="T155" s="8" t="s">
        <v>43</v>
      </c>
      <c r="U155" s="8">
        <f t="shared" si="26"/>
        <v>16</v>
      </c>
      <c r="V155" s="8" t="s">
        <v>34</v>
      </c>
      <c r="W155" s="114">
        <v>0</v>
      </c>
      <c r="X155" s="8">
        <v>0</v>
      </c>
      <c r="Y155" s="8">
        <v>0</v>
      </c>
      <c r="Z155" s="8">
        <v>0</v>
      </c>
      <c r="AA155" s="8">
        <v>0</v>
      </c>
      <c r="AB155" s="8">
        <v>0</v>
      </c>
      <c r="AC155" s="8">
        <v>0</v>
      </c>
      <c r="AD155" s="17" t="s">
        <v>29</v>
      </c>
      <c r="AE155" s="8">
        <f>VLOOKUP(Master2017[[#This Row],[Elevated Priority]],Epriority,2,)</f>
        <v>0</v>
      </c>
      <c r="AF155" s="8">
        <f>IF(Master2017[[#This Row],[Status]]="Active",Master2017[[#This Row],[Status_Score]],IF(C155="","",Q155+G155+S155+U155+AE155-5))</f>
        <v>96</v>
      </c>
      <c r="AG155" s="8"/>
      <c r="AH155" s="8"/>
      <c r="AI155" s="8"/>
      <c r="AJ155" s="10"/>
    </row>
    <row r="156" spans="1:36" ht="30" hidden="1" x14ac:dyDescent="0.25">
      <c r="A156" s="103">
        <f t="shared" si="23"/>
        <v>150</v>
      </c>
      <c r="B156" s="10" t="s">
        <v>67</v>
      </c>
      <c r="C156" s="10" t="s">
        <v>618</v>
      </c>
      <c r="D156" s="10" t="s">
        <v>619</v>
      </c>
      <c r="E156" s="10" t="s">
        <v>620</v>
      </c>
      <c r="F156" s="10" t="s">
        <v>29</v>
      </c>
      <c r="G156" s="10">
        <f t="shared" si="21"/>
        <v>0</v>
      </c>
      <c r="H156" s="49"/>
      <c r="I156" s="49"/>
      <c r="J156" s="49">
        <f>Master2017[[#This Row],[Initial Budget]]-Master2017[[#This Row],[Previously Committed Funds]]</f>
        <v>0</v>
      </c>
      <c r="K156" s="49"/>
      <c r="L156" s="49"/>
      <c r="M156" s="97">
        <f>Master2017[[#This Row],[Design $ (Add/Deduct)]]+Master2017[[#This Row],[Construction $ (Add/Ded)]]</f>
        <v>0</v>
      </c>
      <c r="N156" s="32">
        <v>500000</v>
      </c>
      <c r="O156" s="8">
        <v>2019</v>
      </c>
      <c r="P156" s="10" t="s">
        <v>46</v>
      </c>
      <c r="Q156" s="8">
        <f t="shared" si="24"/>
        <v>50</v>
      </c>
      <c r="R156" s="8">
        <v>5</v>
      </c>
      <c r="S156" s="8">
        <f t="shared" si="25"/>
        <v>15</v>
      </c>
      <c r="T156" s="8" t="s">
        <v>43</v>
      </c>
      <c r="U156" s="8">
        <f t="shared" si="26"/>
        <v>16</v>
      </c>
      <c r="V156" s="8" t="s">
        <v>34</v>
      </c>
      <c r="W156" s="114">
        <v>0</v>
      </c>
      <c r="X156" s="8">
        <v>0</v>
      </c>
      <c r="Y156" s="8">
        <v>0</v>
      </c>
      <c r="Z156" s="8">
        <v>0</v>
      </c>
      <c r="AA156" s="8">
        <v>0</v>
      </c>
      <c r="AB156" s="8">
        <v>0</v>
      </c>
      <c r="AC156" s="8">
        <v>0</v>
      </c>
      <c r="AD156" s="8" t="s">
        <v>29</v>
      </c>
      <c r="AE156" s="8">
        <f>VLOOKUP(Master2017[[#This Row],[Elevated Priority]],Epriority,2,)</f>
        <v>0</v>
      </c>
      <c r="AF156" s="8">
        <f>IF(Master2017[[#This Row],[Status]]="Active",Master2017[[#This Row],[Status_Score]],IF(C156="","",Q156+G156+S156+U156+AE156-5))</f>
        <v>76</v>
      </c>
      <c r="AG156" s="8"/>
      <c r="AH156" s="8"/>
      <c r="AI156" s="8"/>
      <c r="AJ156" s="10"/>
    </row>
    <row r="157" spans="1:36" ht="45" x14ac:dyDescent="0.25">
      <c r="A157" s="103">
        <f t="shared" si="23"/>
        <v>151</v>
      </c>
      <c r="B157" s="111" t="s">
        <v>299</v>
      </c>
      <c r="C157" s="111" t="s">
        <v>414</v>
      </c>
      <c r="D157" s="111" t="s">
        <v>414</v>
      </c>
      <c r="E157" s="111" t="s">
        <v>415</v>
      </c>
      <c r="F157" s="111" t="s">
        <v>816</v>
      </c>
      <c r="G157" s="111">
        <f t="shared" si="21"/>
        <v>1000</v>
      </c>
      <c r="H157" s="112"/>
      <c r="I157" s="112"/>
      <c r="J157" s="112">
        <f>Master2017[[#This Row],[Initial Budget]]-Master2017[[#This Row],[Previously Committed Funds]]</f>
        <v>0</v>
      </c>
      <c r="K157" s="112"/>
      <c r="L157" s="112"/>
      <c r="M157" s="116">
        <f>Master2017[[#This Row],[Design $ (Add/Deduct)]]+Master2017[[#This Row],[Construction $ (Add/Ded)]]</f>
        <v>0</v>
      </c>
      <c r="N157" s="112">
        <v>100000</v>
      </c>
      <c r="O157" s="114">
        <v>2018</v>
      </c>
      <c r="P157" s="111" t="s">
        <v>688</v>
      </c>
      <c r="Q157" s="114">
        <f t="shared" si="24"/>
        <v>20</v>
      </c>
      <c r="R157" s="113">
        <v>2</v>
      </c>
      <c r="S157" s="114">
        <f t="shared" si="25"/>
        <v>6</v>
      </c>
      <c r="T157" s="113" t="s">
        <v>41</v>
      </c>
      <c r="U157" s="114">
        <f t="shared" si="26"/>
        <v>4</v>
      </c>
      <c r="V157" s="114" t="s">
        <v>30</v>
      </c>
      <c r="W157" s="114">
        <v>0</v>
      </c>
      <c r="X157" s="114">
        <v>0</v>
      </c>
      <c r="Y157" s="114">
        <v>0</v>
      </c>
      <c r="Z157" s="114">
        <v>0</v>
      </c>
      <c r="AA157" s="114">
        <v>0</v>
      </c>
      <c r="AB157" s="114">
        <v>0</v>
      </c>
      <c r="AC157" s="114">
        <v>0</v>
      </c>
      <c r="AD157" s="113" t="s">
        <v>29</v>
      </c>
      <c r="AE157" s="114">
        <f>VLOOKUP(Master2017[[#This Row],[Elevated Priority]],Epriority,2,)</f>
        <v>0</v>
      </c>
      <c r="AF157" s="114">
        <f>IF(Master2017[[#This Row],[Status]]="Active",Master2017[[#This Row],[Status_Score]],IF(C157="","",Q157+G157+S157+U157+AE157-5))</f>
        <v>1025</v>
      </c>
      <c r="AG157" s="114" t="s">
        <v>718</v>
      </c>
      <c r="AH157" s="114">
        <v>2020</v>
      </c>
      <c r="AI157" s="114">
        <v>2021</v>
      </c>
      <c r="AJ157" s="10"/>
    </row>
    <row r="158" spans="1:36" hidden="1" x14ac:dyDescent="0.25">
      <c r="A158" s="103">
        <f t="shared" si="23"/>
        <v>152</v>
      </c>
      <c r="B158" s="10" t="s">
        <v>94</v>
      </c>
      <c r="C158" s="10" t="s">
        <v>465</v>
      </c>
      <c r="D158" s="10" t="s">
        <v>466</v>
      </c>
      <c r="E158" s="10" t="s">
        <v>467</v>
      </c>
      <c r="F158" s="10" t="s">
        <v>29</v>
      </c>
      <c r="G158" s="10">
        <f t="shared" si="21"/>
        <v>0</v>
      </c>
      <c r="H158" s="49"/>
      <c r="I158" s="49"/>
      <c r="J158" s="49">
        <f>Master2017[[#This Row],[Initial Budget]]-Master2017[[#This Row],[Previously Committed Funds]]</f>
        <v>0</v>
      </c>
      <c r="K158" s="49"/>
      <c r="L158" s="49"/>
      <c r="M158" s="97">
        <f>Master2017[[#This Row],[Design $ (Add/Deduct)]]+Master2017[[#This Row],[Construction $ (Add/Ded)]]</f>
        <v>0</v>
      </c>
      <c r="N158" s="32">
        <v>200000</v>
      </c>
      <c r="O158" s="8">
        <v>2018</v>
      </c>
      <c r="P158" s="10" t="s">
        <v>46</v>
      </c>
      <c r="Q158" s="8">
        <f t="shared" si="24"/>
        <v>50</v>
      </c>
      <c r="R158" s="8">
        <v>30</v>
      </c>
      <c r="S158" s="8">
        <f t="shared" si="25"/>
        <v>31</v>
      </c>
      <c r="T158" s="8" t="s">
        <v>37</v>
      </c>
      <c r="U158" s="8">
        <f t="shared" si="26"/>
        <v>3</v>
      </c>
      <c r="V158" s="8" t="s">
        <v>34</v>
      </c>
      <c r="W158" s="114">
        <v>0</v>
      </c>
      <c r="X158" s="8">
        <v>0</v>
      </c>
      <c r="Y158" s="8">
        <v>0</v>
      </c>
      <c r="Z158" s="8">
        <v>0</v>
      </c>
      <c r="AA158" s="8">
        <v>-2</v>
      </c>
      <c r="AB158" s="8">
        <v>0</v>
      </c>
      <c r="AC158" s="8">
        <v>0</v>
      </c>
      <c r="AD158" s="17" t="s">
        <v>29</v>
      </c>
      <c r="AE158" s="8">
        <f>VLOOKUP(Master2017[[#This Row],[Elevated Priority]],Epriority,2,)</f>
        <v>0</v>
      </c>
      <c r="AF158" s="8">
        <f>IF(Master2017[[#This Row],[Status]]="Active",Master2017[[#This Row],[Status_Score]],IF(C158="","",Q158+G158+S158+U158+AE158-5))</f>
        <v>79</v>
      </c>
      <c r="AG158" s="8"/>
      <c r="AH158" s="8"/>
      <c r="AI158" s="8"/>
      <c r="AJ158" s="10"/>
    </row>
    <row r="159" spans="1:36" ht="30" x14ac:dyDescent="0.25">
      <c r="A159" s="103">
        <f t="shared" si="23"/>
        <v>153</v>
      </c>
      <c r="B159" s="111" t="s">
        <v>94</v>
      </c>
      <c r="C159" s="111" t="s">
        <v>134</v>
      </c>
      <c r="D159" s="111" t="s">
        <v>135</v>
      </c>
      <c r="E159" s="111" t="s">
        <v>878</v>
      </c>
      <c r="F159" s="111" t="s">
        <v>816</v>
      </c>
      <c r="G159" s="111">
        <f t="shared" si="21"/>
        <v>1000</v>
      </c>
      <c r="H159" s="112">
        <v>125000</v>
      </c>
      <c r="I159" s="112"/>
      <c r="J159" s="112">
        <f>Master2017[[#This Row],[Initial Budget]]-Master2017[[#This Row],[Previously Committed Funds]]</f>
        <v>125000</v>
      </c>
      <c r="K159" s="112"/>
      <c r="L159" s="112"/>
      <c r="M159" s="116">
        <f>Master2017[[#This Row],[Design $ (Add/Deduct)]]+Master2017[[#This Row],[Construction $ (Add/Ded)]]</f>
        <v>0</v>
      </c>
      <c r="N159" s="115">
        <v>1500000</v>
      </c>
      <c r="O159" s="114">
        <v>2018</v>
      </c>
      <c r="P159" s="111" t="s">
        <v>36</v>
      </c>
      <c r="Q159" s="114">
        <f t="shared" si="24"/>
        <v>10</v>
      </c>
      <c r="R159" s="114">
        <v>1</v>
      </c>
      <c r="S159" s="114">
        <f t="shared" si="25"/>
        <v>3</v>
      </c>
      <c r="T159" s="114" t="s">
        <v>33</v>
      </c>
      <c r="U159" s="114">
        <f t="shared" si="26"/>
        <v>1</v>
      </c>
      <c r="V159" s="114" t="s">
        <v>30</v>
      </c>
      <c r="W159" s="114">
        <v>0</v>
      </c>
      <c r="X159" s="114">
        <v>0</v>
      </c>
      <c r="Y159" s="114">
        <v>0</v>
      </c>
      <c r="Z159" s="114">
        <v>0</v>
      </c>
      <c r="AA159" s="114">
        <v>0</v>
      </c>
      <c r="AB159" s="114">
        <v>0</v>
      </c>
      <c r="AC159" s="114">
        <v>0</v>
      </c>
      <c r="AD159" s="113" t="s">
        <v>29</v>
      </c>
      <c r="AE159" s="114">
        <f>VLOOKUP(Master2017[[#This Row],[Elevated Priority]],Epriority,2,)</f>
        <v>0</v>
      </c>
      <c r="AF159" s="114">
        <f>IF(Master2017[[#This Row],[Status]]="Active",Master2017[[#This Row],[Status_Score]],IF(C159="","",Q159+G159+S159+U159+AE159-5))</f>
        <v>1009</v>
      </c>
      <c r="AG159" s="114" t="s">
        <v>716</v>
      </c>
      <c r="AH159" s="114">
        <v>2019</v>
      </c>
      <c r="AI159" s="114">
        <v>2021</v>
      </c>
      <c r="AJ159" s="111"/>
    </row>
    <row r="160" spans="1:36" ht="30" hidden="1" x14ac:dyDescent="0.25">
      <c r="A160" s="103">
        <f t="shared" si="23"/>
        <v>154</v>
      </c>
      <c r="B160" s="10" t="s">
        <v>94</v>
      </c>
      <c r="C160" s="10" t="s">
        <v>462</v>
      </c>
      <c r="D160" s="10" t="s">
        <v>463</v>
      </c>
      <c r="E160" s="10" t="s">
        <v>464</v>
      </c>
      <c r="F160" s="10" t="s">
        <v>29</v>
      </c>
      <c r="G160" s="10">
        <f t="shared" si="21"/>
        <v>0</v>
      </c>
      <c r="H160" s="49"/>
      <c r="I160" s="49"/>
      <c r="J160" s="49">
        <f>Master2017[[#This Row],[Initial Budget]]-Master2017[[#This Row],[Previously Committed Funds]]</f>
        <v>0</v>
      </c>
      <c r="K160" s="49"/>
      <c r="L160" s="49"/>
      <c r="M160" s="97">
        <f>Master2017[[#This Row],[Design $ (Add/Deduct)]]+Master2017[[#This Row],[Construction $ (Add/Ded)]]</f>
        <v>0</v>
      </c>
      <c r="N160" s="32">
        <v>400000</v>
      </c>
      <c r="O160" s="8">
        <v>2018</v>
      </c>
      <c r="P160" s="10" t="s">
        <v>46</v>
      </c>
      <c r="Q160" s="8">
        <f t="shared" si="24"/>
        <v>50</v>
      </c>
      <c r="R160" s="8">
        <v>33</v>
      </c>
      <c r="S160" s="8">
        <f t="shared" si="25"/>
        <v>33</v>
      </c>
      <c r="T160" s="8" t="s">
        <v>37</v>
      </c>
      <c r="U160" s="8">
        <f t="shared" si="26"/>
        <v>3</v>
      </c>
      <c r="V160" s="8" t="s">
        <v>34</v>
      </c>
      <c r="W160" s="114">
        <v>0</v>
      </c>
      <c r="X160" s="8">
        <v>0</v>
      </c>
      <c r="Y160" s="8">
        <v>0</v>
      </c>
      <c r="Z160" s="8">
        <v>0</v>
      </c>
      <c r="AA160" s="8">
        <v>0</v>
      </c>
      <c r="AB160" s="8">
        <v>0</v>
      </c>
      <c r="AC160" s="8">
        <v>0</v>
      </c>
      <c r="AD160" s="17" t="s">
        <v>29</v>
      </c>
      <c r="AE160" s="8">
        <f>VLOOKUP(Master2017[[#This Row],[Elevated Priority]],Epriority,2,)</f>
        <v>0</v>
      </c>
      <c r="AF160" s="8">
        <f>IF(Master2017[[#This Row],[Status]]="Active",Master2017[[#This Row],[Status_Score]],IF(C160="","",Q160+G160+S160+U160+AE160-5))</f>
        <v>81</v>
      </c>
      <c r="AG160" s="8"/>
      <c r="AH160" s="8"/>
      <c r="AI160" s="8"/>
      <c r="AJ160" s="10" t="s">
        <v>672</v>
      </c>
    </row>
    <row r="161" spans="1:36" ht="30" x14ac:dyDescent="0.25">
      <c r="A161" s="103">
        <f t="shared" si="23"/>
        <v>155</v>
      </c>
      <c r="B161" s="111" t="s">
        <v>94</v>
      </c>
      <c r="C161" s="111" t="s">
        <v>136</v>
      </c>
      <c r="D161" s="111" t="s">
        <v>137</v>
      </c>
      <c r="E161" s="111" t="s">
        <v>879</v>
      </c>
      <c r="F161" s="111" t="s">
        <v>816</v>
      </c>
      <c r="G161" s="111">
        <f t="shared" si="21"/>
        <v>1000</v>
      </c>
      <c r="H161" s="112">
        <v>125000</v>
      </c>
      <c r="I161" s="112"/>
      <c r="J161" s="112">
        <f>Master2017[[#This Row],[Initial Budget]]-Master2017[[#This Row],[Previously Committed Funds]]</f>
        <v>125000</v>
      </c>
      <c r="K161" s="112"/>
      <c r="L161" s="112"/>
      <c r="M161" s="116">
        <f>Master2017[[#This Row],[Design $ (Add/Deduct)]]+Master2017[[#This Row],[Construction $ (Add/Ded)]]</f>
        <v>0</v>
      </c>
      <c r="N161" s="115">
        <v>1500000</v>
      </c>
      <c r="O161" s="114">
        <v>2018</v>
      </c>
      <c r="P161" s="111" t="s">
        <v>36</v>
      </c>
      <c r="Q161" s="114">
        <f t="shared" si="24"/>
        <v>10</v>
      </c>
      <c r="R161" s="114">
        <v>1</v>
      </c>
      <c r="S161" s="114">
        <f t="shared" si="25"/>
        <v>3</v>
      </c>
      <c r="T161" s="114" t="s">
        <v>33</v>
      </c>
      <c r="U161" s="114">
        <f t="shared" si="26"/>
        <v>1</v>
      </c>
      <c r="V161" s="114" t="s">
        <v>30</v>
      </c>
      <c r="W161" s="114">
        <v>0</v>
      </c>
      <c r="X161" s="114">
        <v>0</v>
      </c>
      <c r="Y161" s="114">
        <v>0</v>
      </c>
      <c r="Z161" s="114">
        <v>0</v>
      </c>
      <c r="AA161" s="114">
        <v>0</v>
      </c>
      <c r="AB161" s="114">
        <v>0</v>
      </c>
      <c r="AC161" s="114">
        <v>0</v>
      </c>
      <c r="AD161" s="113" t="s">
        <v>29</v>
      </c>
      <c r="AE161" s="114">
        <f>VLOOKUP(Master2017[[#This Row],[Elevated Priority]],Epriority,2,)</f>
        <v>0</v>
      </c>
      <c r="AF161" s="114">
        <f>IF(Master2017[[#This Row],[Status]]="Active",Master2017[[#This Row],[Status_Score]],IF(C161="","",Q161+G161+S161+U161+AE161-5))</f>
        <v>1009</v>
      </c>
      <c r="AG161" s="114" t="s">
        <v>716</v>
      </c>
      <c r="AH161" s="114">
        <v>2019</v>
      </c>
      <c r="AI161" s="114">
        <v>2021</v>
      </c>
      <c r="AJ161" s="111"/>
    </row>
    <row r="162" spans="1:36" ht="30" hidden="1" x14ac:dyDescent="0.25">
      <c r="A162" s="103">
        <f t="shared" si="23"/>
        <v>156</v>
      </c>
      <c r="B162" s="27" t="s">
        <v>94</v>
      </c>
      <c r="C162" s="27" t="s">
        <v>503</v>
      </c>
      <c r="D162" s="27" t="s">
        <v>504</v>
      </c>
      <c r="E162" s="27" t="s">
        <v>505</v>
      </c>
      <c r="F162" s="27" t="s">
        <v>29</v>
      </c>
      <c r="G162" s="27">
        <f t="shared" si="21"/>
        <v>0</v>
      </c>
      <c r="H162" s="98"/>
      <c r="I162" s="98"/>
      <c r="J162" s="98">
        <f>Master2017[[#This Row],[Initial Budget]]-Master2017[[#This Row],[Previously Committed Funds]]</f>
        <v>0</v>
      </c>
      <c r="K162" s="98"/>
      <c r="L162" s="98"/>
      <c r="M162" s="100">
        <f>Master2017[[#This Row],[Design $ (Add/Deduct)]]+Master2017[[#This Row],[Construction $ (Add/Ded)]]</f>
        <v>0</v>
      </c>
      <c r="N162" s="84">
        <v>75000</v>
      </c>
      <c r="O162" s="30">
        <v>2018</v>
      </c>
      <c r="P162" s="27" t="s">
        <v>46</v>
      </c>
      <c r="Q162" s="8">
        <f t="shared" si="24"/>
        <v>50</v>
      </c>
      <c r="R162" s="30">
        <v>31</v>
      </c>
      <c r="S162" s="8">
        <f t="shared" si="25"/>
        <v>32</v>
      </c>
      <c r="T162" s="30" t="s">
        <v>41</v>
      </c>
      <c r="U162" s="8">
        <f t="shared" si="26"/>
        <v>4</v>
      </c>
      <c r="V162" s="30" t="s">
        <v>34</v>
      </c>
      <c r="W162" s="114">
        <v>0</v>
      </c>
      <c r="X162" s="8">
        <v>0</v>
      </c>
      <c r="Y162" s="8">
        <v>0</v>
      </c>
      <c r="Z162" s="8">
        <v>0</v>
      </c>
      <c r="AA162" s="8">
        <v>0</v>
      </c>
      <c r="AB162" s="8">
        <v>0</v>
      </c>
      <c r="AC162" s="8">
        <v>0</v>
      </c>
      <c r="AD162" s="28" t="s">
        <v>29</v>
      </c>
      <c r="AE162" s="8">
        <f>VLOOKUP(Master2017[[#This Row],[Elevated Priority]],Epriority,2,)</f>
        <v>0</v>
      </c>
      <c r="AF162" s="8">
        <f>IF(Master2017[[#This Row],[Status]]="Active",Master2017[[#This Row],[Status_Score]],IF(C162="","",Q162+G162+S162+U162+AE162-5))</f>
        <v>81</v>
      </c>
      <c r="AG162" s="8"/>
      <c r="AH162" s="8"/>
      <c r="AI162" s="8"/>
      <c r="AJ162" s="10" t="s">
        <v>672</v>
      </c>
    </row>
    <row r="163" spans="1:36" ht="45" hidden="1" x14ac:dyDescent="0.25">
      <c r="A163" s="103">
        <f t="shared" si="23"/>
        <v>157</v>
      </c>
      <c r="B163" s="10" t="s">
        <v>65</v>
      </c>
      <c r="C163" s="10" t="s">
        <v>509</v>
      </c>
      <c r="D163" s="10" t="s">
        <v>922</v>
      </c>
      <c r="E163" s="10" t="s">
        <v>921</v>
      </c>
      <c r="F163" s="10" t="s">
        <v>29</v>
      </c>
      <c r="G163" s="10">
        <f t="shared" si="21"/>
        <v>0</v>
      </c>
      <c r="H163" s="49"/>
      <c r="I163" s="49"/>
      <c r="J163" s="49">
        <f>Master2017[[#This Row],[Initial Budget]]-Master2017[[#This Row],[Previously Committed Funds]]</f>
        <v>0</v>
      </c>
      <c r="K163" s="49"/>
      <c r="L163" s="49"/>
      <c r="M163" s="97">
        <f>Master2017[[#This Row],[Design $ (Add/Deduct)]]+Master2017[[#This Row],[Construction $ (Add/Ded)]]</f>
        <v>0</v>
      </c>
      <c r="N163" s="32">
        <v>3500000</v>
      </c>
      <c r="O163" s="8">
        <v>2018</v>
      </c>
      <c r="P163" s="10" t="s">
        <v>46</v>
      </c>
      <c r="Q163" s="8">
        <f t="shared" si="24"/>
        <v>50</v>
      </c>
      <c r="R163" s="8">
        <v>7</v>
      </c>
      <c r="S163" s="8">
        <f t="shared" si="25"/>
        <v>20</v>
      </c>
      <c r="T163" s="8" t="s">
        <v>43</v>
      </c>
      <c r="U163" s="8">
        <f t="shared" si="26"/>
        <v>16</v>
      </c>
      <c r="V163" s="8" t="s">
        <v>34</v>
      </c>
      <c r="W163" s="114">
        <v>0</v>
      </c>
      <c r="X163" s="8">
        <v>0</v>
      </c>
      <c r="Y163" s="8">
        <v>0</v>
      </c>
      <c r="Z163" s="8">
        <v>0</v>
      </c>
      <c r="AA163" s="8">
        <v>0</v>
      </c>
      <c r="AB163" s="8">
        <v>0</v>
      </c>
      <c r="AC163" s="8">
        <v>0</v>
      </c>
      <c r="AD163" s="17" t="s">
        <v>29</v>
      </c>
      <c r="AE163" s="8">
        <f>VLOOKUP(Master2017[[#This Row],[Elevated Priority]],Epriority,2,)</f>
        <v>0</v>
      </c>
      <c r="AF163" s="8">
        <f>IF(Master2017[[#This Row],[Status]]="Active",Master2017[[#This Row],[Status_Score]],IF(C163="","",Q163+G163+S163+U163+AE163-5))</f>
        <v>81</v>
      </c>
      <c r="AG163" s="8"/>
      <c r="AH163" s="8"/>
      <c r="AI163" s="8"/>
      <c r="AJ163" s="10"/>
    </row>
    <row r="164" spans="1:36" ht="30" hidden="1" x14ac:dyDescent="0.25">
      <c r="A164" s="103">
        <f t="shared" si="23"/>
        <v>158</v>
      </c>
      <c r="B164" s="10" t="s">
        <v>159</v>
      </c>
      <c r="C164" s="10" t="s">
        <v>575</v>
      </c>
      <c r="D164" s="10" t="s">
        <v>576</v>
      </c>
      <c r="E164" s="10" t="s">
        <v>577</v>
      </c>
      <c r="F164" s="10" t="s">
        <v>29</v>
      </c>
      <c r="G164" s="10">
        <f t="shared" si="21"/>
        <v>0</v>
      </c>
      <c r="H164" s="49"/>
      <c r="I164" s="49"/>
      <c r="J164" s="49">
        <f>Master2017[[#This Row],[Initial Budget]]-Master2017[[#This Row],[Previously Committed Funds]]</f>
        <v>0</v>
      </c>
      <c r="K164" s="49"/>
      <c r="L164" s="49"/>
      <c r="M164" s="97">
        <f>Master2017[[#This Row],[Design $ (Add/Deduct)]]+Master2017[[#This Row],[Construction $ (Add/Ded)]]</f>
        <v>0</v>
      </c>
      <c r="N164" s="32">
        <v>350000</v>
      </c>
      <c r="O164" s="8">
        <v>2018</v>
      </c>
      <c r="P164" s="10" t="s">
        <v>830</v>
      </c>
      <c r="Q164" s="8">
        <f t="shared" si="24"/>
        <v>10</v>
      </c>
      <c r="R164" s="8">
        <v>8</v>
      </c>
      <c r="S164" s="8">
        <f t="shared" si="25"/>
        <v>20</v>
      </c>
      <c r="T164" s="8" t="s">
        <v>47</v>
      </c>
      <c r="U164" s="8">
        <f t="shared" si="26"/>
        <v>64</v>
      </c>
      <c r="V164" s="8" t="s">
        <v>34</v>
      </c>
      <c r="W164" s="114">
        <v>0</v>
      </c>
      <c r="X164" s="8">
        <v>0</v>
      </c>
      <c r="Y164" s="8">
        <v>0</v>
      </c>
      <c r="Z164" s="8">
        <v>0</v>
      </c>
      <c r="AA164" s="8">
        <v>-2</v>
      </c>
      <c r="AB164" s="8">
        <v>0</v>
      </c>
      <c r="AC164" s="8">
        <v>0</v>
      </c>
      <c r="AD164" s="17" t="s">
        <v>29</v>
      </c>
      <c r="AE164" s="8">
        <f>VLOOKUP(Master2017[[#This Row],[Elevated Priority]],Epriority,2,)</f>
        <v>0</v>
      </c>
      <c r="AF164" s="8">
        <f>IF(Master2017[[#This Row],[Status]]="Active",Master2017[[#This Row],[Status_Score]],IF(C164="","",Q164+G164+S164+U164+AE164-5))</f>
        <v>89</v>
      </c>
      <c r="AG164" s="8"/>
      <c r="AH164" s="8"/>
      <c r="AI164" s="8"/>
      <c r="AJ164" s="10"/>
    </row>
    <row r="165" spans="1:36" ht="60" hidden="1" x14ac:dyDescent="0.25">
      <c r="A165" s="103">
        <f t="shared" si="23"/>
        <v>159</v>
      </c>
      <c r="B165" s="23" t="s">
        <v>70</v>
      </c>
      <c r="C165" s="9" t="s">
        <v>486</v>
      </c>
      <c r="D165" s="10" t="s">
        <v>487</v>
      </c>
      <c r="E165" s="10" t="s">
        <v>488</v>
      </c>
      <c r="F165" s="23" t="s">
        <v>29</v>
      </c>
      <c r="G165" s="23">
        <f t="shared" si="21"/>
        <v>0</v>
      </c>
      <c r="H165" s="51"/>
      <c r="I165" s="51"/>
      <c r="J165" s="51">
        <f>Master2017[[#This Row],[Initial Budget]]-Master2017[[#This Row],[Previously Committed Funds]]</f>
        <v>0</v>
      </c>
      <c r="K165" s="51"/>
      <c r="L165" s="51"/>
      <c r="M165" s="118">
        <f>Master2017[[#This Row],[Design $ (Add/Deduct)]]+Master2017[[#This Row],[Construction $ (Add/Ded)]]</f>
        <v>0</v>
      </c>
      <c r="N165" s="32">
        <v>1000000</v>
      </c>
      <c r="O165" s="8">
        <v>2018</v>
      </c>
      <c r="P165" s="10" t="s">
        <v>686</v>
      </c>
      <c r="Q165" s="8">
        <f t="shared" si="24"/>
        <v>60</v>
      </c>
      <c r="R165" s="8">
        <v>6</v>
      </c>
      <c r="S165" s="8">
        <f t="shared" si="25"/>
        <v>18</v>
      </c>
      <c r="T165" s="8" t="s">
        <v>45</v>
      </c>
      <c r="U165" s="8">
        <f t="shared" si="26"/>
        <v>32</v>
      </c>
      <c r="V165" s="8" t="s">
        <v>34</v>
      </c>
      <c r="W165" s="114">
        <v>0</v>
      </c>
      <c r="X165" s="8">
        <v>0</v>
      </c>
      <c r="Y165" s="8">
        <v>0</v>
      </c>
      <c r="Z165" s="8">
        <v>0</v>
      </c>
      <c r="AA165" s="8">
        <v>0</v>
      </c>
      <c r="AB165" s="8">
        <v>0</v>
      </c>
      <c r="AC165" s="8">
        <v>-2</v>
      </c>
      <c r="AD165" s="17" t="s">
        <v>29</v>
      </c>
      <c r="AE165" s="8">
        <f>VLOOKUP(Master2017[[#This Row],[Elevated Priority]],Epriority,2,)</f>
        <v>0</v>
      </c>
      <c r="AF165" s="8">
        <f>IF(Master2017[[#This Row],[Status]]="Active",Master2017[[#This Row],[Status_Score]],IF(C165="","",Q165+G165+S165+U165+AE165-5))</f>
        <v>105</v>
      </c>
      <c r="AG165" s="8"/>
      <c r="AH165" s="8"/>
      <c r="AI165" s="8"/>
      <c r="AJ165" s="10"/>
    </row>
    <row r="166" spans="1:36" ht="60" hidden="1" x14ac:dyDescent="0.25">
      <c r="A166" s="103">
        <f t="shared" si="23"/>
        <v>160</v>
      </c>
      <c r="B166" s="10" t="s">
        <v>71</v>
      </c>
      <c r="C166" s="10" t="s">
        <v>562</v>
      </c>
      <c r="D166" s="10" t="s">
        <v>563</v>
      </c>
      <c r="E166" s="10" t="s">
        <v>564</v>
      </c>
      <c r="F166" s="10" t="s">
        <v>29</v>
      </c>
      <c r="G166" s="10">
        <f t="shared" si="21"/>
        <v>0</v>
      </c>
      <c r="H166" s="49"/>
      <c r="I166" s="49"/>
      <c r="J166" s="49">
        <f>Master2017[[#This Row],[Initial Budget]]-Master2017[[#This Row],[Previously Committed Funds]]</f>
        <v>0</v>
      </c>
      <c r="K166" s="49"/>
      <c r="L166" s="49"/>
      <c r="M166" s="97">
        <f>Master2017[[#This Row],[Design $ (Add/Deduct)]]+Master2017[[#This Row],[Construction $ (Add/Ded)]]</f>
        <v>0</v>
      </c>
      <c r="N166" s="32">
        <v>850000</v>
      </c>
      <c r="O166" s="8">
        <v>2018</v>
      </c>
      <c r="P166" s="10" t="s">
        <v>46</v>
      </c>
      <c r="Q166" s="8">
        <f t="shared" si="24"/>
        <v>50</v>
      </c>
      <c r="R166" s="8">
        <v>4</v>
      </c>
      <c r="S166" s="8">
        <f t="shared" si="25"/>
        <v>12</v>
      </c>
      <c r="T166" s="8" t="s">
        <v>45</v>
      </c>
      <c r="U166" s="8">
        <f t="shared" si="26"/>
        <v>32</v>
      </c>
      <c r="V166" s="8" t="s">
        <v>34</v>
      </c>
      <c r="W166" s="114">
        <v>0</v>
      </c>
      <c r="X166" s="8">
        <v>0</v>
      </c>
      <c r="Y166" s="8">
        <v>0</v>
      </c>
      <c r="Z166" s="8">
        <v>0</v>
      </c>
      <c r="AA166" s="8">
        <v>-2</v>
      </c>
      <c r="AB166" s="8">
        <v>0</v>
      </c>
      <c r="AC166" s="8">
        <v>-1</v>
      </c>
      <c r="AD166" s="17" t="s">
        <v>29</v>
      </c>
      <c r="AE166" s="8">
        <f>VLOOKUP(Master2017[[#This Row],[Elevated Priority]],Epriority,2,)</f>
        <v>0</v>
      </c>
      <c r="AF166" s="8">
        <f>IF(Master2017[[#This Row],[Status]]="Active",Master2017[[#This Row],[Status_Score]],IF(C166="","",Q166+G166+S166+U166+AE166-5))</f>
        <v>89</v>
      </c>
      <c r="AG166" s="8"/>
      <c r="AH166" s="8"/>
      <c r="AI166" s="8"/>
      <c r="AJ166" s="10"/>
    </row>
    <row r="167" spans="1:36" ht="135" hidden="1" x14ac:dyDescent="0.25">
      <c r="A167" s="103">
        <f t="shared" si="23"/>
        <v>161</v>
      </c>
      <c r="B167" s="10" t="s">
        <v>61</v>
      </c>
      <c r="C167" s="10" t="s">
        <v>912</v>
      </c>
      <c r="D167" s="10" t="s">
        <v>913</v>
      </c>
      <c r="E167" s="10" t="s">
        <v>914</v>
      </c>
      <c r="F167" s="10" t="s">
        <v>29</v>
      </c>
      <c r="G167" s="10">
        <f t="shared" si="21"/>
        <v>0</v>
      </c>
      <c r="H167" s="49"/>
      <c r="I167" s="49"/>
      <c r="J167" s="49">
        <f>Master2017[[#This Row],[Initial Budget]]-Master2017[[#This Row],[Previously Committed Funds]]</f>
        <v>0</v>
      </c>
      <c r="K167" s="49"/>
      <c r="L167" s="49"/>
      <c r="M167" s="97">
        <f>Master2017[[#This Row],[Design $ (Add/Deduct)]]+Master2017[[#This Row],[Construction $ (Add/Ded)]]</f>
        <v>0</v>
      </c>
      <c r="N167" s="32">
        <v>30000000</v>
      </c>
      <c r="O167" s="8">
        <v>2018</v>
      </c>
      <c r="P167" s="10" t="s">
        <v>46</v>
      </c>
      <c r="Q167" s="8">
        <f t="shared" si="24"/>
        <v>50</v>
      </c>
      <c r="R167" s="8">
        <v>6</v>
      </c>
      <c r="S167" s="8">
        <f t="shared" si="25"/>
        <v>18</v>
      </c>
      <c r="T167" s="8" t="s">
        <v>45</v>
      </c>
      <c r="U167" s="8">
        <f t="shared" si="26"/>
        <v>32</v>
      </c>
      <c r="V167" s="8" t="s">
        <v>34</v>
      </c>
      <c r="W167" s="114">
        <v>-3</v>
      </c>
      <c r="X167" s="8">
        <v>0</v>
      </c>
      <c r="Y167" s="8">
        <v>0</v>
      </c>
      <c r="Z167" s="8">
        <v>0</v>
      </c>
      <c r="AA167" s="8">
        <v>-2</v>
      </c>
      <c r="AB167" s="8">
        <v>-3</v>
      </c>
      <c r="AC167" s="8">
        <v>0</v>
      </c>
      <c r="AD167" s="17" t="s">
        <v>29</v>
      </c>
      <c r="AE167" s="8">
        <f>VLOOKUP(Master2017[[#This Row],[Elevated Priority]],Epriority,2,)</f>
        <v>0</v>
      </c>
      <c r="AF167" s="8">
        <f>IF(Master2017[[#This Row],[Status]]="Active",Master2017[[#This Row],[Status_Score]],IF(C167="","",Q167+G167+S167+U167+AE167-5))</f>
        <v>95</v>
      </c>
      <c r="AG167" s="8"/>
      <c r="AH167" s="8"/>
      <c r="AI167" s="8"/>
      <c r="AJ167" s="10"/>
    </row>
    <row r="168" spans="1:36" ht="45" hidden="1" x14ac:dyDescent="0.25">
      <c r="A168" s="103">
        <f t="shared" si="23"/>
        <v>162</v>
      </c>
      <c r="B168" s="10" t="s">
        <v>94</v>
      </c>
      <c r="C168" s="10" t="s">
        <v>535</v>
      </c>
      <c r="D168" s="10" t="s">
        <v>536</v>
      </c>
      <c r="E168" s="10" t="s">
        <v>537</v>
      </c>
      <c r="F168" s="10" t="s">
        <v>29</v>
      </c>
      <c r="G168" s="10">
        <f t="shared" si="21"/>
        <v>0</v>
      </c>
      <c r="H168" s="49"/>
      <c r="I168" s="49"/>
      <c r="J168" s="49">
        <f>Master2017[[#This Row],[Initial Budget]]-Master2017[[#This Row],[Previously Committed Funds]]</f>
        <v>0</v>
      </c>
      <c r="K168" s="49"/>
      <c r="L168" s="49"/>
      <c r="M168" s="97">
        <f>Master2017[[#This Row],[Design $ (Add/Deduct)]]+Master2017[[#This Row],[Construction $ (Add/Ded)]]</f>
        <v>0</v>
      </c>
      <c r="N168" s="32">
        <v>500000</v>
      </c>
      <c r="O168" s="8">
        <v>2018</v>
      </c>
      <c r="P168" s="10" t="s">
        <v>46</v>
      </c>
      <c r="Q168" s="8">
        <f t="shared" si="24"/>
        <v>50</v>
      </c>
      <c r="R168" s="8">
        <v>24</v>
      </c>
      <c r="S168" s="8">
        <f t="shared" si="25"/>
        <v>28</v>
      </c>
      <c r="T168" s="8" t="s">
        <v>43</v>
      </c>
      <c r="U168" s="8">
        <f t="shared" si="26"/>
        <v>16</v>
      </c>
      <c r="V168" s="8" t="s">
        <v>34</v>
      </c>
      <c r="W168" s="114">
        <v>-1</v>
      </c>
      <c r="X168" s="8">
        <v>0</v>
      </c>
      <c r="Y168" s="8">
        <v>0</v>
      </c>
      <c r="Z168" s="8">
        <v>0</v>
      </c>
      <c r="AA168" s="8">
        <v>0</v>
      </c>
      <c r="AB168" s="8">
        <v>0</v>
      </c>
      <c r="AC168" s="8">
        <v>0</v>
      </c>
      <c r="AD168" s="17" t="s">
        <v>29</v>
      </c>
      <c r="AE168" s="8">
        <f>VLOOKUP(Master2017[[#This Row],[Elevated Priority]],Epriority,2,)</f>
        <v>0</v>
      </c>
      <c r="AF168" s="8">
        <f>IF(Master2017[[#This Row],[Status]]="Active",Master2017[[#This Row],[Status_Score]],IF(C168="","",Q168+G168+S168+U168+AE168-5))</f>
        <v>89</v>
      </c>
      <c r="AG168" s="8"/>
      <c r="AH168" s="8"/>
      <c r="AI168" s="8"/>
      <c r="AJ168" s="10"/>
    </row>
    <row r="169" spans="1:36" ht="30" hidden="1" x14ac:dyDescent="0.25">
      <c r="A169" s="103">
        <f t="shared" si="23"/>
        <v>163</v>
      </c>
      <c r="B169" s="10" t="s">
        <v>65</v>
      </c>
      <c r="C169" s="10" t="s">
        <v>550</v>
      </c>
      <c r="D169" s="10" t="s">
        <v>551</v>
      </c>
      <c r="E169" s="10"/>
      <c r="F169" s="10" t="s">
        <v>29</v>
      </c>
      <c r="G169" s="10">
        <f t="shared" si="21"/>
        <v>0</v>
      </c>
      <c r="H169" s="49"/>
      <c r="I169" s="49"/>
      <c r="J169" s="49">
        <f>Master2017[[#This Row],[Initial Budget]]-Master2017[[#This Row],[Previously Committed Funds]]</f>
        <v>0</v>
      </c>
      <c r="K169" s="49"/>
      <c r="L169" s="49"/>
      <c r="M169" s="97">
        <f>Master2017[[#This Row],[Design $ (Add/Deduct)]]+Master2017[[#This Row],[Construction $ (Add/Ded)]]</f>
        <v>0</v>
      </c>
      <c r="N169" s="32">
        <v>2000000</v>
      </c>
      <c r="O169" s="8">
        <v>2018</v>
      </c>
      <c r="P169" s="10" t="s">
        <v>46</v>
      </c>
      <c r="Q169" s="8">
        <f t="shared" si="24"/>
        <v>50</v>
      </c>
      <c r="R169" s="8">
        <v>10</v>
      </c>
      <c r="S169" s="8">
        <f t="shared" si="25"/>
        <v>21</v>
      </c>
      <c r="T169" s="8" t="s">
        <v>45</v>
      </c>
      <c r="U169" s="8">
        <f t="shared" si="26"/>
        <v>32</v>
      </c>
      <c r="V169" s="8" t="s">
        <v>34</v>
      </c>
      <c r="W169" s="114">
        <v>-3</v>
      </c>
      <c r="X169" s="8">
        <v>0</v>
      </c>
      <c r="Y169" s="8">
        <v>0</v>
      </c>
      <c r="Z169" s="8">
        <v>-3</v>
      </c>
      <c r="AA169" s="8">
        <v>-2</v>
      </c>
      <c r="AB169" s="8">
        <v>-1</v>
      </c>
      <c r="AC169" s="8">
        <v>0</v>
      </c>
      <c r="AD169" s="17" t="s">
        <v>29</v>
      </c>
      <c r="AE169" s="8">
        <f>VLOOKUP(Master2017[[#This Row],[Elevated Priority]],Epriority,2,)</f>
        <v>0</v>
      </c>
      <c r="AF169" s="8">
        <f>IF(Master2017[[#This Row],[Status]]="Active",Master2017[[#This Row],[Status_Score]],IF(C169="","",Q169+G169+S169+U169+AE169-5))</f>
        <v>98</v>
      </c>
      <c r="AG169" s="8"/>
      <c r="AH169" s="8"/>
      <c r="AI169" s="8"/>
      <c r="AJ169" s="10"/>
    </row>
    <row r="170" spans="1:36" ht="45" x14ac:dyDescent="0.25">
      <c r="A170" s="103">
        <f t="shared" si="23"/>
        <v>164</v>
      </c>
      <c r="B170" s="111" t="s">
        <v>79</v>
      </c>
      <c r="C170" s="111" t="s">
        <v>864</v>
      </c>
      <c r="D170" s="111" t="s">
        <v>862</v>
      </c>
      <c r="E170" s="111" t="s">
        <v>863</v>
      </c>
      <c r="F170" s="111" t="s">
        <v>816</v>
      </c>
      <c r="G170" s="111">
        <f t="shared" si="21"/>
        <v>1000</v>
      </c>
      <c r="H170" s="112"/>
      <c r="I170" s="112"/>
      <c r="J170" s="112">
        <f>Master2017[[#This Row],[Initial Budget]]-Master2017[[#This Row],[Previously Committed Funds]]</f>
        <v>0</v>
      </c>
      <c r="K170" s="112"/>
      <c r="L170" s="112"/>
      <c r="M170" s="116">
        <f>Master2017[[#This Row],[Design $ (Add/Deduct)]]+Master2017[[#This Row],[Construction $ (Add/Ded)]]</f>
        <v>0</v>
      </c>
      <c r="N170" s="115">
        <v>175000</v>
      </c>
      <c r="O170" s="114">
        <v>2020</v>
      </c>
      <c r="P170" s="111" t="s">
        <v>830</v>
      </c>
      <c r="Q170" s="114">
        <f t="shared" si="24"/>
        <v>10</v>
      </c>
      <c r="R170" s="114">
        <v>1</v>
      </c>
      <c r="S170" s="114">
        <f t="shared" si="25"/>
        <v>3</v>
      </c>
      <c r="T170" s="114" t="s">
        <v>33</v>
      </c>
      <c r="U170" s="114">
        <f t="shared" si="26"/>
        <v>1</v>
      </c>
      <c r="V170" s="114" t="s">
        <v>30</v>
      </c>
      <c r="W170" s="114">
        <v>0</v>
      </c>
      <c r="X170" s="114">
        <v>0</v>
      </c>
      <c r="Y170" s="114">
        <v>0</v>
      </c>
      <c r="Z170" s="114">
        <v>0</v>
      </c>
      <c r="AA170" s="114">
        <v>0</v>
      </c>
      <c r="AB170" s="114">
        <v>0</v>
      </c>
      <c r="AC170" s="114">
        <v>0</v>
      </c>
      <c r="AD170" s="113" t="s">
        <v>31</v>
      </c>
      <c r="AE170" s="114">
        <f>VLOOKUP(Master2017[[#This Row],[Elevated Priority]],Epriority,2,)</f>
        <v>-25</v>
      </c>
      <c r="AF170" s="114">
        <f>IF(Master2017[[#This Row],[Status]]="Active",Master2017[[#This Row],[Status_Score]],IF(C170="","",Q170+G170+S170+U170+AE170-5))</f>
        <v>984</v>
      </c>
      <c r="AG170" s="114"/>
      <c r="AH170" s="114">
        <v>2020</v>
      </c>
      <c r="AI170" s="114">
        <v>2020</v>
      </c>
      <c r="AJ170" s="10"/>
    </row>
    <row r="171" spans="1:36" ht="30" x14ac:dyDescent="0.25">
      <c r="A171" s="103">
        <f t="shared" si="23"/>
        <v>165</v>
      </c>
      <c r="B171" s="111" t="s">
        <v>646</v>
      </c>
      <c r="C171" s="111" t="s">
        <v>956</v>
      </c>
      <c r="D171" s="111" t="s">
        <v>957</v>
      </c>
      <c r="E171" s="111" t="s">
        <v>958</v>
      </c>
      <c r="F171" s="111" t="s">
        <v>816</v>
      </c>
      <c r="G171" s="111">
        <f t="shared" si="21"/>
        <v>1000</v>
      </c>
      <c r="H171" s="112"/>
      <c r="I171" s="112"/>
      <c r="J171" s="112">
        <f>Master2017[[#This Row],[Initial Budget]]-Master2017[[#This Row],[Previously Committed Funds]]</f>
        <v>0</v>
      </c>
      <c r="K171" s="112"/>
      <c r="L171" s="112"/>
      <c r="M171" s="116">
        <f>Master2017[[#This Row],[Design $ (Add/Deduct)]]+Master2017[[#This Row],[Construction $ (Add/Ded)]]</f>
        <v>0</v>
      </c>
      <c r="N171" s="115">
        <v>150000</v>
      </c>
      <c r="O171" s="114">
        <v>2020</v>
      </c>
      <c r="P171" s="111" t="s">
        <v>32</v>
      </c>
      <c r="Q171" s="114">
        <f t="shared" si="24"/>
        <v>1</v>
      </c>
      <c r="R171" s="113">
        <v>1</v>
      </c>
      <c r="S171" s="114">
        <f t="shared" si="25"/>
        <v>3</v>
      </c>
      <c r="T171" s="113" t="s">
        <v>33</v>
      </c>
      <c r="U171" s="114">
        <f t="shared" si="26"/>
        <v>1</v>
      </c>
      <c r="V171" s="114" t="s">
        <v>30</v>
      </c>
      <c r="W171" s="114">
        <v>0</v>
      </c>
      <c r="X171" s="114">
        <v>0</v>
      </c>
      <c r="Y171" s="114">
        <v>0</v>
      </c>
      <c r="Z171" s="114">
        <v>0</v>
      </c>
      <c r="AA171" s="114">
        <v>0</v>
      </c>
      <c r="AB171" s="114">
        <v>0</v>
      </c>
      <c r="AC171" s="114">
        <v>0</v>
      </c>
      <c r="AD171" s="113" t="s">
        <v>29</v>
      </c>
      <c r="AE171" s="114">
        <f>VLOOKUP(Master2017[[#This Row],[Elevated Priority]],Epriority,2,)</f>
        <v>0</v>
      </c>
      <c r="AF171" s="114">
        <f>IF(Master2017[[#This Row],[Status]]="Active",Master2017[[#This Row],[Status_Score]],IF(C171="","",Q171+G171+S171+U171+AE171-5))</f>
        <v>1000</v>
      </c>
      <c r="AG171" s="114"/>
      <c r="AH171" s="114">
        <v>2020</v>
      </c>
      <c r="AI171" s="114">
        <v>2021</v>
      </c>
      <c r="AJ171" s="10"/>
    </row>
    <row r="172" spans="1:36" ht="120" x14ac:dyDescent="0.25">
      <c r="A172" s="103">
        <f t="shared" si="23"/>
        <v>166</v>
      </c>
      <c r="B172" s="111" t="s">
        <v>73</v>
      </c>
      <c r="C172" s="111" t="s">
        <v>107</v>
      </c>
      <c r="D172" s="111" t="s">
        <v>108</v>
      </c>
      <c r="E172" s="111" t="s">
        <v>883</v>
      </c>
      <c r="F172" s="111" t="s">
        <v>816</v>
      </c>
      <c r="G172" s="111">
        <f t="shared" si="21"/>
        <v>1000</v>
      </c>
      <c r="H172" s="112"/>
      <c r="I172" s="112"/>
      <c r="J172" s="112">
        <f>Master2017[[#This Row],[Initial Budget]]-Master2017[[#This Row],[Previously Committed Funds]]</f>
        <v>0</v>
      </c>
      <c r="K172" s="112"/>
      <c r="L172" s="112"/>
      <c r="M172" s="116">
        <f>Master2017[[#This Row],[Design $ (Add/Deduct)]]+Master2017[[#This Row],[Construction $ (Add/Ded)]]</f>
        <v>0</v>
      </c>
      <c r="N172" s="115">
        <v>25000</v>
      </c>
      <c r="O172" s="114">
        <v>2018</v>
      </c>
      <c r="P172" s="111" t="s">
        <v>32</v>
      </c>
      <c r="Q172" s="114">
        <f t="shared" si="24"/>
        <v>1</v>
      </c>
      <c r="R172" s="114">
        <v>1</v>
      </c>
      <c r="S172" s="114">
        <f t="shared" si="25"/>
        <v>3</v>
      </c>
      <c r="T172" s="114" t="s">
        <v>41</v>
      </c>
      <c r="U172" s="114">
        <f t="shared" si="26"/>
        <v>4</v>
      </c>
      <c r="V172" s="114" t="s">
        <v>30</v>
      </c>
      <c r="W172" s="114">
        <v>0</v>
      </c>
      <c r="X172" s="114">
        <v>0</v>
      </c>
      <c r="Y172" s="114">
        <v>0</v>
      </c>
      <c r="Z172" s="114">
        <v>-2.5</v>
      </c>
      <c r="AA172" s="114">
        <v>0</v>
      </c>
      <c r="AB172" s="114">
        <v>0</v>
      </c>
      <c r="AC172" s="114">
        <v>0</v>
      </c>
      <c r="AD172" s="113" t="s">
        <v>29</v>
      </c>
      <c r="AE172" s="114">
        <f>VLOOKUP(Master2017[[#This Row],[Elevated Priority]],Epriority,2,)</f>
        <v>0</v>
      </c>
      <c r="AF172" s="114">
        <f>IF(Master2017[[#This Row],[Status]]="Active",Master2017[[#This Row],[Status_Score]],IF(C172="","",Q172+G172+S172+U172+AE172-5))</f>
        <v>1003</v>
      </c>
      <c r="AG172" s="114"/>
      <c r="AH172" s="114">
        <v>2020</v>
      </c>
      <c r="AI172" s="114">
        <v>2021</v>
      </c>
      <c r="AJ172" s="10"/>
    </row>
    <row r="173" spans="1:36" ht="45" x14ac:dyDescent="0.25">
      <c r="A173" s="103">
        <f t="shared" si="23"/>
        <v>167</v>
      </c>
      <c r="B173" s="111" t="s">
        <v>61</v>
      </c>
      <c r="C173" s="111" t="s">
        <v>972</v>
      </c>
      <c r="D173" s="111" t="s">
        <v>947</v>
      </c>
      <c r="E173" s="111" t="s">
        <v>948</v>
      </c>
      <c r="F173" s="111" t="s">
        <v>816</v>
      </c>
      <c r="G173" s="111">
        <f t="shared" si="21"/>
        <v>1000</v>
      </c>
      <c r="H173" s="112"/>
      <c r="I173" s="112"/>
      <c r="J173" s="112">
        <f>Master2017[[#This Row],[Initial Budget]]-Master2017[[#This Row],[Previously Committed Funds]]</f>
        <v>0</v>
      </c>
      <c r="K173" s="112"/>
      <c r="L173" s="112"/>
      <c r="M173" s="116">
        <f>Master2017[[#This Row],[Design $ (Add/Deduct)]]+Master2017[[#This Row],[Construction $ (Add/Ded)]]</f>
        <v>0</v>
      </c>
      <c r="N173" s="115">
        <v>125000</v>
      </c>
      <c r="O173" s="114">
        <v>2020</v>
      </c>
      <c r="P173" s="111" t="s">
        <v>32</v>
      </c>
      <c r="Q173" s="114">
        <f t="shared" si="24"/>
        <v>1</v>
      </c>
      <c r="R173" s="114">
        <v>1</v>
      </c>
      <c r="S173" s="114">
        <f t="shared" si="25"/>
        <v>3</v>
      </c>
      <c r="T173" s="114" t="s">
        <v>37</v>
      </c>
      <c r="U173" s="114">
        <f t="shared" si="26"/>
        <v>3</v>
      </c>
      <c r="V173" s="114" t="s">
        <v>30</v>
      </c>
      <c r="W173" s="114">
        <v>0</v>
      </c>
      <c r="X173" s="114">
        <v>0</v>
      </c>
      <c r="Y173" s="114">
        <v>0</v>
      </c>
      <c r="Z173" s="114">
        <v>0</v>
      </c>
      <c r="AA173" s="114">
        <v>0</v>
      </c>
      <c r="AB173" s="114">
        <v>0</v>
      </c>
      <c r="AC173" s="114">
        <v>0</v>
      </c>
      <c r="AD173" s="113" t="s">
        <v>29</v>
      </c>
      <c r="AE173" s="114">
        <f>VLOOKUP(Master2017[[#This Row],[Elevated Priority]],Epriority,2,)</f>
        <v>0</v>
      </c>
      <c r="AF173" s="114">
        <f>IF(Master2017[[#This Row],[Status]]="Active",Master2017[[#This Row],[Status_Score]],IF(C173="","",Q173+G173+S173+U173+AE173-5))</f>
        <v>1002</v>
      </c>
      <c r="AG173" s="114"/>
      <c r="AH173" s="114">
        <v>2020</v>
      </c>
      <c r="AI173" s="114">
        <v>2021</v>
      </c>
      <c r="AJ173" s="10"/>
    </row>
    <row r="174" spans="1:36" ht="45" hidden="1" x14ac:dyDescent="0.25">
      <c r="A174" s="103">
        <f t="shared" si="23"/>
        <v>168</v>
      </c>
      <c r="B174" s="10" t="s">
        <v>67</v>
      </c>
      <c r="C174" s="10" t="s">
        <v>615</v>
      </c>
      <c r="D174" s="10" t="s">
        <v>917</v>
      </c>
      <c r="E174" s="10" t="s">
        <v>617</v>
      </c>
      <c r="F174" s="10" t="s">
        <v>29</v>
      </c>
      <c r="G174" s="32">
        <f t="shared" si="21"/>
        <v>0</v>
      </c>
      <c r="H174" s="32"/>
      <c r="I174" s="32"/>
      <c r="J174" s="32">
        <f>Master2017[[#This Row],[Initial Budget]]-Master2017[[#This Row],[Previously Committed Funds]]</f>
        <v>0</v>
      </c>
      <c r="K174" s="32"/>
      <c r="L174" s="32"/>
      <c r="M174" s="119">
        <f>Master2017[[#This Row],[Design $ (Add/Deduct)]]+Master2017[[#This Row],[Construction $ (Add/Ded)]]</f>
        <v>0</v>
      </c>
      <c r="N174" s="32">
        <v>1500000</v>
      </c>
      <c r="O174" s="8">
        <v>2019</v>
      </c>
      <c r="P174" s="10" t="s">
        <v>46</v>
      </c>
      <c r="Q174" s="8">
        <f t="shared" si="24"/>
        <v>50</v>
      </c>
      <c r="R174" s="8">
        <v>9</v>
      </c>
      <c r="S174" s="8">
        <f t="shared" si="25"/>
        <v>21</v>
      </c>
      <c r="T174" s="8" t="s">
        <v>45</v>
      </c>
      <c r="U174" s="8">
        <f t="shared" si="26"/>
        <v>32</v>
      </c>
      <c r="V174" s="8" t="s">
        <v>34</v>
      </c>
      <c r="W174" s="114">
        <v>0</v>
      </c>
      <c r="X174" s="8">
        <v>0</v>
      </c>
      <c r="Y174" s="8">
        <v>0</v>
      </c>
      <c r="Z174" s="8">
        <v>0</v>
      </c>
      <c r="AA174" s="8">
        <v>0</v>
      </c>
      <c r="AB174" s="8">
        <v>0</v>
      </c>
      <c r="AC174" s="8">
        <v>0</v>
      </c>
      <c r="AD174" s="8" t="s">
        <v>29</v>
      </c>
      <c r="AE174" s="8">
        <f>VLOOKUP(Master2017[[#This Row],[Elevated Priority]],Epriority,2,)</f>
        <v>0</v>
      </c>
      <c r="AF174" s="8">
        <f>IF(Master2017[[#This Row],[Status]]="Active",Master2017[[#This Row],[Status_Score]],IF(C174="","",Q174+G174+S174+U174+AE174-5))</f>
        <v>98</v>
      </c>
      <c r="AG174" s="8"/>
      <c r="AH174" s="8"/>
      <c r="AI174" s="8"/>
      <c r="AJ174" s="10"/>
    </row>
    <row r="175" spans="1:36" ht="75" hidden="1" x14ac:dyDescent="0.25">
      <c r="A175" s="103">
        <f t="shared" si="23"/>
        <v>169</v>
      </c>
      <c r="B175" s="10" t="s">
        <v>61</v>
      </c>
      <c r="C175" s="10" t="s">
        <v>519</v>
      </c>
      <c r="D175" s="10" t="s">
        <v>520</v>
      </c>
      <c r="E175" s="10" t="s">
        <v>521</v>
      </c>
      <c r="F175" s="10" t="s">
        <v>29</v>
      </c>
      <c r="G175" s="10">
        <f t="shared" si="21"/>
        <v>0</v>
      </c>
      <c r="H175" s="49"/>
      <c r="I175" s="49"/>
      <c r="J175" s="49">
        <f>Master2017[[#This Row],[Initial Budget]]-Master2017[[#This Row],[Previously Committed Funds]]</f>
        <v>0</v>
      </c>
      <c r="K175" s="49"/>
      <c r="L175" s="49"/>
      <c r="M175" s="97">
        <f>Master2017[[#This Row],[Design $ (Add/Deduct)]]+Master2017[[#This Row],[Construction $ (Add/Ded)]]</f>
        <v>0</v>
      </c>
      <c r="N175" s="32">
        <v>22000000</v>
      </c>
      <c r="O175" s="8">
        <v>2018</v>
      </c>
      <c r="P175" s="10" t="s">
        <v>46</v>
      </c>
      <c r="Q175" s="8">
        <f t="shared" si="24"/>
        <v>50</v>
      </c>
      <c r="R175" s="8">
        <v>3</v>
      </c>
      <c r="S175" s="8">
        <f t="shared" si="25"/>
        <v>9</v>
      </c>
      <c r="T175" s="8" t="s">
        <v>47</v>
      </c>
      <c r="U175" s="8">
        <f t="shared" si="26"/>
        <v>64</v>
      </c>
      <c r="V175" s="8" t="s">
        <v>34</v>
      </c>
      <c r="W175" s="114">
        <v>-7</v>
      </c>
      <c r="X175" s="8">
        <v>0</v>
      </c>
      <c r="Y175" s="8">
        <v>0</v>
      </c>
      <c r="Z175" s="8">
        <v>0</v>
      </c>
      <c r="AA175" s="8">
        <v>0</v>
      </c>
      <c r="AB175" s="8">
        <v>-3</v>
      </c>
      <c r="AC175" s="8">
        <v>0</v>
      </c>
      <c r="AD175" s="17" t="s">
        <v>29</v>
      </c>
      <c r="AE175" s="8">
        <f>VLOOKUP(Master2017[[#This Row],[Elevated Priority]],Epriority,2,)</f>
        <v>0</v>
      </c>
      <c r="AF175" s="8">
        <f>IF(Master2017[[#This Row],[Status]]="Active",Master2017[[#This Row],[Status_Score]],IF(C175="","",Q175+G175+S175+U175+AE175-5))</f>
        <v>118</v>
      </c>
      <c r="AG175" s="8"/>
      <c r="AH175" s="8"/>
      <c r="AI175" s="8"/>
      <c r="AJ175" s="10"/>
    </row>
    <row r="176" spans="1:36" ht="165" hidden="1" x14ac:dyDescent="0.25">
      <c r="A176" s="103">
        <f t="shared" si="23"/>
        <v>170</v>
      </c>
      <c r="B176" s="10" t="s">
        <v>143</v>
      </c>
      <c r="C176" s="10" t="s">
        <v>372</v>
      </c>
      <c r="D176" s="10" t="s">
        <v>765</v>
      </c>
      <c r="E176" s="10" t="s">
        <v>766</v>
      </c>
      <c r="F176" s="10" t="s">
        <v>29</v>
      </c>
      <c r="G176" s="10">
        <f t="shared" si="21"/>
        <v>0</v>
      </c>
      <c r="H176" s="49"/>
      <c r="I176" s="49"/>
      <c r="J176" s="49">
        <f>Master2017[[#This Row],[Initial Budget]]-Master2017[[#This Row],[Previously Committed Funds]]</f>
        <v>0</v>
      </c>
      <c r="K176" s="49"/>
      <c r="L176" s="49"/>
      <c r="M176" s="97">
        <f>Master2017[[#This Row],[Design $ (Add/Deduct)]]+Master2017[[#This Row],[Construction $ (Add/Ded)]]</f>
        <v>0</v>
      </c>
      <c r="N176" s="49">
        <v>15000000</v>
      </c>
      <c r="O176" s="8">
        <v>2018</v>
      </c>
      <c r="P176" s="10" t="s">
        <v>46</v>
      </c>
      <c r="Q176" s="8">
        <f t="shared" si="24"/>
        <v>50</v>
      </c>
      <c r="R176" s="17">
        <v>6</v>
      </c>
      <c r="S176" s="8">
        <f t="shared" si="25"/>
        <v>18</v>
      </c>
      <c r="T176" s="17" t="s">
        <v>47</v>
      </c>
      <c r="U176" s="8">
        <f t="shared" si="26"/>
        <v>64</v>
      </c>
      <c r="V176" s="8" t="s">
        <v>34</v>
      </c>
      <c r="W176" s="8">
        <v>0</v>
      </c>
      <c r="X176" s="8">
        <v>0</v>
      </c>
      <c r="Y176" s="8">
        <v>-1</v>
      </c>
      <c r="Z176" s="8">
        <v>0</v>
      </c>
      <c r="AA176" s="8">
        <v>0</v>
      </c>
      <c r="AB176" s="8">
        <v>0</v>
      </c>
      <c r="AC176" s="8">
        <v>0</v>
      </c>
      <c r="AD176" s="17" t="s">
        <v>29</v>
      </c>
      <c r="AE176" s="8">
        <f>VLOOKUP(Master2017[[#This Row],[Elevated Priority]],Epriority,2,)</f>
        <v>0</v>
      </c>
      <c r="AF176" s="8">
        <f>IF(Master2017[[#This Row],[Status]]="Active",Master2017[[#This Row],[Status_Score]],IF(C176="","",Q176+G176+S176+U176+AE176-5))</f>
        <v>127</v>
      </c>
      <c r="AG176" s="8"/>
      <c r="AH176" s="8"/>
      <c r="AI176" s="8"/>
      <c r="AJ176" s="10"/>
    </row>
    <row r="177" spans="1:36" ht="30" hidden="1" x14ac:dyDescent="0.25">
      <c r="A177" s="103">
        <f t="shared" si="23"/>
        <v>171</v>
      </c>
      <c r="B177" s="48" t="s">
        <v>65</v>
      </c>
      <c r="C177" s="23" t="s">
        <v>578</v>
      </c>
      <c r="D177" s="23" t="s">
        <v>579</v>
      </c>
      <c r="E177" s="23" t="s">
        <v>580</v>
      </c>
      <c r="F177" s="10" t="s">
        <v>29</v>
      </c>
      <c r="G177" s="10">
        <f t="shared" si="21"/>
        <v>0</v>
      </c>
      <c r="H177" s="49"/>
      <c r="I177" s="49"/>
      <c r="J177" s="49">
        <f>Master2017[[#This Row],[Initial Budget]]-Master2017[[#This Row],[Previously Committed Funds]]</f>
        <v>0</v>
      </c>
      <c r="K177" s="49"/>
      <c r="L177" s="49"/>
      <c r="M177" s="97">
        <f>Master2017[[#This Row],[Design $ (Add/Deduct)]]+Master2017[[#This Row],[Construction $ (Add/Ded)]]</f>
        <v>0</v>
      </c>
      <c r="N177" s="32">
        <v>100000</v>
      </c>
      <c r="O177" s="8">
        <v>2018</v>
      </c>
      <c r="P177" s="10" t="s">
        <v>46</v>
      </c>
      <c r="Q177" s="8">
        <f t="shared" si="24"/>
        <v>50</v>
      </c>
      <c r="R177" s="8">
        <v>15</v>
      </c>
      <c r="S177" s="8">
        <f t="shared" si="25"/>
        <v>24</v>
      </c>
      <c r="T177" s="8" t="s">
        <v>47</v>
      </c>
      <c r="U177" s="8">
        <f t="shared" si="26"/>
        <v>64</v>
      </c>
      <c r="V177" s="8" t="s">
        <v>34</v>
      </c>
      <c r="W177" s="8">
        <v>0</v>
      </c>
      <c r="X177" s="8">
        <v>0</v>
      </c>
      <c r="Y177" s="8">
        <v>0</v>
      </c>
      <c r="Z177" s="8">
        <v>0</v>
      </c>
      <c r="AA177" s="8">
        <v>0</v>
      </c>
      <c r="AB177" s="8">
        <v>0</v>
      </c>
      <c r="AC177" s="8">
        <v>0</v>
      </c>
      <c r="AD177" s="17" t="s">
        <v>29</v>
      </c>
      <c r="AE177" s="8">
        <f>VLOOKUP(Master2017[[#This Row],[Elevated Priority]],Epriority,2,)</f>
        <v>0</v>
      </c>
      <c r="AF177" s="8">
        <f>IF(Master2017[[#This Row],[Status]]="Active",Master2017[[#This Row],[Status_Score]],IF(C177="","",Q177+G177+S177+U177+AE177-5))</f>
        <v>133</v>
      </c>
      <c r="AG177" s="8"/>
      <c r="AH177" s="8"/>
      <c r="AI177" s="8"/>
      <c r="AJ177" s="10"/>
    </row>
    <row r="178" spans="1:36" ht="45" x14ac:dyDescent="0.25">
      <c r="A178" s="103">
        <f t="shared" si="23"/>
        <v>172</v>
      </c>
      <c r="B178" s="120" t="s">
        <v>923</v>
      </c>
      <c r="C178" s="111" t="s">
        <v>786</v>
      </c>
      <c r="D178" s="111" t="s">
        <v>787</v>
      </c>
      <c r="E178" s="111" t="s">
        <v>204</v>
      </c>
      <c r="F178" s="111" t="s">
        <v>816</v>
      </c>
      <c r="G178" s="111">
        <f t="shared" si="21"/>
        <v>1000</v>
      </c>
      <c r="H178" s="112"/>
      <c r="I178" s="112"/>
      <c r="J178" s="112">
        <f>Master2017[[#This Row],[Initial Budget]]-Master2017[[#This Row],[Previously Committed Funds]]</f>
        <v>0</v>
      </c>
      <c r="K178" s="112"/>
      <c r="L178" s="112"/>
      <c r="M178" s="116">
        <f>Master2017[[#This Row],[Design $ (Add/Deduct)]]+Master2017[[#This Row],[Construction $ (Add/Ded)]]</f>
        <v>0</v>
      </c>
      <c r="N178" s="115">
        <v>250000</v>
      </c>
      <c r="O178" s="114">
        <v>2018</v>
      </c>
      <c r="P178" s="111" t="s">
        <v>688</v>
      </c>
      <c r="Q178" s="114">
        <f t="shared" si="24"/>
        <v>20</v>
      </c>
      <c r="R178" s="114">
        <v>4</v>
      </c>
      <c r="S178" s="114">
        <f t="shared" si="25"/>
        <v>12</v>
      </c>
      <c r="T178" s="114" t="s">
        <v>41</v>
      </c>
      <c r="U178" s="114">
        <f t="shared" si="26"/>
        <v>4</v>
      </c>
      <c r="V178" s="114" t="s">
        <v>30</v>
      </c>
      <c r="W178" s="114">
        <v>0</v>
      </c>
      <c r="X178" s="114">
        <v>0</v>
      </c>
      <c r="Y178" s="114">
        <v>0</v>
      </c>
      <c r="Z178" s="114">
        <v>0</v>
      </c>
      <c r="AA178" s="114">
        <v>0</v>
      </c>
      <c r="AB178" s="114">
        <v>0</v>
      </c>
      <c r="AC178" s="114">
        <v>0</v>
      </c>
      <c r="AD178" s="113" t="s">
        <v>31</v>
      </c>
      <c r="AE178" s="114">
        <f>VLOOKUP(Master2017[[#This Row],[Elevated Priority]],Epriority,2,)</f>
        <v>-25</v>
      </c>
      <c r="AF178" s="114">
        <f>IF(Master2017[[#This Row],[Status]]="Active",Master2017[[#This Row],[Status_Score]],IF(C178="","",Q178+G178+S178+U178+AE178-5))</f>
        <v>1006</v>
      </c>
      <c r="AG178" s="114"/>
      <c r="AH178" s="114">
        <v>2020</v>
      </c>
      <c r="AI178" s="114">
        <v>2021</v>
      </c>
      <c r="AJ178" s="10"/>
    </row>
    <row r="179" spans="1:36" ht="61.5" customHeight="1" x14ac:dyDescent="0.25">
      <c r="A179" s="103">
        <f t="shared" si="23"/>
        <v>173</v>
      </c>
      <c r="B179" s="111" t="s">
        <v>73</v>
      </c>
      <c r="C179" s="111" t="s">
        <v>257</v>
      </c>
      <c r="D179" s="111" t="s">
        <v>258</v>
      </c>
      <c r="E179" s="111" t="s">
        <v>888</v>
      </c>
      <c r="F179" s="111" t="s">
        <v>816</v>
      </c>
      <c r="G179" s="111">
        <f t="shared" si="21"/>
        <v>1000</v>
      </c>
      <c r="H179" s="121"/>
      <c r="I179" s="121"/>
      <c r="J179" s="121">
        <f>Master2017[[#This Row],[Initial Budget]]-Master2017[[#This Row],[Previously Committed Funds]]</f>
        <v>0</v>
      </c>
      <c r="K179" s="121"/>
      <c r="L179" s="122"/>
      <c r="M179" s="128">
        <f>Master2017[[#This Row],[Design $ (Add/Deduct)]]+Master2017[[#This Row],[Construction $ (Add/Ded)]]</f>
        <v>0</v>
      </c>
      <c r="N179" s="140">
        <v>35000</v>
      </c>
      <c r="O179" s="114">
        <v>2018</v>
      </c>
      <c r="P179" s="111" t="s">
        <v>688</v>
      </c>
      <c r="Q179" s="114">
        <f t="shared" si="24"/>
        <v>20</v>
      </c>
      <c r="R179" s="114">
        <v>1</v>
      </c>
      <c r="S179" s="114">
        <f t="shared" si="25"/>
        <v>3</v>
      </c>
      <c r="T179" s="114" t="s">
        <v>41</v>
      </c>
      <c r="U179" s="114">
        <f t="shared" si="26"/>
        <v>4</v>
      </c>
      <c r="V179" s="114" t="s">
        <v>30</v>
      </c>
      <c r="W179" s="114">
        <v>0</v>
      </c>
      <c r="X179" s="114">
        <v>0</v>
      </c>
      <c r="Y179" s="114">
        <v>0</v>
      </c>
      <c r="Z179" s="114">
        <v>0</v>
      </c>
      <c r="AA179" s="114">
        <v>0</v>
      </c>
      <c r="AB179" s="114">
        <v>0</v>
      </c>
      <c r="AC179" s="114">
        <v>0</v>
      </c>
      <c r="AD179" s="113" t="s">
        <v>29</v>
      </c>
      <c r="AE179" s="114">
        <f>VLOOKUP(Master2017[[#This Row],[Elevated Priority]],Epriority,2,)</f>
        <v>0</v>
      </c>
      <c r="AF179" s="114">
        <f>IF(Master2017[[#This Row],[Status]]="Active",Master2017[[#This Row],[Status_Score]],IF(C179="","",Q179+G179+S179+U179+AE179-5))</f>
        <v>1022</v>
      </c>
      <c r="AG179" s="114"/>
      <c r="AH179" s="114">
        <v>2020</v>
      </c>
      <c r="AI179" s="114">
        <v>2021</v>
      </c>
      <c r="AJ179" s="10" t="s">
        <v>934</v>
      </c>
    </row>
    <row r="180" spans="1:36" ht="31.5" customHeight="1" x14ac:dyDescent="0.25">
      <c r="A180" s="103">
        <f t="shared" si="23"/>
        <v>174</v>
      </c>
      <c r="B180" s="111" t="s">
        <v>72</v>
      </c>
      <c r="C180" s="111" t="s">
        <v>13</v>
      </c>
      <c r="D180" s="111" t="s">
        <v>845</v>
      </c>
      <c r="E180" s="143" t="s">
        <v>846</v>
      </c>
      <c r="F180" s="111" t="s">
        <v>816</v>
      </c>
      <c r="G180" s="111">
        <f t="shared" si="21"/>
        <v>1000</v>
      </c>
      <c r="H180" s="121">
        <v>2000000</v>
      </c>
      <c r="I180" s="121">
        <v>1392886</v>
      </c>
      <c r="J180" s="121">
        <f>Master2017[[#This Row],[Initial Budget]]-Master2017[[#This Row],[Previously Committed Funds]]</f>
        <v>607114</v>
      </c>
      <c r="K180" s="121"/>
      <c r="L180" s="122">
        <v>16000000</v>
      </c>
      <c r="M180" s="128">
        <f>Master2017[[#This Row],[Design $ (Add/Deduct)]]+Master2017[[#This Row],[Construction $ (Add/Ded)]]</f>
        <v>16000000</v>
      </c>
      <c r="N180" s="129">
        <f>Master2017[[#This Row],[Total Add]]+Master2017[[#This Row],[Current Available Balance]]+Master2017[[#This Row],[Previously Committed Funds]]</f>
        <v>18000000</v>
      </c>
      <c r="O180" s="113">
        <v>2018</v>
      </c>
      <c r="P180" s="111" t="s">
        <v>29</v>
      </c>
      <c r="Q180" s="111">
        <f>VLOOKUP(P180,Importance, 2, FALSE)</f>
        <v>0</v>
      </c>
      <c r="R180" s="113" t="s">
        <v>29</v>
      </c>
      <c r="S180" s="111">
        <f t="shared" si="25"/>
        <v>0</v>
      </c>
      <c r="T180" s="111" t="s">
        <v>29</v>
      </c>
      <c r="U180" s="111">
        <f t="shared" si="26"/>
        <v>0</v>
      </c>
      <c r="V180" s="111" t="s">
        <v>38</v>
      </c>
      <c r="W180" s="111"/>
      <c r="X180" s="111"/>
      <c r="Y180" s="111"/>
      <c r="Z180" s="111"/>
      <c r="AA180" s="111"/>
      <c r="AB180" s="111"/>
      <c r="AC180" s="111"/>
      <c r="AD180" s="111" t="s">
        <v>29</v>
      </c>
      <c r="AE180" s="111">
        <f>VLOOKUP(Master2017[[#This Row],[Elevated Priority]],Epriority,2,)</f>
        <v>0</v>
      </c>
      <c r="AF180" s="113">
        <f>IF(Master2017[[#This Row],[Status]]="Active",Master2017[[#This Row],[Status_Score]],IF(C180="","",Q180+G180+S180+U180+AE180-5))</f>
        <v>995</v>
      </c>
      <c r="AG180" s="114" t="s">
        <v>757</v>
      </c>
      <c r="AH180" s="114">
        <v>2017</v>
      </c>
      <c r="AI180" s="114">
        <v>2020</v>
      </c>
      <c r="AJ180" s="111" t="s">
        <v>157</v>
      </c>
    </row>
    <row r="181" spans="1:36" ht="57.75" customHeight="1" x14ac:dyDescent="0.25">
      <c r="A181" s="103">
        <f t="shared" si="23"/>
        <v>175</v>
      </c>
      <c r="B181" s="120" t="s">
        <v>94</v>
      </c>
      <c r="C181" s="111" t="s">
        <v>99</v>
      </c>
      <c r="D181" s="111" t="s">
        <v>875</v>
      </c>
      <c r="E181" s="111" t="s">
        <v>876</v>
      </c>
      <c r="F181" s="111" t="s">
        <v>816</v>
      </c>
      <c r="G181" s="111">
        <f t="shared" si="21"/>
        <v>1000</v>
      </c>
      <c r="H181" s="121">
        <v>150000</v>
      </c>
      <c r="I181" s="121">
        <v>0</v>
      </c>
      <c r="J181" s="121">
        <f>Master2017[[#This Row],[Initial Budget]]-Master2017[[#This Row],[Previously Committed Funds]]</f>
        <v>150000</v>
      </c>
      <c r="K181" s="121">
        <v>0</v>
      </c>
      <c r="L181" s="122">
        <v>0</v>
      </c>
      <c r="M181" s="128">
        <v>1850000</v>
      </c>
      <c r="N181" s="140">
        <f>Master2017[[#This Row],[Total Add]]+Master2017[[#This Row],[Current Available Balance]]</f>
        <v>2000000</v>
      </c>
      <c r="O181" s="114">
        <v>2018</v>
      </c>
      <c r="P181" s="111" t="s">
        <v>32</v>
      </c>
      <c r="Q181" s="114">
        <f>VLOOKUP(P181,Importance,2,FALSE)</f>
        <v>1</v>
      </c>
      <c r="R181" s="114">
        <v>1</v>
      </c>
      <c r="S181" s="114">
        <f t="shared" si="25"/>
        <v>3</v>
      </c>
      <c r="T181" s="114" t="s">
        <v>37</v>
      </c>
      <c r="U181" s="114">
        <f t="shared" si="26"/>
        <v>3</v>
      </c>
      <c r="V181" s="114" t="s">
        <v>30</v>
      </c>
      <c r="W181" s="114">
        <v>0</v>
      </c>
      <c r="X181" s="114">
        <v>0</v>
      </c>
      <c r="Y181" s="114">
        <v>0</v>
      </c>
      <c r="Z181" s="114">
        <v>0</v>
      </c>
      <c r="AA181" s="114">
        <v>0</v>
      </c>
      <c r="AB181" s="114">
        <v>0</v>
      </c>
      <c r="AC181" s="114">
        <v>0</v>
      </c>
      <c r="AD181" s="113" t="s">
        <v>29</v>
      </c>
      <c r="AE181" s="114">
        <f>VLOOKUP(Master2017[[#This Row],[Elevated Priority]],Epriority,2,)</f>
        <v>0</v>
      </c>
      <c r="AF181" s="114">
        <f>IF(Master2017[[#This Row],[Status]]="Active",Master2017[[#This Row],[Status_Score]],IF(C181="","",Q181+G181+S181+U181+AE181-5))</f>
        <v>1002</v>
      </c>
      <c r="AG181" s="114" t="s">
        <v>715</v>
      </c>
      <c r="AH181" s="114">
        <v>2019</v>
      </c>
      <c r="AI181" s="114">
        <v>2020</v>
      </c>
      <c r="AJ181" s="111"/>
    </row>
    <row r="182" spans="1:36" ht="30" x14ac:dyDescent="0.25">
      <c r="A182" s="103">
        <f t="shared" si="23"/>
        <v>176</v>
      </c>
      <c r="B182" s="120" t="s">
        <v>61</v>
      </c>
      <c r="C182" s="111" t="s">
        <v>642</v>
      </c>
      <c r="D182" s="111" t="s">
        <v>643</v>
      </c>
      <c r="E182" s="111" t="s">
        <v>644</v>
      </c>
      <c r="F182" s="111" t="s">
        <v>816</v>
      </c>
      <c r="G182" s="111">
        <f t="shared" si="21"/>
        <v>1000</v>
      </c>
      <c r="H182" s="121"/>
      <c r="I182" s="121"/>
      <c r="J182" s="121">
        <f>Master2017[[#This Row],[Initial Budget]]-Master2017[[#This Row],[Previously Committed Funds]]</f>
        <v>0</v>
      </c>
      <c r="K182" s="121"/>
      <c r="L182" s="121">
        <v>550000</v>
      </c>
      <c r="M182" s="128">
        <f>Master2017[[#This Row],[Design $ (Add/Deduct)]]+Master2017[[#This Row],[Construction $ (Add/Ded)]]</f>
        <v>550000</v>
      </c>
      <c r="N182" s="146">
        <v>550000</v>
      </c>
      <c r="O182" s="114">
        <v>2018</v>
      </c>
      <c r="P182" s="111" t="s">
        <v>36</v>
      </c>
      <c r="Q182" s="114">
        <f>VLOOKUP(P182,Importance,2,FALSE)</f>
        <v>10</v>
      </c>
      <c r="R182" s="114">
        <v>1</v>
      </c>
      <c r="S182" s="114">
        <f t="shared" si="25"/>
        <v>3</v>
      </c>
      <c r="T182" s="114" t="s">
        <v>33</v>
      </c>
      <c r="U182" s="114">
        <f t="shared" si="26"/>
        <v>1</v>
      </c>
      <c r="V182" s="114" t="s">
        <v>30</v>
      </c>
      <c r="W182" s="114">
        <v>0</v>
      </c>
      <c r="X182" s="114">
        <v>0</v>
      </c>
      <c r="Y182" s="114">
        <v>0</v>
      </c>
      <c r="Z182" s="114">
        <v>0</v>
      </c>
      <c r="AA182" s="114">
        <v>0</v>
      </c>
      <c r="AB182" s="114">
        <v>0</v>
      </c>
      <c r="AC182" s="114">
        <v>0</v>
      </c>
      <c r="AD182" s="114" t="s">
        <v>29</v>
      </c>
      <c r="AE182" s="114">
        <f>VLOOKUP(Master2017[[#This Row],[Elevated Priority]],Epriority,2,)</f>
        <v>0</v>
      </c>
      <c r="AF182" s="114">
        <f>IF(Master2017[[#This Row],[Status]]="Active",Master2017[[#This Row],[Status_Score]],IF(C182="","",Q182+G182+S182+U182+AE182-5))</f>
        <v>1009</v>
      </c>
      <c r="AG182" s="114" t="s">
        <v>760</v>
      </c>
      <c r="AH182" s="114">
        <v>2019</v>
      </c>
      <c r="AI182" s="114">
        <v>2020</v>
      </c>
      <c r="AJ182" s="111" t="s">
        <v>724</v>
      </c>
    </row>
    <row r="183" spans="1:36" ht="60" x14ac:dyDescent="0.25">
      <c r="A183" s="103">
        <f t="shared" si="23"/>
        <v>177</v>
      </c>
      <c r="B183" s="120" t="s">
        <v>65</v>
      </c>
      <c r="C183" s="111" t="s">
        <v>960</v>
      </c>
      <c r="D183" s="111" t="s">
        <v>961</v>
      </c>
      <c r="E183" s="111" t="s">
        <v>962</v>
      </c>
      <c r="F183" s="111" t="s">
        <v>816</v>
      </c>
      <c r="G183" s="111">
        <f t="shared" si="21"/>
        <v>1000</v>
      </c>
      <c r="H183" s="121"/>
      <c r="I183" s="121"/>
      <c r="J183" s="121">
        <f>Master2017[[#This Row],[Initial Budget]]-Master2017[[#This Row],[Previously Committed Funds]]</f>
        <v>0</v>
      </c>
      <c r="K183" s="121"/>
      <c r="L183" s="122"/>
      <c r="M183" s="128">
        <f>Master2017[[#This Row],[Design $ (Add/Deduct)]]+Master2017[[#This Row],[Construction $ (Add/Ded)]]</f>
        <v>0</v>
      </c>
      <c r="N183" s="141">
        <v>200000</v>
      </c>
      <c r="O183" s="114">
        <v>2019</v>
      </c>
      <c r="P183" s="111" t="s">
        <v>32</v>
      </c>
      <c r="Q183" s="114">
        <f>VLOOKUP(P183,Importance,2,FALSE)</f>
        <v>1</v>
      </c>
      <c r="R183" s="114">
        <v>1</v>
      </c>
      <c r="S183" s="114">
        <f t="shared" si="25"/>
        <v>3</v>
      </c>
      <c r="T183" s="113" t="s">
        <v>33</v>
      </c>
      <c r="U183" s="114">
        <f t="shared" si="26"/>
        <v>1</v>
      </c>
      <c r="V183" s="114" t="s">
        <v>30</v>
      </c>
      <c r="W183" s="114">
        <v>0</v>
      </c>
      <c r="X183" s="114">
        <v>0</v>
      </c>
      <c r="Y183" s="114">
        <v>0</v>
      </c>
      <c r="Z183" s="114">
        <v>0</v>
      </c>
      <c r="AA183" s="114">
        <v>0</v>
      </c>
      <c r="AB183" s="114">
        <v>0</v>
      </c>
      <c r="AC183" s="114">
        <v>0</v>
      </c>
      <c r="AD183" s="113" t="s">
        <v>39</v>
      </c>
      <c r="AE183" s="114">
        <f>VLOOKUP(Master2017[[#This Row],[Elevated Priority]],Epriority,2,)</f>
        <v>-30</v>
      </c>
      <c r="AF183" s="114">
        <f>IF(Master2017[[#This Row],[Status]]="Active",Master2017[[#This Row],[Status_Score]],IF(C183="","",Q183+G183+S183+U183+AE183-5))</f>
        <v>970</v>
      </c>
      <c r="AG183" s="114"/>
      <c r="AH183" s="114">
        <v>2019</v>
      </c>
      <c r="AI183" s="114">
        <v>2020</v>
      </c>
      <c r="AJ183" s="111"/>
    </row>
    <row r="184" spans="1:36" ht="45" x14ac:dyDescent="0.25">
      <c r="A184" s="103">
        <f t="shared" si="23"/>
        <v>178</v>
      </c>
      <c r="B184" s="120" t="s">
        <v>91</v>
      </c>
      <c r="C184" s="138" t="s">
        <v>973</v>
      </c>
      <c r="D184" s="138" t="s">
        <v>973</v>
      </c>
      <c r="E184" s="139" t="s">
        <v>882</v>
      </c>
      <c r="F184" s="111" t="s">
        <v>816</v>
      </c>
      <c r="G184" s="111">
        <f t="shared" si="21"/>
        <v>1000</v>
      </c>
      <c r="H184" s="121"/>
      <c r="I184" s="121"/>
      <c r="J184" s="121">
        <f>Master2017[[#This Row],[Initial Budget]]-Master2017[[#This Row],[Previously Committed Funds]]</f>
        <v>0</v>
      </c>
      <c r="K184" s="121"/>
      <c r="L184" s="122"/>
      <c r="M184" s="128">
        <f>Master2017[[#This Row],[Design $ (Add/Deduct)]]+Master2017[[#This Row],[Construction $ (Add/Ded)]]</f>
        <v>0</v>
      </c>
      <c r="N184" s="140">
        <v>40000</v>
      </c>
      <c r="O184" s="114">
        <v>2020</v>
      </c>
      <c r="P184" s="111" t="s">
        <v>46</v>
      </c>
      <c r="Q184" s="114">
        <f>VLOOKUP(P184,Importance,2,FALSE)</f>
        <v>50</v>
      </c>
      <c r="R184" s="114">
        <v>0</v>
      </c>
      <c r="S184" s="114" t="e">
        <f t="shared" si="25"/>
        <v>#N/A</v>
      </c>
      <c r="T184" s="114" t="s">
        <v>41</v>
      </c>
      <c r="U184" s="114">
        <f t="shared" si="26"/>
        <v>4</v>
      </c>
      <c r="V184" s="114" t="s">
        <v>30</v>
      </c>
      <c r="W184" s="114">
        <v>0</v>
      </c>
      <c r="X184" s="114">
        <v>0</v>
      </c>
      <c r="Y184" s="114">
        <v>0</v>
      </c>
      <c r="Z184" s="114">
        <v>0</v>
      </c>
      <c r="AA184" s="114">
        <v>0</v>
      </c>
      <c r="AB184" s="114">
        <v>0</v>
      </c>
      <c r="AC184" s="114">
        <v>0</v>
      </c>
      <c r="AD184" s="113" t="s">
        <v>29</v>
      </c>
      <c r="AE184" s="114">
        <f>VLOOKUP(Master2017[[#This Row],[Elevated Priority]],Epriority,2,)</f>
        <v>0</v>
      </c>
      <c r="AF184" s="114" t="e">
        <f>IF(Master2017[[#This Row],[Status]]="Active",Master2017[[#This Row],[Status_Score]],IF(C184="","",Q184+G184+S184+U184+AE184-5))</f>
        <v>#N/A</v>
      </c>
      <c r="AG184" s="114"/>
      <c r="AH184" s="114"/>
      <c r="AI184" s="114">
        <v>2020</v>
      </c>
      <c r="AJ184" s="111"/>
    </row>
    <row r="185" spans="1:36" ht="45" x14ac:dyDescent="0.25">
      <c r="A185" s="103">
        <f t="shared" si="23"/>
        <v>179</v>
      </c>
      <c r="B185" s="120" t="s">
        <v>91</v>
      </c>
      <c r="C185" s="138" t="s">
        <v>794</v>
      </c>
      <c r="D185" s="138" t="s">
        <v>794</v>
      </c>
      <c r="E185" s="139" t="s">
        <v>882</v>
      </c>
      <c r="F185" s="111" t="s">
        <v>816</v>
      </c>
      <c r="G185" s="111">
        <f t="shared" si="21"/>
        <v>1000</v>
      </c>
      <c r="H185" s="121"/>
      <c r="I185" s="121"/>
      <c r="J185" s="121">
        <f>Master2017[[#This Row],[Initial Budget]]-Master2017[[#This Row],[Previously Committed Funds]]</f>
        <v>0</v>
      </c>
      <c r="K185" s="121"/>
      <c r="L185" s="121"/>
      <c r="M185" s="128">
        <f>Master2017[[#This Row],[Design $ (Add/Deduct)]]+Master2017[[#This Row],[Construction $ (Add/Ded)]]</f>
        <v>0</v>
      </c>
      <c r="N185" s="146">
        <v>40000</v>
      </c>
      <c r="O185" s="114">
        <v>2020</v>
      </c>
      <c r="P185" s="111" t="s">
        <v>46</v>
      </c>
      <c r="Q185" s="114">
        <f>VLOOKUP(P185,Importance,2,FALSE)</f>
        <v>50</v>
      </c>
      <c r="R185" s="147">
        <v>1</v>
      </c>
      <c r="S185" s="114">
        <f t="shared" si="25"/>
        <v>3</v>
      </c>
      <c r="T185" s="114" t="s">
        <v>41</v>
      </c>
      <c r="U185" s="114">
        <f t="shared" si="26"/>
        <v>4</v>
      </c>
      <c r="V185" s="147" t="s">
        <v>30</v>
      </c>
      <c r="W185" s="114">
        <v>0</v>
      </c>
      <c r="X185" s="114">
        <v>0</v>
      </c>
      <c r="Y185" s="114">
        <v>0</v>
      </c>
      <c r="Z185" s="114">
        <v>0</v>
      </c>
      <c r="AA185" s="114">
        <v>0</v>
      </c>
      <c r="AB185" s="114">
        <v>0</v>
      </c>
      <c r="AC185" s="114">
        <v>0</v>
      </c>
      <c r="AD185" s="113" t="s">
        <v>29</v>
      </c>
      <c r="AE185" s="114">
        <f>VLOOKUP(Master2017[[#This Row],[Elevated Priority]],Epriority,2,)</f>
        <v>0</v>
      </c>
      <c r="AF185" s="114">
        <f>IF(Master2017[[#This Row],[Status]]="Active",Master2017[[#This Row],[Status_Score]],IF(C185="","",Q185+G185+S185+U185+AE185-5))</f>
        <v>1052</v>
      </c>
      <c r="AG185" s="114"/>
      <c r="AH185" s="114"/>
      <c r="AI185" s="114">
        <v>2021</v>
      </c>
      <c r="AJ185" s="111"/>
    </row>
    <row r="186" spans="1:36" ht="75" x14ac:dyDescent="0.25">
      <c r="A186" s="103">
        <f t="shared" si="23"/>
        <v>180</v>
      </c>
      <c r="B186" s="120" t="s">
        <v>65</v>
      </c>
      <c r="C186" s="111" t="s">
        <v>733</v>
      </c>
      <c r="D186" s="111" t="s">
        <v>709</v>
      </c>
      <c r="E186" s="111" t="s">
        <v>735</v>
      </c>
      <c r="F186" s="111" t="s">
        <v>816</v>
      </c>
      <c r="G186" s="111">
        <f t="shared" si="21"/>
        <v>1000</v>
      </c>
      <c r="H186" s="121">
        <v>1319975</v>
      </c>
      <c r="I186" s="121">
        <v>230202.8</v>
      </c>
      <c r="J186" s="121">
        <f>Master2017[[#This Row],[Initial Budget]]-Master2017[[#This Row],[Previously Committed Funds]]</f>
        <v>1089772.2</v>
      </c>
      <c r="K186" s="121">
        <v>89000</v>
      </c>
      <c r="L186" s="122">
        <f>2425000-Master2017[[#This Row],[Design $ (Add/Deduct)]]-Master2017[[#This Row],[Current Available Balance]]-Master2017[[#This Row],[Previously Committed Funds]]</f>
        <v>1016025</v>
      </c>
      <c r="M186" s="128">
        <f>Master2017[[#This Row],[Design $ (Add/Deduct)]]+Master2017[[#This Row],[Construction $ (Add/Ded)]]</f>
        <v>1105025</v>
      </c>
      <c r="N186" s="129">
        <f>Master2017[[#This Row],[Total Add]]+Master2017[[#This Row],[Current Available Balance]]+Master2017[[#This Row],[Previously Committed Funds]]</f>
        <v>2425000</v>
      </c>
      <c r="O186" s="113">
        <v>2018</v>
      </c>
      <c r="P186" s="111" t="s">
        <v>29</v>
      </c>
      <c r="Q186" s="111">
        <f>VLOOKUP(P186,Importance, 2, FALSE)</f>
        <v>0</v>
      </c>
      <c r="R186" s="113" t="s">
        <v>29</v>
      </c>
      <c r="S186" s="111">
        <f t="shared" si="25"/>
        <v>0</v>
      </c>
      <c r="T186" s="111" t="s">
        <v>29</v>
      </c>
      <c r="U186" s="111">
        <f t="shared" si="26"/>
        <v>0</v>
      </c>
      <c r="V186" s="111" t="s">
        <v>38</v>
      </c>
      <c r="W186" s="111"/>
      <c r="X186" s="111"/>
      <c r="Y186" s="111"/>
      <c r="Z186" s="111"/>
      <c r="AA186" s="111"/>
      <c r="AB186" s="111"/>
      <c r="AC186" s="111"/>
      <c r="AD186" s="111" t="s">
        <v>29</v>
      </c>
      <c r="AE186" s="111">
        <f>VLOOKUP(Master2017[[#This Row],[Elevated Priority]],Epriority,2,)</f>
        <v>0</v>
      </c>
      <c r="AF186" s="113">
        <f>IF(Master2017[[#This Row],[Status]]="Active",Master2017[[#This Row],[Status_Score]],IF(C186="","",Q186+G186+S186+U186+AE186-5))</f>
        <v>995</v>
      </c>
      <c r="AG186" s="113" t="s">
        <v>715</v>
      </c>
      <c r="AH186" s="113">
        <v>2017</v>
      </c>
      <c r="AI186" s="113">
        <v>2020</v>
      </c>
      <c r="AJ186" s="111" t="s">
        <v>740</v>
      </c>
    </row>
    <row r="187" spans="1:36" ht="30" x14ac:dyDescent="0.25">
      <c r="A187" s="103">
        <f t="shared" si="23"/>
        <v>181</v>
      </c>
      <c r="B187" s="120" t="s">
        <v>732</v>
      </c>
      <c r="C187" s="111" t="s">
        <v>733</v>
      </c>
      <c r="D187" s="111" t="s">
        <v>709</v>
      </c>
      <c r="E187" s="111" t="s">
        <v>735</v>
      </c>
      <c r="F187" s="111" t="s">
        <v>816</v>
      </c>
      <c r="G187" s="111">
        <f t="shared" si="21"/>
        <v>1000</v>
      </c>
      <c r="H187" s="121">
        <v>342669</v>
      </c>
      <c r="I187" s="121">
        <v>11710</v>
      </c>
      <c r="J187" s="121">
        <f>Master2017[[#This Row],[Initial Budget]]-Master2017[[#This Row],[Previously Committed Funds]]</f>
        <v>330959</v>
      </c>
      <c r="K187" s="121">
        <v>0</v>
      </c>
      <c r="L187" s="122">
        <f>175000-Master2017[[#This Row],[Current Available Balance]]-Master2017[[#This Row],[Previously Committed Funds]]</f>
        <v>-167669</v>
      </c>
      <c r="M187" s="128">
        <f>Master2017[[#This Row],[Design $ (Add/Deduct)]]+Master2017[[#This Row],[Construction $ (Add/Ded)]]</f>
        <v>-167669</v>
      </c>
      <c r="N187" s="129">
        <f>Master2017[[#This Row],[Total Add]]+Master2017[[#This Row],[Current Available Balance]]+Master2017[[#This Row],[Previously Committed Funds]]</f>
        <v>175000</v>
      </c>
      <c r="O187" s="113">
        <v>2017</v>
      </c>
      <c r="P187" s="111" t="s">
        <v>29</v>
      </c>
      <c r="Q187" s="111"/>
      <c r="R187" s="113">
        <v>1</v>
      </c>
      <c r="S187" s="111"/>
      <c r="T187" s="111" t="s">
        <v>37</v>
      </c>
      <c r="U187" s="111"/>
      <c r="V187" s="111" t="s">
        <v>38</v>
      </c>
      <c r="W187" s="111"/>
      <c r="X187" s="111"/>
      <c r="Y187" s="111"/>
      <c r="Z187" s="111"/>
      <c r="AA187" s="111"/>
      <c r="AB187" s="111"/>
      <c r="AC187" s="111"/>
      <c r="AD187" s="111" t="s">
        <v>29</v>
      </c>
      <c r="AE187" s="111">
        <f>VLOOKUP(Master2017[[#This Row],[Elevated Priority]],Epriority,2,)</f>
        <v>0</v>
      </c>
      <c r="AF187" s="113">
        <f>IF(Master2017[[#This Row],[Status]]="Active",Master2017[[#This Row],[Status_Score]],IF(C187="","",Q187+G187+S187+U187+AE187-5))</f>
        <v>995</v>
      </c>
      <c r="AG187" s="113" t="s">
        <v>715</v>
      </c>
      <c r="AH187" s="113">
        <v>2017</v>
      </c>
      <c r="AI187" s="113">
        <v>2020</v>
      </c>
      <c r="AJ187" s="111"/>
    </row>
    <row r="188" spans="1:36" ht="30" x14ac:dyDescent="0.25">
      <c r="A188" s="103">
        <f t="shared" si="23"/>
        <v>182</v>
      </c>
      <c r="B188" s="120" t="s">
        <v>65</v>
      </c>
      <c r="C188" s="111" t="s">
        <v>734</v>
      </c>
      <c r="D188" s="111" t="s">
        <v>709</v>
      </c>
      <c r="E188" s="111" t="s">
        <v>868</v>
      </c>
      <c r="F188" s="111" t="s">
        <v>816</v>
      </c>
      <c r="G188" s="111">
        <f t="shared" si="21"/>
        <v>1000</v>
      </c>
      <c r="H188" s="121">
        <v>0</v>
      </c>
      <c r="I188" s="121">
        <v>0</v>
      </c>
      <c r="J188" s="121">
        <f>Master2017[[#This Row],[Initial Budget]]-Master2017[[#This Row],[Previously Committed Funds]]</f>
        <v>0</v>
      </c>
      <c r="K188" s="121">
        <v>9000</v>
      </c>
      <c r="L188" s="122">
        <v>218000</v>
      </c>
      <c r="M188" s="128">
        <f>Master2017[[#This Row],[Design $ (Add/Deduct)]]+Master2017[[#This Row],[Construction $ (Add/Ded)]]</f>
        <v>227000</v>
      </c>
      <c r="N188" s="129">
        <f>Master2017[[#This Row],[Total Add]]+Master2017[[#This Row],[Current Available Balance]]+Master2017[[#This Row],[Previously Committed Funds]]</f>
        <v>227000</v>
      </c>
      <c r="O188" s="113">
        <v>2017</v>
      </c>
      <c r="P188" s="111" t="s">
        <v>29</v>
      </c>
      <c r="Q188" s="111"/>
      <c r="R188" s="113">
        <v>1</v>
      </c>
      <c r="S188" s="111"/>
      <c r="T188" s="111" t="s">
        <v>37</v>
      </c>
      <c r="U188" s="111"/>
      <c r="V188" s="111" t="s">
        <v>38</v>
      </c>
      <c r="W188" s="111"/>
      <c r="X188" s="111"/>
      <c r="Y188" s="111"/>
      <c r="Z188" s="111"/>
      <c r="AA188" s="111"/>
      <c r="AB188" s="111"/>
      <c r="AC188" s="111"/>
      <c r="AD188" s="111" t="s">
        <v>29</v>
      </c>
      <c r="AE188" s="111">
        <f>VLOOKUP(Master2017[[#This Row],[Elevated Priority]],Epriority,2,)</f>
        <v>0</v>
      </c>
      <c r="AF188" s="113">
        <f>IF(Master2017[[#This Row],[Status]]="Active",Master2017[[#This Row],[Status_Score]],IF(C188="","",Q188+G188+S188+U188+AE188-5))</f>
        <v>995</v>
      </c>
      <c r="AG188" s="113" t="s">
        <v>715</v>
      </c>
      <c r="AH188" s="113">
        <v>2017</v>
      </c>
      <c r="AI188" s="113">
        <v>2020</v>
      </c>
      <c r="AJ188" s="111"/>
    </row>
    <row r="189" spans="1:36" ht="30" x14ac:dyDescent="0.25">
      <c r="A189" s="103">
        <f t="shared" si="23"/>
        <v>183</v>
      </c>
      <c r="B189" s="120" t="s">
        <v>65</v>
      </c>
      <c r="C189" s="111" t="s">
        <v>869</v>
      </c>
      <c r="D189" s="111" t="s">
        <v>709</v>
      </c>
      <c r="E189" s="111" t="s">
        <v>870</v>
      </c>
      <c r="F189" s="111" t="s">
        <v>816</v>
      </c>
      <c r="G189" s="111">
        <f t="shared" si="21"/>
        <v>1000</v>
      </c>
      <c r="H189" s="121">
        <v>450000</v>
      </c>
      <c r="I189" s="121">
        <v>101407.72</v>
      </c>
      <c r="J189" s="121">
        <f>Master2017[[#This Row],[Initial Budget]]-Master2017[[#This Row],[Previously Committed Funds]]</f>
        <v>348592.28</v>
      </c>
      <c r="K189" s="121">
        <v>21160</v>
      </c>
      <c r="L189" s="122">
        <f>635435-Master2017[[#This Row],[Design $ (Add/Deduct)]]-Master2017[[#This Row],[Current Available Balance]]-Master2017[[#This Row],[Previously Committed Funds]]</f>
        <v>164274.99999999997</v>
      </c>
      <c r="M189" s="128">
        <f>Master2017[[#This Row],[Design $ (Add/Deduct)]]+Master2017[[#This Row],[Construction $ (Add/Ded)]]</f>
        <v>185434.99999999997</v>
      </c>
      <c r="N189" s="129">
        <f>Master2017[[#This Row],[Total Add]]+Master2017[[#This Row],[Current Available Balance]]+Master2017[[#This Row],[Previously Committed Funds]]</f>
        <v>635435</v>
      </c>
      <c r="O189" s="113">
        <v>2017</v>
      </c>
      <c r="P189" s="111" t="s">
        <v>29</v>
      </c>
      <c r="Q189" s="111"/>
      <c r="R189" s="113">
        <v>1</v>
      </c>
      <c r="S189" s="111"/>
      <c r="T189" s="111" t="s">
        <v>37</v>
      </c>
      <c r="U189" s="111"/>
      <c r="V189" s="111" t="s">
        <v>38</v>
      </c>
      <c r="W189" s="111"/>
      <c r="X189" s="111"/>
      <c r="Y189" s="111"/>
      <c r="Z189" s="111"/>
      <c r="AA189" s="111"/>
      <c r="AB189" s="111"/>
      <c r="AC189" s="111"/>
      <c r="AD189" s="111" t="s">
        <v>29</v>
      </c>
      <c r="AE189" s="111">
        <f>VLOOKUP(Master2017[[#This Row],[Elevated Priority]],Epriority,2,)</f>
        <v>0</v>
      </c>
      <c r="AF189" s="113">
        <f>IF(Master2017[[#This Row],[Status]]="Active",Master2017[[#This Row],[Status_Score]],IF(C189="","",Q189+G189+S189+U189+AE189-5))</f>
        <v>995</v>
      </c>
      <c r="AG189" s="113" t="s">
        <v>715</v>
      </c>
      <c r="AH189" s="113">
        <v>2017</v>
      </c>
      <c r="AI189" s="113">
        <v>2020</v>
      </c>
      <c r="AJ189" s="111"/>
    </row>
    <row r="190" spans="1:36" hidden="1" x14ac:dyDescent="0.25">
      <c r="A190" s="103">
        <f t="shared" si="23"/>
        <v>184</v>
      </c>
      <c r="B190" s="48" t="s">
        <v>94</v>
      </c>
      <c r="C190" s="10" t="s">
        <v>592</v>
      </c>
      <c r="D190" s="10" t="s">
        <v>593</v>
      </c>
      <c r="E190" s="10"/>
      <c r="F190" s="10" t="s">
        <v>816</v>
      </c>
      <c r="G190" s="10">
        <f t="shared" si="21"/>
        <v>1000</v>
      </c>
      <c r="H190" s="51"/>
      <c r="I190" s="51"/>
      <c r="J190" s="51">
        <f>Master2017[[#This Row],[Initial Budget]]-Master2017[[#This Row],[Previously Committed Funds]]</f>
        <v>0</v>
      </c>
      <c r="K190" s="51"/>
      <c r="L190" s="124"/>
      <c r="M190" s="118">
        <f>Master2017[[#This Row],[Design $ (Add/Deduct)]]+Master2017[[#This Row],[Construction $ (Add/Ded)]]</f>
        <v>0</v>
      </c>
      <c r="N190" s="126">
        <v>350000</v>
      </c>
      <c r="O190" s="17">
        <v>2019</v>
      </c>
      <c r="P190" s="10" t="s">
        <v>686</v>
      </c>
      <c r="Q190" s="8">
        <f>VLOOKUP(P190,Importance,2,FALSE)</f>
        <v>60</v>
      </c>
      <c r="R190" s="8">
        <v>16</v>
      </c>
      <c r="S190" s="8">
        <f t="shared" ref="S190:S205" si="27">VLOOKUP(R190,Department,2,FALSE)</f>
        <v>24</v>
      </c>
      <c r="T190" s="8" t="s">
        <v>43</v>
      </c>
      <c r="U190" s="8">
        <f t="shared" ref="U190:U205" si="28">VLOOKUP(T190,Urgency,2,FALSE)</f>
        <v>16</v>
      </c>
      <c r="V190" s="8" t="s">
        <v>34</v>
      </c>
      <c r="W190" s="114">
        <v>0</v>
      </c>
      <c r="X190" s="8">
        <v>0</v>
      </c>
      <c r="Y190" s="8">
        <v>-3</v>
      </c>
      <c r="Z190" s="8">
        <v>0</v>
      </c>
      <c r="AA190" s="8">
        <v>0</v>
      </c>
      <c r="AB190" s="8">
        <v>0</v>
      </c>
      <c r="AC190" s="8">
        <v>0</v>
      </c>
      <c r="AD190" s="17" t="s">
        <v>29</v>
      </c>
      <c r="AE190" s="8">
        <f>VLOOKUP(Master2017[[#This Row],[Elevated Priority]],Epriority,2,)</f>
        <v>0</v>
      </c>
      <c r="AF190" s="8">
        <f>IF(Master2017[[#This Row],[Status]]="Active",Master2017[[#This Row],[Status_Score]],IF(C190="","",Q190+G190+S190+U190+AE190-5))</f>
        <v>1095</v>
      </c>
      <c r="AG190" s="8"/>
      <c r="AH190" s="8"/>
      <c r="AI190" s="8"/>
      <c r="AJ190" s="10" t="s">
        <v>985</v>
      </c>
    </row>
    <row r="191" spans="1:36" ht="60" x14ac:dyDescent="0.25">
      <c r="A191" s="103">
        <f t="shared" si="23"/>
        <v>185</v>
      </c>
      <c r="B191" s="120" t="s">
        <v>91</v>
      </c>
      <c r="C191" s="111" t="s">
        <v>677</v>
      </c>
      <c r="D191" s="111" t="s">
        <v>678</v>
      </c>
      <c r="E191" s="111" t="s">
        <v>98</v>
      </c>
      <c r="F191" s="111" t="s">
        <v>816</v>
      </c>
      <c r="G191" s="111">
        <f t="shared" si="21"/>
        <v>1000</v>
      </c>
      <c r="H191" s="121">
        <v>35000</v>
      </c>
      <c r="I191" s="121">
        <v>14750</v>
      </c>
      <c r="J191" s="121">
        <f>Master2017[[#This Row],[Initial Budget]]-Master2017[[#This Row],[Previously Committed Funds]]</f>
        <v>20250</v>
      </c>
      <c r="K191" s="121"/>
      <c r="L191" s="122">
        <v>600000</v>
      </c>
      <c r="M191" s="128">
        <f>Master2017[[#This Row],[Design $ (Add/Deduct)]]+Master2017[[#This Row],[Construction $ (Add/Ded)]]</f>
        <v>600000</v>
      </c>
      <c r="N191" s="140">
        <v>350000</v>
      </c>
      <c r="O191" s="114">
        <v>2018</v>
      </c>
      <c r="P191" s="111" t="s">
        <v>32</v>
      </c>
      <c r="Q191" s="114">
        <f>VLOOKUP(P191,Importance,2,FALSE)</f>
        <v>1</v>
      </c>
      <c r="R191" s="114">
        <v>1</v>
      </c>
      <c r="S191" s="114">
        <f t="shared" si="27"/>
        <v>3</v>
      </c>
      <c r="T191" s="114" t="s">
        <v>37</v>
      </c>
      <c r="U191" s="114">
        <f t="shared" si="28"/>
        <v>3</v>
      </c>
      <c r="V191" s="114" t="s">
        <v>30</v>
      </c>
      <c r="W191" s="114">
        <v>0</v>
      </c>
      <c r="X191" s="114">
        <v>0</v>
      </c>
      <c r="Y191" s="114">
        <v>0</v>
      </c>
      <c r="Z191" s="114">
        <v>0</v>
      </c>
      <c r="AA191" s="114">
        <v>0</v>
      </c>
      <c r="AB191" s="114">
        <v>0</v>
      </c>
      <c r="AC191" s="114">
        <v>0</v>
      </c>
      <c r="AD191" s="113" t="s">
        <v>29</v>
      </c>
      <c r="AE191" s="114">
        <f>VLOOKUP(Master2017[[#This Row],[Elevated Priority]],Epriority,2,)</f>
        <v>0</v>
      </c>
      <c r="AF191" s="114">
        <f>IF(Master2017[[#This Row],[Status]]="Active",Master2017[[#This Row],[Status_Score]],IF(C191="","",Q191+G191+S191+U191+AE191-5))</f>
        <v>1002</v>
      </c>
      <c r="AG191" s="114" t="s">
        <v>754</v>
      </c>
      <c r="AH191" s="114">
        <v>2019</v>
      </c>
      <c r="AI191" s="114">
        <v>2020</v>
      </c>
      <c r="AJ191" s="111" t="s">
        <v>747</v>
      </c>
    </row>
    <row r="192" spans="1:36" ht="60" x14ac:dyDescent="0.25">
      <c r="A192" s="103">
        <f t="shared" si="23"/>
        <v>186</v>
      </c>
      <c r="B192" s="120" t="s">
        <v>72</v>
      </c>
      <c r="C192" s="111" t="s">
        <v>74</v>
      </c>
      <c r="D192" s="111" t="s">
        <v>844</v>
      </c>
      <c r="E192" s="111" t="s">
        <v>843</v>
      </c>
      <c r="F192" s="111" t="s">
        <v>816</v>
      </c>
      <c r="G192" s="111">
        <f t="shared" si="21"/>
        <v>1000</v>
      </c>
      <c r="H192" s="121"/>
      <c r="I192" s="121"/>
      <c r="J192" s="121">
        <f>Master2017[[#This Row],[Initial Budget]]-Master2017[[#This Row],[Previously Committed Funds]]</f>
        <v>0</v>
      </c>
      <c r="K192" s="121"/>
      <c r="L192" s="122"/>
      <c r="M192" s="128">
        <f>Master2017[[#This Row],[Design $ (Add/Deduct)]]+Master2017[[#This Row],[Construction $ (Add/Ded)]]</f>
        <v>0</v>
      </c>
      <c r="N192" s="140">
        <v>500000</v>
      </c>
      <c r="O192" s="114">
        <v>2018</v>
      </c>
      <c r="P192" s="111" t="s">
        <v>32</v>
      </c>
      <c r="Q192" s="114">
        <f>VLOOKUP(P192,Importance, 2, FALSE)</f>
        <v>1</v>
      </c>
      <c r="R192" s="114">
        <v>1</v>
      </c>
      <c r="S192" s="114">
        <f t="shared" si="27"/>
        <v>3</v>
      </c>
      <c r="T192" s="114" t="s">
        <v>37</v>
      </c>
      <c r="U192" s="114">
        <f t="shared" si="28"/>
        <v>3</v>
      </c>
      <c r="V192" s="114" t="s">
        <v>38</v>
      </c>
      <c r="W192" s="114"/>
      <c r="X192" s="114"/>
      <c r="Y192" s="114"/>
      <c r="Z192" s="114"/>
      <c r="AA192" s="114"/>
      <c r="AB192" s="114"/>
      <c r="AC192" s="114"/>
      <c r="AD192" s="113" t="s">
        <v>29</v>
      </c>
      <c r="AE192" s="114">
        <f>VLOOKUP(Master2017[[#This Row],[Elevated Priority]],Epriority,2,)</f>
        <v>0</v>
      </c>
      <c r="AF192" s="114">
        <f>IF(Master2017[[#This Row],[Status]]="Active",Master2017[[#This Row],[Status_Score]],IF(C192="","",Q192+G192+S192+U192+AE192-5))</f>
        <v>1002</v>
      </c>
      <c r="AG192" s="114" t="s">
        <v>758</v>
      </c>
      <c r="AH192" s="114">
        <v>2019</v>
      </c>
      <c r="AI192" s="114">
        <v>2020</v>
      </c>
      <c r="AJ192" s="111"/>
    </row>
    <row r="193" spans="1:36" ht="30" x14ac:dyDescent="0.25">
      <c r="A193" s="103">
        <f t="shared" si="23"/>
        <v>187</v>
      </c>
      <c r="B193" s="120" t="s">
        <v>646</v>
      </c>
      <c r="C193" s="111" t="s">
        <v>721</v>
      </c>
      <c r="D193" s="111" t="s">
        <v>871</v>
      </c>
      <c r="E193" s="111" t="s">
        <v>683</v>
      </c>
      <c r="F193" s="111" t="s">
        <v>816</v>
      </c>
      <c r="G193" s="111">
        <f t="shared" si="21"/>
        <v>1000</v>
      </c>
      <c r="H193" s="121">
        <v>1400000</v>
      </c>
      <c r="I193" s="121">
        <v>17787.71</v>
      </c>
      <c r="J193" s="121">
        <f>Master2017[[#This Row],[Initial Budget]]-Master2017[[#This Row],[Previously Committed Funds]]</f>
        <v>1382212.29</v>
      </c>
      <c r="K193" s="121">
        <v>0</v>
      </c>
      <c r="L193" s="122">
        <v>-750000</v>
      </c>
      <c r="M193" s="128">
        <f>Master2017[[#This Row],[Design $ (Add/Deduct)]]+Master2017[[#This Row],[Construction $ (Add/Ded)]]</f>
        <v>-750000</v>
      </c>
      <c r="N193" s="129">
        <f>Master2017[[#This Row],[Total Add]]+Master2017[[#This Row],[Current Available Balance]]+Master2017[[#This Row],[Previously Committed Funds]]</f>
        <v>650000</v>
      </c>
      <c r="O193" s="114">
        <v>2019</v>
      </c>
      <c r="P193" s="111" t="s">
        <v>36</v>
      </c>
      <c r="Q193" s="114">
        <f>VLOOKUP(P193,Importance, 2, FALSE)</f>
        <v>10</v>
      </c>
      <c r="R193" s="114">
        <v>1</v>
      </c>
      <c r="S193" s="114">
        <f t="shared" si="27"/>
        <v>3</v>
      </c>
      <c r="T193" s="114" t="s">
        <v>37</v>
      </c>
      <c r="U193" s="114">
        <f t="shared" si="28"/>
        <v>3</v>
      </c>
      <c r="V193" s="114" t="s">
        <v>38</v>
      </c>
      <c r="W193" s="114"/>
      <c r="X193" s="114"/>
      <c r="Y193" s="114"/>
      <c r="Z193" s="114"/>
      <c r="AA193" s="114"/>
      <c r="AB193" s="114"/>
      <c r="AC193" s="114"/>
      <c r="AD193" s="113" t="s">
        <v>29</v>
      </c>
      <c r="AE193" s="114">
        <f>VLOOKUP(Master2017[[#This Row],[Elevated Priority]],Epriority,2,)</f>
        <v>0</v>
      </c>
      <c r="AF193" s="114">
        <f>IF(Master2017[[#This Row],[Status]]="Active",Master2017[[#This Row],[Status_Score]],IF(C193="","",Q193+G193+S193+U193+AE193-5))</f>
        <v>1011</v>
      </c>
      <c r="AG193" s="114" t="s">
        <v>758</v>
      </c>
      <c r="AH193" s="114">
        <v>2019</v>
      </c>
      <c r="AI193" s="114">
        <v>2020</v>
      </c>
      <c r="AJ193" s="111" t="s">
        <v>713</v>
      </c>
    </row>
    <row r="194" spans="1:36" ht="60" x14ac:dyDescent="0.25">
      <c r="A194" s="103">
        <f t="shared" si="23"/>
        <v>188</v>
      </c>
      <c r="B194" s="120" t="s">
        <v>61</v>
      </c>
      <c r="C194" s="111" t="s">
        <v>742</v>
      </c>
      <c r="D194" s="111" t="s">
        <v>847</v>
      </c>
      <c r="E194" s="111" t="s">
        <v>848</v>
      </c>
      <c r="F194" s="111" t="s">
        <v>816</v>
      </c>
      <c r="G194" s="111">
        <f t="shared" ref="G194:G205" si="29">VLOOKUP(F194,Status_Score,2,FALSE)</f>
        <v>1000</v>
      </c>
      <c r="H194" s="121">
        <v>350000</v>
      </c>
      <c r="I194" s="121">
        <v>287550</v>
      </c>
      <c r="J194" s="121">
        <f>Master2017[[#This Row],[Initial Budget]]-Master2017[[#This Row],[Previously Committed Funds]]</f>
        <v>62450</v>
      </c>
      <c r="K194" s="121">
        <v>30000</v>
      </c>
      <c r="L194" s="122">
        <v>2200000</v>
      </c>
      <c r="M194" s="128">
        <f>Master2017[[#This Row],[Design $ (Add/Deduct)]]+Master2017[[#This Row],[Construction $ (Add/Ded)]]</f>
        <v>2230000</v>
      </c>
      <c r="N194" s="129">
        <f>Master2017[[#This Row],[Total Add]]+Master2017[[#This Row],[Current Available Balance]]+Master2017[[#This Row],[Previously Committed Funds]]</f>
        <v>2580000</v>
      </c>
      <c r="O194" s="113">
        <v>2018</v>
      </c>
      <c r="P194" s="111" t="s">
        <v>29</v>
      </c>
      <c r="Q194" s="111">
        <f>VLOOKUP(P194,Importance, 2, FALSE)</f>
        <v>0</v>
      </c>
      <c r="R194" s="113" t="s">
        <v>29</v>
      </c>
      <c r="S194" s="111">
        <f t="shared" si="27"/>
        <v>0</v>
      </c>
      <c r="T194" s="111" t="s">
        <v>29</v>
      </c>
      <c r="U194" s="111">
        <f t="shared" si="28"/>
        <v>0</v>
      </c>
      <c r="V194" s="111" t="s">
        <v>38</v>
      </c>
      <c r="W194" s="111"/>
      <c r="X194" s="111"/>
      <c r="Y194" s="111"/>
      <c r="Z194" s="111"/>
      <c r="AA194" s="111"/>
      <c r="AB194" s="111"/>
      <c r="AC194" s="111"/>
      <c r="AD194" s="111" t="s">
        <v>29</v>
      </c>
      <c r="AE194" s="111">
        <f>VLOOKUP(Master2017[[#This Row],[Elevated Priority]],Epriority,2,)</f>
        <v>0</v>
      </c>
      <c r="AF194" s="113">
        <f>IF(Master2017[[#This Row],[Status]]="Active",Master2017[[#This Row],[Status_Score]],IF(C194="","",Q194+G194+S194+U194+AE194-5))</f>
        <v>995</v>
      </c>
      <c r="AG194" s="114" t="s">
        <v>757</v>
      </c>
      <c r="AH194" s="114">
        <v>2018</v>
      </c>
      <c r="AI194" s="114">
        <v>2020</v>
      </c>
      <c r="AJ194" s="111"/>
    </row>
    <row r="195" spans="1:36" ht="75" x14ac:dyDescent="0.25">
      <c r="A195" s="103">
        <f t="shared" si="23"/>
        <v>189</v>
      </c>
      <c r="B195" s="120" t="s">
        <v>61</v>
      </c>
      <c r="C195" s="111" t="s">
        <v>743</v>
      </c>
      <c r="D195" s="111" t="s">
        <v>849</v>
      </c>
      <c r="E195" s="111" t="s">
        <v>850</v>
      </c>
      <c r="F195" s="111" t="s">
        <v>816</v>
      </c>
      <c r="G195" s="111">
        <f t="shared" si="29"/>
        <v>1000</v>
      </c>
      <c r="H195" s="121">
        <v>0</v>
      </c>
      <c r="I195" s="121">
        <v>0</v>
      </c>
      <c r="J195" s="121">
        <f>Master2017[[#This Row],[Initial Budget]]-Master2017[[#This Row],[Previously Committed Funds]]</f>
        <v>0</v>
      </c>
      <c r="K195" s="121">
        <v>280000</v>
      </c>
      <c r="L195" s="122">
        <v>5000000</v>
      </c>
      <c r="M195" s="128">
        <f>Master2017[[#This Row],[Design $ (Add/Deduct)]]+Master2017[[#This Row],[Construction $ (Add/Ded)]]</f>
        <v>5280000</v>
      </c>
      <c r="N195" s="129">
        <f>Master2017[[#This Row],[Total Add]]+Master2017[[#This Row],[Current Available Balance]]+Master2017[[#This Row],[Previously Committed Funds]]</f>
        <v>5280000</v>
      </c>
      <c r="O195" s="113">
        <v>2018</v>
      </c>
      <c r="P195" s="111" t="s">
        <v>29</v>
      </c>
      <c r="Q195" s="111">
        <f>VLOOKUP(P195,Importance, 2, FALSE)</f>
        <v>0</v>
      </c>
      <c r="R195" s="113" t="s">
        <v>29</v>
      </c>
      <c r="S195" s="111">
        <f t="shared" si="27"/>
        <v>0</v>
      </c>
      <c r="T195" s="111" t="s">
        <v>29</v>
      </c>
      <c r="U195" s="111">
        <f t="shared" si="28"/>
        <v>0</v>
      </c>
      <c r="V195" s="111" t="s">
        <v>38</v>
      </c>
      <c r="W195" s="111"/>
      <c r="X195" s="111"/>
      <c r="Y195" s="111"/>
      <c r="Z195" s="111"/>
      <c r="AA195" s="111"/>
      <c r="AB195" s="111"/>
      <c r="AC195" s="111"/>
      <c r="AD195" s="111" t="s">
        <v>29</v>
      </c>
      <c r="AE195" s="111">
        <f>VLOOKUP(Master2017[[#This Row],[Elevated Priority]],Epriority,2,)</f>
        <v>0</v>
      </c>
      <c r="AF195" s="113">
        <f>IF(Master2017[[#This Row],[Status]]="Active",Master2017[[#This Row],[Status_Score]],IF(C195="","",Q195+G195+S195+U195+AE195-5))</f>
        <v>995</v>
      </c>
      <c r="AG195" s="114" t="s">
        <v>757</v>
      </c>
      <c r="AH195" s="114">
        <v>2018</v>
      </c>
      <c r="AI195" s="114">
        <v>2020</v>
      </c>
      <c r="AJ195" s="111"/>
    </row>
    <row r="196" spans="1:36" ht="150" x14ac:dyDescent="0.25">
      <c r="A196" s="103">
        <f t="shared" si="23"/>
        <v>190</v>
      </c>
      <c r="B196" s="120" t="s">
        <v>73</v>
      </c>
      <c r="C196" s="111" t="s">
        <v>640</v>
      </c>
      <c r="D196" s="111" t="s">
        <v>679</v>
      </c>
      <c r="E196" s="111" t="s">
        <v>877</v>
      </c>
      <c r="F196" s="111" t="s">
        <v>816</v>
      </c>
      <c r="G196" s="111">
        <f t="shared" si="29"/>
        <v>1000</v>
      </c>
      <c r="H196" s="121">
        <v>150000</v>
      </c>
      <c r="I196" s="121">
        <f>13467.55+12925.45</f>
        <v>26393</v>
      </c>
      <c r="J196" s="121">
        <f>Master2017[[#This Row],[Initial Budget]]-Master2017[[#This Row],[Previously Committed Funds]]</f>
        <v>123607</v>
      </c>
      <c r="K196" s="121"/>
      <c r="L196" s="122">
        <v>400000</v>
      </c>
      <c r="M196" s="128">
        <f>Master2017[[#This Row],[Design $ (Add/Deduct)]]+Master2017[[#This Row],[Construction $ (Add/Ded)]]</f>
        <v>400000</v>
      </c>
      <c r="N196" s="140">
        <v>650000</v>
      </c>
      <c r="O196" s="114">
        <v>2018</v>
      </c>
      <c r="P196" s="111" t="s">
        <v>36</v>
      </c>
      <c r="Q196" s="114">
        <f t="shared" ref="Q196:Q205" si="30">VLOOKUP(P196,Importance,2,FALSE)</f>
        <v>10</v>
      </c>
      <c r="R196" s="114">
        <v>1</v>
      </c>
      <c r="S196" s="114">
        <f t="shared" si="27"/>
        <v>3</v>
      </c>
      <c r="T196" s="114" t="s">
        <v>33</v>
      </c>
      <c r="U196" s="114">
        <f t="shared" si="28"/>
        <v>1</v>
      </c>
      <c r="V196" s="114" t="s">
        <v>30</v>
      </c>
      <c r="W196" s="114">
        <v>0</v>
      </c>
      <c r="X196" s="114">
        <v>0</v>
      </c>
      <c r="Y196" s="114">
        <v>0</v>
      </c>
      <c r="Z196" s="114">
        <v>0</v>
      </c>
      <c r="AA196" s="114">
        <v>0</v>
      </c>
      <c r="AB196" s="114">
        <v>0</v>
      </c>
      <c r="AC196" s="114">
        <v>0</v>
      </c>
      <c r="AD196" s="113" t="s">
        <v>29</v>
      </c>
      <c r="AE196" s="114">
        <f>VLOOKUP(Master2017[[#This Row],[Elevated Priority]],Epriority,2,)</f>
        <v>0</v>
      </c>
      <c r="AF196" s="114">
        <f>IF(Master2017[[#This Row],[Status]]="Active",Master2017[[#This Row],[Status_Score]],IF(C196="","",Q196+G196+S196+U196+AE196-5))</f>
        <v>1009</v>
      </c>
      <c r="AG196" s="114" t="s">
        <v>715</v>
      </c>
      <c r="AH196" s="114">
        <v>2019</v>
      </c>
      <c r="AI196" s="114">
        <v>2020</v>
      </c>
      <c r="AJ196" s="111" t="s">
        <v>157</v>
      </c>
    </row>
    <row r="197" spans="1:36" ht="45" x14ac:dyDescent="0.25">
      <c r="A197" s="103">
        <f t="shared" si="23"/>
        <v>191</v>
      </c>
      <c r="B197" s="120" t="s">
        <v>655</v>
      </c>
      <c r="C197" s="111" t="s">
        <v>753</v>
      </c>
      <c r="D197" s="111" t="s">
        <v>854</v>
      </c>
      <c r="E197" s="111" t="s">
        <v>880</v>
      </c>
      <c r="F197" s="111" t="s">
        <v>816</v>
      </c>
      <c r="G197" s="111">
        <f t="shared" si="29"/>
        <v>1000</v>
      </c>
      <c r="H197" s="121"/>
      <c r="I197" s="121"/>
      <c r="J197" s="121">
        <f>Master2017[[#This Row],[Initial Budget]]-Master2017[[#This Row],[Previously Committed Funds]]</f>
        <v>0</v>
      </c>
      <c r="K197" s="121"/>
      <c r="L197" s="122"/>
      <c r="M197" s="128">
        <f>Master2017[[#This Row],[Design $ (Add/Deduct)]]+Master2017[[#This Row],[Construction $ (Add/Ded)]]</f>
        <v>0</v>
      </c>
      <c r="N197" s="140">
        <v>300000</v>
      </c>
      <c r="O197" s="113">
        <v>2019</v>
      </c>
      <c r="P197" s="111" t="s">
        <v>36</v>
      </c>
      <c r="Q197" s="114">
        <f t="shared" si="30"/>
        <v>10</v>
      </c>
      <c r="R197" s="114">
        <v>10</v>
      </c>
      <c r="S197" s="114">
        <f t="shared" si="27"/>
        <v>21</v>
      </c>
      <c r="T197" s="114" t="s">
        <v>33</v>
      </c>
      <c r="U197" s="114">
        <f t="shared" si="28"/>
        <v>1</v>
      </c>
      <c r="V197" s="114" t="s">
        <v>30</v>
      </c>
      <c r="W197" s="114">
        <v>0</v>
      </c>
      <c r="X197" s="114">
        <v>0</v>
      </c>
      <c r="Y197" s="114">
        <v>0</v>
      </c>
      <c r="Z197" s="114">
        <v>0</v>
      </c>
      <c r="AA197" s="114">
        <v>0</v>
      </c>
      <c r="AB197" s="114">
        <v>0</v>
      </c>
      <c r="AC197" s="114">
        <v>0</v>
      </c>
      <c r="AD197" s="113" t="s">
        <v>29</v>
      </c>
      <c r="AE197" s="114">
        <f>VLOOKUP(Master2017[[#This Row],[Elevated Priority]],Epriority,2,)</f>
        <v>0</v>
      </c>
      <c r="AF197" s="114">
        <f>IF(Master2017[[#This Row],[Status]]="Active",Master2017[[#This Row],[Status_Score]],IF(C197="","",Q197+G197+S197+U197+AE197-5))</f>
        <v>1027</v>
      </c>
      <c r="AG197" s="114"/>
      <c r="AH197" s="114">
        <v>2019</v>
      </c>
      <c r="AI197" s="114">
        <v>2020</v>
      </c>
      <c r="AJ197" s="111" t="s">
        <v>654</v>
      </c>
    </row>
    <row r="198" spans="1:36" ht="30" x14ac:dyDescent="0.25">
      <c r="A198" s="103">
        <f t="shared" si="23"/>
        <v>192</v>
      </c>
      <c r="B198" s="120" t="s">
        <v>79</v>
      </c>
      <c r="C198" s="111" t="s">
        <v>199</v>
      </c>
      <c r="D198" s="111" t="s">
        <v>200</v>
      </c>
      <c r="E198" s="111" t="s">
        <v>201</v>
      </c>
      <c r="F198" s="111" t="s">
        <v>816</v>
      </c>
      <c r="G198" s="111">
        <f t="shared" si="29"/>
        <v>1000</v>
      </c>
      <c r="H198" s="121"/>
      <c r="I198" s="121"/>
      <c r="J198" s="121">
        <f>Master2017[[#This Row],[Initial Budget]]-Master2017[[#This Row],[Previously Committed Funds]]</f>
        <v>0</v>
      </c>
      <c r="K198" s="121"/>
      <c r="L198" s="122"/>
      <c r="M198" s="128">
        <f>Master2017[[#This Row],[Design $ (Add/Deduct)]]+Master2017[[#This Row],[Construction $ (Add/Ded)]]</f>
        <v>0</v>
      </c>
      <c r="N198" s="140">
        <v>30000</v>
      </c>
      <c r="O198" s="114">
        <v>2018</v>
      </c>
      <c r="P198" s="111" t="s">
        <v>36</v>
      </c>
      <c r="Q198" s="114">
        <f t="shared" si="30"/>
        <v>10</v>
      </c>
      <c r="R198" s="114">
        <v>4</v>
      </c>
      <c r="S198" s="114">
        <f t="shared" si="27"/>
        <v>12</v>
      </c>
      <c r="T198" s="114" t="s">
        <v>41</v>
      </c>
      <c r="U198" s="114">
        <f t="shared" si="28"/>
        <v>4</v>
      </c>
      <c r="V198" s="114" t="s">
        <v>30</v>
      </c>
      <c r="W198" s="8">
        <v>0</v>
      </c>
      <c r="X198" s="114">
        <v>0</v>
      </c>
      <c r="Y198" s="114">
        <v>0</v>
      </c>
      <c r="Z198" s="114">
        <v>0</v>
      </c>
      <c r="AA198" s="114">
        <v>0</v>
      </c>
      <c r="AB198" s="114">
        <v>0</v>
      </c>
      <c r="AC198" s="114">
        <v>0</v>
      </c>
      <c r="AD198" s="113" t="s">
        <v>29</v>
      </c>
      <c r="AE198" s="114">
        <f>VLOOKUP(Master2017[[#This Row],[Elevated Priority]],Epriority,2,)</f>
        <v>0</v>
      </c>
      <c r="AF198" s="114">
        <f>IF(Master2017[[#This Row],[Status]]="Active",Master2017[[#This Row],[Status_Score]],IF(C198="","",Q198+G198+S198+U198+AE198-5))</f>
        <v>1021</v>
      </c>
      <c r="AG198" s="114"/>
      <c r="AH198" s="114"/>
      <c r="AI198" s="114">
        <v>2020</v>
      </c>
      <c r="AJ198" s="111"/>
    </row>
    <row r="199" spans="1:36" ht="60" hidden="1" x14ac:dyDescent="0.25">
      <c r="A199" s="103">
        <f t="shared" si="23"/>
        <v>193</v>
      </c>
      <c r="B199" s="120" t="s">
        <v>61</v>
      </c>
      <c r="C199" s="111" t="s">
        <v>478</v>
      </c>
      <c r="D199" s="111" t="s">
        <v>711</v>
      </c>
      <c r="E199" s="111" t="s">
        <v>480</v>
      </c>
      <c r="F199" s="111" t="s">
        <v>816</v>
      </c>
      <c r="G199" s="111">
        <f t="shared" si="29"/>
        <v>1000</v>
      </c>
      <c r="H199" s="121">
        <f>326250+108750</f>
        <v>435000</v>
      </c>
      <c r="I199" s="121">
        <v>15857</v>
      </c>
      <c r="J199" s="121">
        <f>Master2017[[#This Row],[Initial Budget]]-Master2017[[#This Row],[Previously Committed Funds]]</f>
        <v>419143</v>
      </c>
      <c r="K199" s="121">
        <v>0</v>
      </c>
      <c r="L199" s="122">
        <v>0</v>
      </c>
      <c r="M199" s="128">
        <f>Master2017[[#This Row],[Design $ (Add/Deduct)]]+Master2017[[#This Row],[Construction $ (Add/Ded)]]</f>
        <v>0</v>
      </c>
      <c r="N199" s="129">
        <f>Master2017[[#This Row],[Total Add]]+Master2017[[#This Row],[Current Available Balance]]+Master2017[[#This Row],[Previously Committed Funds]]</f>
        <v>435000</v>
      </c>
      <c r="O199" s="114">
        <v>2018</v>
      </c>
      <c r="P199" s="111" t="s">
        <v>686</v>
      </c>
      <c r="Q199" s="114">
        <f t="shared" si="30"/>
        <v>60</v>
      </c>
      <c r="R199" s="114">
        <v>1</v>
      </c>
      <c r="S199" s="114">
        <f t="shared" si="27"/>
        <v>3</v>
      </c>
      <c r="T199" s="114" t="s">
        <v>37</v>
      </c>
      <c r="U199" s="114">
        <f t="shared" si="28"/>
        <v>3</v>
      </c>
      <c r="V199" s="114" t="s">
        <v>34</v>
      </c>
      <c r="W199" s="114">
        <v>0</v>
      </c>
      <c r="X199" s="8">
        <v>0</v>
      </c>
      <c r="Y199" s="114">
        <v>0</v>
      </c>
      <c r="Z199" s="114">
        <v>0</v>
      </c>
      <c r="AA199" s="8">
        <v>0</v>
      </c>
      <c r="AB199" s="8">
        <v>0</v>
      </c>
      <c r="AC199" s="8">
        <v>0</v>
      </c>
      <c r="AD199" s="113" t="s">
        <v>29</v>
      </c>
      <c r="AE199" s="114">
        <f>VLOOKUP(Master2017[[#This Row],[Elevated Priority]],Epriority,2,)</f>
        <v>0</v>
      </c>
      <c r="AF199" s="114">
        <f>IF(Master2017[[#This Row],[Status]]="Active",Master2017[[#This Row],[Status_Score]],IF(C199="","",Q199+G199+S199+U199+AE199-5))</f>
        <v>1061</v>
      </c>
      <c r="AG199" s="114" t="s">
        <v>759</v>
      </c>
      <c r="AH199" s="114">
        <v>2018</v>
      </c>
      <c r="AI199" s="114">
        <v>2020</v>
      </c>
      <c r="AJ199" s="111" t="s">
        <v>748</v>
      </c>
    </row>
    <row r="200" spans="1:36" ht="45" x14ac:dyDescent="0.25">
      <c r="A200" s="103">
        <f t="shared" si="23"/>
        <v>194</v>
      </c>
      <c r="B200" s="120" t="s">
        <v>761</v>
      </c>
      <c r="C200" s="111" t="s">
        <v>745</v>
      </c>
      <c r="D200" s="111" t="s">
        <v>675</v>
      </c>
      <c r="E200" s="111" t="s">
        <v>676</v>
      </c>
      <c r="F200" s="111" t="s">
        <v>816</v>
      </c>
      <c r="G200" s="111">
        <f t="shared" si="29"/>
        <v>1000</v>
      </c>
      <c r="H200" s="121">
        <v>200000</v>
      </c>
      <c r="I200" s="121">
        <v>19607</v>
      </c>
      <c r="J200" s="121">
        <f>Master2017[[#This Row],[Initial Budget]]-Master2017[[#This Row],[Previously Committed Funds]]</f>
        <v>180393</v>
      </c>
      <c r="K200" s="121">
        <v>0</v>
      </c>
      <c r="L200" s="122">
        <v>0</v>
      </c>
      <c r="M200" s="128">
        <f>Master2017[[#This Row],[Design $ (Add/Deduct)]]+Master2017[[#This Row],[Construction $ (Add/Ded)]]</f>
        <v>0</v>
      </c>
      <c r="N200" s="141">
        <v>250000</v>
      </c>
      <c r="O200" s="114">
        <v>2019</v>
      </c>
      <c r="P200" s="111" t="s">
        <v>686</v>
      </c>
      <c r="Q200" s="114">
        <f t="shared" si="30"/>
        <v>60</v>
      </c>
      <c r="R200" s="114">
        <v>1</v>
      </c>
      <c r="S200" s="114">
        <f t="shared" si="27"/>
        <v>3</v>
      </c>
      <c r="T200" s="114" t="s">
        <v>47</v>
      </c>
      <c r="U200" s="114">
        <f t="shared" si="28"/>
        <v>64</v>
      </c>
      <c r="V200" s="114" t="s">
        <v>38</v>
      </c>
      <c r="W200" s="114"/>
      <c r="X200" s="114"/>
      <c r="Y200" s="114"/>
      <c r="Z200" s="114"/>
      <c r="AA200" s="114"/>
      <c r="AB200" s="114"/>
      <c r="AC200" s="114"/>
      <c r="AD200" s="113" t="s">
        <v>29</v>
      </c>
      <c r="AE200" s="114">
        <f>VLOOKUP(Master2017[[#This Row],[Elevated Priority]],Epriority,2,)</f>
        <v>0</v>
      </c>
      <c r="AF200" s="114">
        <f>IF(C200="","",Q200+G200+S200+U200+AE200-5)</f>
        <v>1122</v>
      </c>
      <c r="AG200" s="114" t="s">
        <v>758</v>
      </c>
      <c r="AH200" s="114">
        <v>2019</v>
      </c>
      <c r="AI200" s="114">
        <v>2020</v>
      </c>
      <c r="AJ200" s="111"/>
    </row>
    <row r="201" spans="1:36" ht="30" x14ac:dyDescent="0.25">
      <c r="A201" s="103">
        <f t="shared" si="23"/>
        <v>195</v>
      </c>
      <c r="B201" s="120" t="s">
        <v>94</v>
      </c>
      <c r="C201" s="111" t="s">
        <v>139</v>
      </c>
      <c r="D201" s="111" t="s">
        <v>137</v>
      </c>
      <c r="E201" s="111" t="s">
        <v>879</v>
      </c>
      <c r="F201" s="111" t="s">
        <v>816</v>
      </c>
      <c r="G201" s="111">
        <f t="shared" si="29"/>
        <v>1000</v>
      </c>
      <c r="H201" s="121">
        <v>50000</v>
      </c>
      <c r="I201" s="121">
        <v>48635</v>
      </c>
      <c r="J201" s="121">
        <f>Master2017[[#This Row],[Initial Budget]]-Master2017[[#This Row],[Previously Committed Funds]]</f>
        <v>1365</v>
      </c>
      <c r="K201" s="121">
        <v>0</v>
      </c>
      <c r="L201" s="122">
        <v>0</v>
      </c>
      <c r="M201" s="128">
        <f>Master2017[[#This Row],[Design $ (Add/Deduct)]]+Master2017[[#This Row],[Construction $ (Add/Ded)]]</f>
        <v>0</v>
      </c>
      <c r="N201" s="129">
        <f>Master2017[[#This Row],[Total Add]]+Master2017[[#This Row],[Current Available Balance]]+Master2017[[#This Row],[Previously Committed Funds]]</f>
        <v>50000</v>
      </c>
      <c r="O201" s="114">
        <v>2018</v>
      </c>
      <c r="P201" s="111" t="s">
        <v>140</v>
      </c>
      <c r="Q201" s="114">
        <f t="shared" si="30"/>
        <v>10</v>
      </c>
      <c r="R201" s="114">
        <v>1</v>
      </c>
      <c r="S201" s="114">
        <f t="shared" si="27"/>
        <v>3</v>
      </c>
      <c r="T201" s="114" t="s">
        <v>33</v>
      </c>
      <c r="U201" s="114">
        <f t="shared" si="28"/>
        <v>1</v>
      </c>
      <c r="V201" s="114" t="s">
        <v>30</v>
      </c>
      <c r="W201" s="8">
        <v>0</v>
      </c>
      <c r="X201" s="8">
        <v>0</v>
      </c>
      <c r="Y201" s="8">
        <v>0</v>
      </c>
      <c r="Z201" s="8">
        <v>0</v>
      </c>
      <c r="AA201" s="8">
        <v>0</v>
      </c>
      <c r="AB201" s="8">
        <v>0</v>
      </c>
      <c r="AC201" s="8">
        <v>0</v>
      </c>
      <c r="AD201" s="113" t="s">
        <v>29</v>
      </c>
      <c r="AE201" s="114">
        <f>VLOOKUP(Master2017[[#This Row],[Elevated Priority]],Epriority,2,)</f>
        <v>0</v>
      </c>
      <c r="AF201" s="8">
        <f>IF(Master2017[[#This Row],[Status]]="Active",Master2017[[#This Row],[Status_Score]],IF(C201="","",Q201+G201+S201+U201+AE201-5))</f>
        <v>1009</v>
      </c>
      <c r="AG201" s="114" t="s">
        <v>716</v>
      </c>
      <c r="AH201" s="114"/>
      <c r="AI201" s="114"/>
      <c r="AJ201" s="111" t="s">
        <v>937</v>
      </c>
    </row>
    <row r="202" spans="1:36" ht="90" x14ac:dyDescent="0.25">
      <c r="A202" s="103">
        <f t="shared" si="23"/>
        <v>196</v>
      </c>
      <c r="B202" s="48" t="s">
        <v>73</v>
      </c>
      <c r="C202" s="10" t="s">
        <v>438</v>
      </c>
      <c r="D202" s="10" t="s">
        <v>439</v>
      </c>
      <c r="E202" s="10" t="s">
        <v>918</v>
      </c>
      <c r="F202" s="10" t="s">
        <v>816</v>
      </c>
      <c r="G202" s="10">
        <f t="shared" si="29"/>
        <v>1000</v>
      </c>
      <c r="H202" s="51"/>
      <c r="I202" s="51"/>
      <c r="J202" s="51">
        <f>Master2017[[#This Row],[Initial Budget]]-Master2017[[#This Row],[Previously Committed Funds]]</f>
        <v>0</v>
      </c>
      <c r="K202" s="51"/>
      <c r="L202" s="124"/>
      <c r="M202" s="118">
        <f>Master2017[[#This Row],[Design $ (Add/Deduct)]]+Master2017[[#This Row],[Construction $ (Add/Ded)]]</f>
        <v>0</v>
      </c>
      <c r="N202" s="126">
        <v>15000</v>
      </c>
      <c r="O202" s="8">
        <v>2018</v>
      </c>
      <c r="P202" s="10" t="s">
        <v>687</v>
      </c>
      <c r="Q202" s="8">
        <f t="shared" si="30"/>
        <v>30</v>
      </c>
      <c r="R202" s="8">
        <v>3</v>
      </c>
      <c r="S202" s="8">
        <f t="shared" si="27"/>
        <v>9</v>
      </c>
      <c r="T202" s="8" t="s">
        <v>43</v>
      </c>
      <c r="U202" s="8">
        <f t="shared" si="28"/>
        <v>16</v>
      </c>
      <c r="V202" s="8" t="s">
        <v>30</v>
      </c>
      <c r="W202" s="8">
        <v>0</v>
      </c>
      <c r="X202" s="8">
        <v>0</v>
      </c>
      <c r="Y202" s="8">
        <v>0</v>
      </c>
      <c r="Z202" s="8">
        <v>0</v>
      </c>
      <c r="AA202" s="8">
        <v>0</v>
      </c>
      <c r="AB202" s="8">
        <v>0</v>
      </c>
      <c r="AC202" s="8">
        <v>0</v>
      </c>
      <c r="AD202" s="17" t="s">
        <v>39</v>
      </c>
      <c r="AE202" s="8">
        <f>VLOOKUP(Master2017[[#This Row],[Elevated Priority]],Epriority,2,)</f>
        <v>-30</v>
      </c>
      <c r="AF202" s="8">
        <f>IF(Master2017[[#This Row],[Status]]="Active",Master2017[[#This Row],[Status_Score]],IF(C202="","",Q202+G202+S202+U202+AE202-5))</f>
        <v>1020</v>
      </c>
      <c r="AG202" s="8"/>
      <c r="AH202" s="8"/>
      <c r="AI202" s="8"/>
      <c r="AJ202" s="10"/>
    </row>
    <row r="203" spans="1:36" x14ac:dyDescent="0.25">
      <c r="A203" s="103">
        <f t="shared" si="23"/>
        <v>197</v>
      </c>
      <c r="B203" s="48" t="s">
        <v>79</v>
      </c>
      <c r="C203" s="10" t="s">
        <v>248</v>
      </c>
      <c r="D203" s="10" t="s">
        <v>249</v>
      </c>
      <c r="E203" s="10" t="s">
        <v>250</v>
      </c>
      <c r="F203" s="10" t="s">
        <v>816</v>
      </c>
      <c r="G203" s="10">
        <f t="shared" si="29"/>
        <v>1000</v>
      </c>
      <c r="H203" s="51"/>
      <c r="I203" s="51"/>
      <c r="J203" s="51">
        <f>Master2017[[#This Row],[Initial Budget]]-Master2017[[#This Row],[Previously Committed Funds]]</f>
        <v>0</v>
      </c>
      <c r="K203" s="51"/>
      <c r="L203" s="124"/>
      <c r="M203" s="118">
        <f>Master2017[[#This Row],[Design $ (Add/Deduct)]]+Master2017[[#This Row],[Construction $ (Add/Ded)]]</f>
        <v>0</v>
      </c>
      <c r="N203" s="126">
        <v>50000</v>
      </c>
      <c r="O203" s="8">
        <v>2018</v>
      </c>
      <c r="P203" s="10" t="s">
        <v>36</v>
      </c>
      <c r="Q203" s="8">
        <f t="shared" si="30"/>
        <v>10</v>
      </c>
      <c r="R203" s="8">
        <v>6</v>
      </c>
      <c r="S203" s="8">
        <f t="shared" si="27"/>
        <v>18</v>
      </c>
      <c r="T203" s="8" t="s">
        <v>41</v>
      </c>
      <c r="U203" s="8">
        <f t="shared" si="28"/>
        <v>4</v>
      </c>
      <c r="V203" s="8" t="s">
        <v>30</v>
      </c>
      <c r="W203" s="8">
        <v>0</v>
      </c>
      <c r="X203" s="8">
        <v>0</v>
      </c>
      <c r="Y203" s="8">
        <v>0</v>
      </c>
      <c r="Z203" s="8">
        <v>0</v>
      </c>
      <c r="AA203" s="8">
        <v>0</v>
      </c>
      <c r="AB203" s="8">
        <v>0</v>
      </c>
      <c r="AC203" s="8">
        <v>0</v>
      </c>
      <c r="AD203" s="17" t="s">
        <v>29</v>
      </c>
      <c r="AE203" s="8">
        <f>VLOOKUP(Master2017[[#This Row],[Elevated Priority]],Epriority,2,)</f>
        <v>0</v>
      </c>
      <c r="AF203" s="8">
        <f>IF(Master2017[[#This Row],[Status]]="Active",Master2017[[#This Row],[Status_Score]],IF(C203="","",Q203+G203+S203+U203+AE203-5))</f>
        <v>1027</v>
      </c>
      <c r="AG203" s="8"/>
      <c r="AH203" s="8"/>
      <c r="AI203" s="8"/>
      <c r="AJ203" s="10"/>
    </row>
    <row r="204" spans="1:36" ht="60" x14ac:dyDescent="0.25">
      <c r="A204" s="103">
        <f t="shared" si="23"/>
        <v>198</v>
      </c>
      <c r="B204" s="48" t="s">
        <v>70</v>
      </c>
      <c r="C204" s="10" t="s">
        <v>296</v>
      </c>
      <c r="D204" s="10" t="s">
        <v>297</v>
      </c>
      <c r="E204" s="10" t="s">
        <v>298</v>
      </c>
      <c r="F204" s="10" t="s">
        <v>816</v>
      </c>
      <c r="G204" s="10">
        <f t="shared" si="29"/>
        <v>1000</v>
      </c>
      <c r="H204" s="51"/>
      <c r="I204" s="51"/>
      <c r="J204" s="51">
        <f>Master2017[[#This Row],[Initial Budget]]-Master2017[[#This Row],[Previously Committed Funds]]</f>
        <v>0</v>
      </c>
      <c r="K204" s="51"/>
      <c r="L204" s="124"/>
      <c r="M204" s="118">
        <f>Master2017[[#This Row],[Design $ (Add/Deduct)]]+Master2017[[#This Row],[Construction $ (Add/Ded)]]</f>
        <v>0</v>
      </c>
      <c r="N204" s="126">
        <v>25000</v>
      </c>
      <c r="O204" s="8">
        <v>2018</v>
      </c>
      <c r="P204" s="10" t="s">
        <v>687</v>
      </c>
      <c r="Q204" s="8">
        <f t="shared" si="30"/>
        <v>30</v>
      </c>
      <c r="R204" s="8">
        <v>4</v>
      </c>
      <c r="S204" s="8">
        <f t="shared" si="27"/>
        <v>12</v>
      </c>
      <c r="T204" s="8" t="s">
        <v>41</v>
      </c>
      <c r="U204" s="8">
        <f t="shared" si="28"/>
        <v>4</v>
      </c>
      <c r="V204" s="8" t="s">
        <v>30</v>
      </c>
      <c r="W204" s="8">
        <v>0</v>
      </c>
      <c r="X204" s="8">
        <v>0</v>
      </c>
      <c r="Y204" s="8">
        <v>0</v>
      </c>
      <c r="Z204" s="8">
        <v>0</v>
      </c>
      <c r="AA204" s="8">
        <v>0</v>
      </c>
      <c r="AB204" s="8">
        <v>0</v>
      </c>
      <c r="AC204" s="8">
        <v>0</v>
      </c>
      <c r="AD204" s="17" t="s">
        <v>29</v>
      </c>
      <c r="AE204" s="8">
        <f>VLOOKUP(Master2017[[#This Row],[Elevated Priority]],Epriority,2,)</f>
        <v>0</v>
      </c>
      <c r="AF204" s="8">
        <f>IF(Master2017[[#This Row],[Status]]="Active",Master2017[[#This Row],[Status_Score]],IF(C204="","",Q204+G204+S204+U204+AE204-5))</f>
        <v>1041</v>
      </c>
      <c r="AG204" s="8"/>
      <c r="AH204" s="8"/>
      <c r="AI204" s="8"/>
      <c r="AJ204" s="10" t="s">
        <v>667</v>
      </c>
    </row>
    <row r="205" spans="1:36" ht="75" x14ac:dyDescent="0.25">
      <c r="A205" s="103">
        <f t="shared" si="23"/>
        <v>199</v>
      </c>
      <c r="B205" s="10" t="s">
        <v>143</v>
      </c>
      <c r="C205" s="10" t="s">
        <v>333</v>
      </c>
      <c r="D205" s="10" t="s">
        <v>334</v>
      </c>
      <c r="E205" s="10" t="s">
        <v>894</v>
      </c>
      <c r="F205" s="10" t="s">
        <v>816</v>
      </c>
      <c r="G205" s="10">
        <f t="shared" si="29"/>
        <v>1000</v>
      </c>
      <c r="H205" s="49"/>
      <c r="I205" s="49"/>
      <c r="J205" s="49">
        <f>Master2017[[#This Row],[Initial Budget]]-Master2017[[#This Row],[Previously Committed Funds]]</f>
        <v>0</v>
      </c>
      <c r="K205" s="49"/>
      <c r="L205" s="49"/>
      <c r="M205" s="97">
        <f>Master2017[[#This Row],[Design $ (Add/Deduct)]]+Master2017[[#This Row],[Construction $ (Add/Ded)]]</f>
        <v>0</v>
      </c>
      <c r="N205" s="49">
        <v>40000</v>
      </c>
      <c r="O205" s="8">
        <v>2018</v>
      </c>
      <c r="P205" s="10" t="s">
        <v>686</v>
      </c>
      <c r="Q205" s="8">
        <f t="shared" si="30"/>
        <v>60</v>
      </c>
      <c r="R205" s="17">
        <v>1</v>
      </c>
      <c r="S205" s="8">
        <f t="shared" si="27"/>
        <v>3</v>
      </c>
      <c r="T205" s="17" t="s">
        <v>41</v>
      </c>
      <c r="U205" s="8">
        <f t="shared" si="28"/>
        <v>4</v>
      </c>
      <c r="V205" s="8" t="s">
        <v>30</v>
      </c>
      <c r="W205" s="8">
        <v>0</v>
      </c>
      <c r="X205" s="8">
        <v>0</v>
      </c>
      <c r="Y205" s="8">
        <v>0</v>
      </c>
      <c r="Z205" s="8">
        <v>0</v>
      </c>
      <c r="AA205" s="8">
        <v>0</v>
      </c>
      <c r="AB205" s="8">
        <v>0</v>
      </c>
      <c r="AC205" s="8">
        <v>0</v>
      </c>
      <c r="AD205" s="17" t="s">
        <v>29</v>
      </c>
      <c r="AE205" s="8">
        <f>VLOOKUP(Master2017[[#This Row],[Elevated Priority]],Epriority,2,)</f>
        <v>0</v>
      </c>
      <c r="AF205" s="8">
        <f>IF(Master2017[[#This Row],[Status]]="Active",Master2017[[#This Row],[Status_Score]],IF(C205="","",Q205+G205+S205+U205+AE205-5))</f>
        <v>1062</v>
      </c>
      <c r="AG205" s="8"/>
      <c r="AH205" s="8"/>
      <c r="AI205" s="8"/>
      <c r="AJ205" s="10" t="s">
        <v>664</v>
      </c>
    </row>
    <row r="206" spans="1:36" x14ac:dyDescent="0.25">
      <c r="B206" s="48"/>
      <c r="E206" s="10"/>
      <c r="F206" s="10"/>
      <c r="G206" s="23"/>
      <c r="H206" s="51"/>
      <c r="I206" s="51"/>
      <c r="J206" s="51"/>
      <c r="K206" s="51"/>
      <c r="L206" s="51"/>
      <c r="M206" s="118"/>
      <c r="N206" s="51"/>
      <c r="O206" s="8"/>
      <c r="R206" s="26"/>
      <c r="T206" s="17"/>
      <c r="U206" s="25"/>
      <c r="V206" s="25"/>
      <c r="W206" s="25"/>
      <c r="X206" s="25"/>
      <c r="Y206" s="25"/>
      <c r="Z206" s="25"/>
      <c r="AA206" s="25"/>
      <c r="AB206" s="25"/>
      <c r="AC206" s="25"/>
      <c r="AD206" s="26"/>
      <c r="AE206" s="25"/>
      <c r="AF206" s="25"/>
    </row>
    <row r="207" spans="1:36" x14ac:dyDescent="0.25">
      <c r="A207" s="103">
        <f>A205+1</f>
        <v>200</v>
      </c>
      <c r="B207" s="48"/>
      <c r="C207" s="67"/>
      <c r="D207" s="67"/>
      <c r="E207" s="110"/>
      <c r="F207" s="10"/>
      <c r="G207" s="23"/>
      <c r="H207" s="51"/>
      <c r="I207" s="51"/>
      <c r="J207" s="51"/>
      <c r="K207" s="51"/>
      <c r="L207" s="51"/>
      <c r="M207" s="118"/>
      <c r="N207" s="82"/>
      <c r="O207" s="8"/>
      <c r="R207" s="25"/>
      <c r="U207" s="25"/>
      <c r="V207" s="25"/>
      <c r="W207" s="25"/>
      <c r="X207" s="25"/>
      <c r="Y207" s="25"/>
      <c r="Z207" s="25"/>
      <c r="AA207" s="25"/>
      <c r="AB207" s="25"/>
      <c r="AC207" s="25"/>
      <c r="AD207" s="26"/>
      <c r="AE207" s="25"/>
      <c r="AF207" s="25"/>
    </row>
  </sheetData>
  <conditionalFormatting sqref="B49:B50">
    <cfRule type="duplicateValues" priority="7"/>
  </conditionalFormatting>
  <conditionalFormatting sqref="B51:B52">
    <cfRule type="duplicateValues" priority="5"/>
  </conditionalFormatting>
  <conditionalFormatting sqref="B62">
    <cfRule type="duplicateValues" priority="2"/>
  </conditionalFormatting>
  <conditionalFormatting sqref="B64">
    <cfRule type="duplicateValues" priority="1"/>
  </conditionalFormatting>
  <conditionalFormatting sqref="C40">
    <cfRule type="duplicateValues" priority="15"/>
  </conditionalFormatting>
  <conditionalFormatting sqref="C47">
    <cfRule type="duplicateValues" priority="18"/>
  </conditionalFormatting>
  <conditionalFormatting sqref="C51:C52">
    <cfRule type="duplicateValues" priority="6"/>
  </conditionalFormatting>
  <conditionalFormatting sqref="C53">
    <cfRule type="duplicateValues" priority="14"/>
  </conditionalFormatting>
  <conditionalFormatting sqref="C167">
    <cfRule type="duplicateValues" priority="17"/>
  </conditionalFormatting>
  <conditionalFormatting sqref="C168:C172">
    <cfRule type="duplicateValues" priority="16"/>
  </conditionalFormatting>
  <conditionalFormatting sqref="C177">
    <cfRule type="duplicateValues" priority="21"/>
  </conditionalFormatting>
  <conditionalFormatting sqref="C178 C175:C176">
    <cfRule type="duplicateValues" priority="20"/>
  </conditionalFormatting>
  <conditionalFormatting sqref="C182">
    <cfRule type="duplicateValues" priority="13"/>
  </conditionalFormatting>
  <conditionalFormatting sqref="C183">
    <cfRule type="duplicateValues" priority="12"/>
  </conditionalFormatting>
  <conditionalFormatting sqref="C184">
    <cfRule type="duplicateValues" priority="11"/>
  </conditionalFormatting>
  <conditionalFormatting sqref="C205:C206">
    <cfRule type="duplicateValues" priority="3"/>
  </conditionalFormatting>
  <conditionalFormatting sqref="C208:C1048576 C48:C50 C1 C173:C174 C41:C46 C181 C54:C166 C9:C39">
    <cfRule type="duplicateValues" priority="19"/>
  </conditionalFormatting>
  <conditionalFormatting sqref="C185:D204">
    <cfRule type="duplicateValues" priority="9"/>
  </conditionalFormatting>
  <conditionalFormatting sqref="C207:D207">
    <cfRule type="duplicateValues" priority="10"/>
  </conditionalFormatting>
  <conditionalFormatting sqref="D43">
    <cfRule type="duplicateValues" priority="8"/>
  </conditionalFormatting>
  <conditionalFormatting sqref="D46">
    <cfRule type="duplicateValues" priority="4"/>
  </conditionalFormatting>
  <dataValidations count="13">
    <dataValidation type="list" allowBlank="1" showInputMessage="1" showErrorMessage="1" sqref="AC9:AC207" xr:uid="{00000000-0002-0000-0300-000000000000}">
      <formula1>Risk</formula1>
    </dataValidation>
    <dataValidation type="list" allowBlank="1" showInputMessage="1" showErrorMessage="1" sqref="AA9:AA207" xr:uid="{00000000-0002-0000-0300-000001000000}">
      <formula1>Com_Request</formula1>
    </dataValidation>
    <dataValidation type="list" allowBlank="1" showInputMessage="1" showErrorMessage="1" sqref="Z9:Z207" xr:uid="{00000000-0002-0000-0300-000002000000}">
      <formula1>Com_Need</formula1>
    </dataValidation>
    <dataValidation type="list" allowBlank="1" showInputMessage="1" showErrorMessage="1" sqref="Y9:Y207" xr:uid="{00000000-0002-0000-0300-000003000000}">
      <formula1>Age_Inf</formula1>
    </dataValidation>
    <dataValidation type="list" allowBlank="1" showInputMessage="1" showErrorMessage="1" sqref="AD2:AD207" xr:uid="{00000000-0002-0000-0300-000004000000}">
      <formula1>ele_pri</formula1>
    </dataValidation>
    <dataValidation type="list" allowBlank="1" showInputMessage="1" showErrorMessage="1" sqref="T2:T207" xr:uid="{00000000-0002-0000-0300-000005000000}">
      <formula1>Urgency_List</formula1>
    </dataValidation>
    <dataValidation type="list" allowBlank="1" showInputMessage="1" showErrorMessage="1" sqref="R2:R207" xr:uid="{00000000-0002-0000-0300-000006000000}">
      <formula1>Department_List</formula1>
    </dataValidation>
    <dataValidation type="list" allowBlank="1" showInputMessage="1" showErrorMessage="1" sqref="F2:F207" xr:uid="{00000000-0002-0000-0300-000007000000}">
      <formula1>Status</formula1>
    </dataValidation>
    <dataValidation type="list" allowBlank="1" showInputMessage="1" showErrorMessage="1" sqref="AB39 AB33 AB25:AB26 AB21:AB22 AB9" xr:uid="{00000000-0002-0000-0300-000008000000}">
      <formula1>MasterPlan</formula1>
    </dataValidation>
    <dataValidation type="list" allowBlank="1" showInputMessage="1" showErrorMessage="1" sqref="W9 W21:W22 W25:W26 W33 W39 W43:W44 W50 W59 W66:W67 W71 W73 W77 W80 W84 W88 W92 W94:W95 W100 W102 W107 W114 W120:W121 W123:W125 W132:W134 W137:W139 W141:W142 W145 W147:W148 W156 W158:W160 W162:W167 W170:W171 W173:W175 W177:W180 W150:W154 W183:W189" xr:uid="{00000000-0002-0000-0300-000009000000}">
      <formula1>Revenue</formula1>
    </dataValidation>
    <dataValidation type="list" allowBlank="1" showInputMessage="1" showErrorMessage="1" sqref="X25:X26 X21:X22 X9 X33 X39 X43:X44 X50 X59 X66:X67 X71 X73 X77 X80 X84 X88 X92 X94:X95 X100 X102 X107 X114 X120:X121 X123:X125 X132:X134 X137:X139 X141:X142 X145 X147:X148 X156 X158:X160 X162:X167 X170:X171 X173:X175 X177:X180 X183 X185:X187 X189:X191 X150:X154" xr:uid="{00000000-0002-0000-0300-00000A000000}">
      <formula1>Energy</formula1>
    </dataValidation>
    <dataValidation type="list" allowBlank="1" showInputMessage="1" showErrorMessage="1" sqref="W2:AC5 W7:AC8 AB188 AB207 AB191 AB10:AB13 AB24 W207:X207 X188 W34:X34 W24:X24 W10:X13 AB34 V2:V207" xr:uid="{00000000-0002-0000-0300-00000B000000}">
      <formula1>Funding</formula1>
    </dataValidation>
    <dataValidation type="list" allowBlank="1" showInputMessage="1" showErrorMessage="1" sqref="N208:O219" xr:uid="{00000000-0002-0000-0300-00000C000000}">
      <formula1>"implist"</formula1>
    </dataValidation>
  </dataValidations>
  <pageMargins left="0.7" right="0.7" top="0.75" bottom="0.75" header="0.3" footer="0.3"/>
  <pageSetup paperSize="3"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D000000}">
          <x14:formula1>
            <xm:f>Database!$U$24:$U$25</xm:f>
          </x14:formula1>
          <xm:sqref>AC6</xm:sqref>
        </x14:dataValidation>
        <x14:dataValidation type="list" allowBlank="1" showInputMessage="1" showErrorMessage="1" xr:uid="{00000000-0002-0000-0300-00000E000000}">
          <x14:formula1>
            <xm:f>Database!$W$11:$W$16</xm:f>
          </x14:formula1>
          <xm:sqref>AB6 AB40:AB187 AB189:AB190 AB192:AB206 AB14:AB20 AB23 AB35:AB38 AB27:AB32</xm:sqref>
        </x14:dataValidation>
        <x14:dataValidation type="list" allowBlank="1" showInputMessage="1" showErrorMessage="1" xr:uid="{00000000-0002-0000-0300-00000F000000}">
          <x14:formula1>
            <xm:f>Database!$U$16:$U$17</xm:f>
          </x14:formula1>
          <xm:sqref>AA6</xm:sqref>
        </x14:dataValidation>
        <x14:dataValidation type="list" allowBlank="1" showInputMessage="1" showErrorMessage="1" xr:uid="{00000000-0002-0000-0300-000010000000}">
          <x14:formula1>
            <xm:f>Database!$U$13:$U$13</xm:f>
          </x14:formula1>
          <xm:sqref>Y6</xm:sqref>
        </x14:dataValidation>
        <x14:dataValidation type="list" allowBlank="1" showInputMessage="1" showErrorMessage="1" xr:uid="{00000000-0002-0000-0300-000011000000}">
          <x14:formula1>
            <xm:f>Database!$U$8:$U$10</xm:f>
          </x14:formula1>
          <xm:sqref>X69:X70 X64 X61 X54 X42 X75 X78 X82 X90 X93 X98 X105 X119 X122 X126:X127 X131 X136 X140 X144 X146 X149 X155 X157 X161 X169 X172 X176 X182 X184 X101</xm:sqref>
        </x14:dataValidation>
        <x14:dataValidation type="list" allowBlank="1" showInputMessage="1" showErrorMessage="1" xr:uid="{00000000-0002-0000-0300-000012000000}">
          <x14:formula1>
            <xm:f>Database!$U$14:$U$15</xm:f>
          </x14:formula1>
          <xm:sqref>Z6</xm:sqref>
        </x14:dataValidation>
        <x14:dataValidation type="list" allowBlank="1" showInputMessage="1" showErrorMessage="1" xr:uid="{00000000-0002-0000-0300-000013000000}">
          <x14:formula1>
            <xm:f>Database!$U$8:$U$9</xm:f>
          </x14:formula1>
          <xm:sqref>X6 X14:X20 X23 X45:X49 X51:X53 X181 X192:X206 X72 X74 X65 X68 X62:X63 X55:X58 X60 X35:X38 X40:X41 X76 X79 X81 X83 X85:X87 X89 X91 X96:X97 X99 X103:X104 X106 X108:X113 X115:X118 X128:X130 X135 X143 X168 X27:X32</xm:sqref>
        </x14:dataValidation>
        <x14:dataValidation type="list" allowBlank="1" showInputMessage="1" showErrorMessage="1" xr:uid="{00000000-0002-0000-0300-000014000000}">
          <x14:formula1>
            <xm:f>Database!$U$3:$U$8</xm:f>
          </x14:formula1>
          <xm:sqref>W190:W206</xm:sqref>
        </x14:dataValidation>
        <x14:dataValidation type="list" allowBlank="1" showInputMessage="1" showErrorMessage="1" xr:uid="{00000000-0002-0000-0300-000015000000}">
          <x14:formula1>
            <xm:f>Database!$U$3:$U$4</xm:f>
          </x14:formula1>
          <xm:sqref>W172 W23 W93 W6 W176 W181:W182 W14:W20 W35:W38 W40:W42 W45:W49 W51:W58 W60:W65 W68:W70 W72 W74:W76 W78:W79 W81:W83 W85:W87 W89:W91 W96:W99 W101 W103:W106 W108:W113 W115:W119 W122 W126:W131 W135:W136 W140 W143:W144 W146 W149 W155 W157 W161 W168:W169 W27:W32</xm:sqref>
        </x14:dataValidation>
        <x14:dataValidation type="list" allowBlank="1" showInputMessage="1" showErrorMessage="1" xr:uid="{00000000-0002-0000-0300-000016000000}">
          <x14:formula1>
            <xm:f>Database!$D$3:$D$12</xm:f>
          </x14:formula1>
          <xm:sqref>P2:P207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BK207"/>
  <sheetViews>
    <sheetView zoomScaleNormal="100" workbookViewId="0">
      <pane xSplit="5" topLeftCell="F1" activePane="topRight" state="frozen"/>
      <selection pane="topRight" activeCell="F39" sqref="F39"/>
    </sheetView>
  </sheetViews>
  <sheetFormatPr defaultColWidth="9.140625" defaultRowHeight="15" x14ac:dyDescent="0.25"/>
  <cols>
    <col min="1" max="1" width="5" style="103" customWidth="1"/>
    <col min="2" max="2" width="28.140625" style="1" bestFit="1" customWidth="1"/>
    <col min="3" max="3" width="39.7109375" style="10" customWidth="1"/>
    <col min="4" max="4" width="28.5703125" style="10" customWidth="1"/>
    <col min="5" max="5" width="33.42578125" style="3" customWidth="1"/>
    <col min="6" max="6" width="12.28515625" style="3" customWidth="1"/>
    <col min="7" max="8" width="12.42578125" style="3" customWidth="1"/>
    <col min="9" max="9" width="12.85546875" style="3" customWidth="1"/>
    <col min="10" max="10" width="20.42578125" style="3" customWidth="1"/>
    <col min="11" max="12" width="14.28515625" style="3" customWidth="1"/>
    <col min="13" max="13" width="15.85546875" style="101" customWidth="1"/>
    <col min="14" max="14" width="18.85546875" style="32" customWidth="1"/>
    <col min="15" max="15" width="15.140625" style="33" customWidth="1"/>
    <col min="16" max="16" width="24.5703125" style="10" customWidth="1"/>
    <col min="17" max="17" width="14.7109375" style="8" customWidth="1"/>
    <col min="18" max="18" width="15.7109375" style="8" customWidth="1"/>
    <col min="19" max="19" width="14.7109375" style="8" customWidth="1"/>
    <col min="20" max="20" width="12.85546875" style="8" customWidth="1"/>
    <col min="21" max="22" width="14.7109375" style="8" customWidth="1"/>
    <col min="23" max="25" width="14.7109375" style="8" hidden="1" customWidth="1"/>
    <col min="26" max="26" width="16.5703125" style="8" hidden="1" customWidth="1"/>
    <col min="27" max="29" width="14.7109375" style="8" hidden="1" customWidth="1"/>
    <col min="30" max="30" width="13.28515625" style="8" customWidth="1"/>
    <col min="31" max="31" width="14.7109375" style="8" customWidth="1"/>
    <col min="32" max="32" width="18.7109375" style="8" customWidth="1"/>
    <col min="33" max="34" width="13" style="36" customWidth="1"/>
    <col min="35" max="35" width="13.85546875" style="36" customWidth="1"/>
    <col min="36" max="36" width="33" style="9" hidden="1" customWidth="1"/>
    <col min="37" max="37" width="14.28515625" customWidth="1"/>
  </cols>
  <sheetData>
    <row r="1" spans="1:63" ht="46.5" customHeight="1" x14ac:dyDescent="0.25">
      <c r="A1" s="103" t="s">
        <v>48</v>
      </c>
      <c r="B1" s="4" t="s">
        <v>49</v>
      </c>
      <c r="C1" s="5" t="s">
        <v>50</v>
      </c>
      <c r="D1" s="5" t="s">
        <v>51</v>
      </c>
      <c r="E1" s="5" t="s">
        <v>52</v>
      </c>
      <c r="F1" s="5" t="s">
        <v>53</v>
      </c>
      <c r="G1" s="5" t="s">
        <v>645</v>
      </c>
      <c r="H1" s="97" t="s">
        <v>736</v>
      </c>
      <c r="I1" s="97" t="s">
        <v>730</v>
      </c>
      <c r="J1" s="97" t="s">
        <v>741</v>
      </c>
      <c r="K1" s="97" t="s">
        <v>738</v>
      </c>
      <c r="L1" s="97" t="s">
        <v>739</v>
      </c>
      <c r="M1" s="97" t="s">
        <v>737</v>
      </c>
      <c r="N1" s="6" t="s">
        <v>731</v>
      </c>
      <c r="O1" s="6" t="s">
        <v>55</v>
      </c>
      <c r="P1" s="4" t="s">
        <v>26</v>
      </c>
      <c r="Q1" s="4" t="s">
        <v>56</v>
      </c>
      <c r="R1" s="4" t="s">
        <v>27</v>
      </c>
      <c r="S1" s="4" t="s">
        <v>57</v>
      </c>
      <c r="T1" s="4" t="s">
        <v>28</v>
      </c>
      <c r="U1" s="7" t="s">
        <v>58</v>
      </c>
      <c r="V1" s="7" t="s">
        <v>23</v>
      </c>
      <c r="W1" s="4" t="s">
        <v>938</v>
      </c>
      <c r="X1" s="4" t="s">
        <v>707</v>
      </c>
      <c r="Y1" s="4" t="s">
        <v>706</v>
      </c>
      <c r="Z1" s="4" t="s">
        <v>939</v>
      </c>
      <c r="AA1" s="4" t="s">
        <v>705</v>
      </c>
      <c r="AB1" s="4" t="s">
        <v>940</v>
      </c>
      <c r="AC1" s="4" t="s">
        <v>708</v>
      </c>
      <c r="AD1" s="4" t="s">
        <v>24</v>
      </c>
      <c r="AE1" s="8" t="s">
        <v>25</v>
      </c>
      <c r="AF1" s="7" t="s">
        <v>685</v>
      </c>
      <c r="AG1" s="96" t="s">
        <v>714</v>
      </c>
      <c r="AH1" s="96" t="s">
        <v>929</v>
      </c>
      <c r="AI1" s="96" t="s">
        <v>930</v>
      </c>
      <c r="AJ1" s="95" t="s">
        <v>680</v>
      </c>
    </row>
    <row r="2" spans="1:63" s="99" customFormat="1" ht="30" hidden="1" x14ac:dyDescent="0.25">
      <c r="A2" s="103" t="s">
        <v>749</v>
      </c>
      <c r="B2" s="111" t="s">
        <v>79</v>
      </c>
      <c r="C2" s="111" t="s">
        <v>779</v>
      </c>
      <c r="D2" s="111" t="s">
        <v>802</v>
      </c>
      <c r="E2" s="111" t="s">
        <v>803</v>
      </c>
      <c r="F2" s="111" t="s">
        <v>720</v>
      </c>
      <c r="G2" s="111">
        <f t="shared" ref="G2:G14" si="0">VLOOKUP(F2,Status_Score,2,FALSE)</f>
        <v>-200</v>
      </c>
      <c r="H2" s="112"/>
      <c r="I2" s="112"/>
      <c r="J2" s="112">
        <f>Master201722[[#This Row],[Initial Budget]]-Master201722[[#This Row],[Previously Committed Funds]]</f>
        <v>0</v>
      </c>
      <c r="K2" s="112"/>
      <c r="L2" s="112"/>
      <c r="M2" s="116">
        <f>Master201722[[#This Row],[Design $ (Add/Deduct)]]+Master201722[[#This Row],[Construction $ (Add/Ded)]]</f>
        <v>0</v>
      </c>
      <c r="N2" s="115">
        <v>150000</v>
      </c>
      <c r="O2" s="114">
        <v>2020</v>
      </c>
      <c r="P2" s="111" t="s">
        <v>688</v>
      </c>
      <c r="Q2" s="114">
        <f>VLOOKUP(P2,Importance,2,FALSE)</f>
        <v>20</v>
      </c>
      <c r="R2" s="114">
        <v>3</v>
      </c>
      <c r="S2" s="114">
        <f t="shared" ref="S2:S14" si="1">VLOOKUP(R2,Department,2,FALSE)</f>
        <v>9</v>
      </c>
      <c r="T2" s="114" t="s">
        <v>33</v>
      </c>
      <c r="U2" s="114">
        <f>VLOOKUP(T2,Urgency,2,FALSE)</f>
        <v>1</v>
      </c>
      <c r="V2" s="114" t="s">
        <v>30</v>
      </c>
      <c r="W2" s="114">
        <v>0</v>
      </c>
      <c r="X2" s="114">
        <v>0</v>
      </c>
      <c r="Y2" s="114">
        <v>0</v>
      </c>
      <c r="Z2" s="114">
        <v>0</v>
      </c>
      <c r="AA2" s="114">
        <v>0</v>
      </c>
      <c r="AB2" s="114">
        <v>0</v>
      </c>
      <c r="AC2" s="114">
        <v>0</v>
      </c>
      <c r="AD2" s="113" t="s">
        <v>29</v>
      </c>
      <c r="AE2" s="114">
        <f>VLOOKUP(Master201722[[#This Row],[Elevated Priority]],Epriority,2,)</f>
        <v>0</v>
      </c>
      <c r="AF2" s="114">
        <f>IF(Master201722[[#This Row],[Status]]="Active",Master201722[[#This Row],[Status_Score]],IF(C2="","",Q2+G2+S2+U2+AE2-5))</f>
        <v>-175</v>
      </c>
      <c r="AG2" s="114" t="s">
        <v>758</v>
      </c>
      <c r="AH2" s="114">
        <v>2020</v>
      </c>
      <c r="AI2" s="114">
        <v>2020</v>
      </c>
      <c r="AJ2" s="10"/>
      <c r="AK2"/>
      <c r="AL2"/>
      <c r="AM2"/>
      <c r="AN2"/>
      <c r="AO2"/>
      <c r="AP2"/>
      <c r="AQ2"/>
      <c r="AR2"/>
      <c r="AS2"/>
      <c r="AT2"/>
      <c r="AU2"/>
      <c r="AV2"/>
      <c r="AW2"/>
      <c r="AX2"/>
      <c r="AY2"/>
      <c r="AZ2"/>
      <c r="BA2"/>
      <c r="BB2"/>
      <c r="BC2"/>
      <c r="BD2"/>
      <c r="BE2"/>
      <c r="BF2"/>
      <c r="BG2"/>
      <c r="BH2"/>
      <c r="BI2"/>
      <c r="BJ2"/>
      <c r="BK2"/>
    </row>
    <row r="3" spans="1:63" s="99" customFormat="1" ht="45" hidden="1" x14ac:dyDescent="0.25">
      <c r="A3" s="103" t="s">
        <v>750</v>
      </c>
      <c r="B3" s="111" t="s">
        <v>299</v>
      </c>
      <c r="C3" s="111" t="s">
        <v>414</v>
      </c>
      <c r="D3" s="111" t="s">
        <v>414</v>
      </c>
      <c r="E3" s="111" t="s">
        <v>415</v>
      </c>
      <c r="F3" s="111" t="s">
        <v>720</v>
      </c>
      <c r="G3" s="111">
        <f t="shared" si="0"/>
        <v>-200</v>
      </c>
      <c r="H3" s="112"/>
      <c r="I3" s="112"/>
      <c r="J3" s="112">
        <f>Master201722[[#This Row],[Initial Budget]]-Master201722[[#This Row],[Previously Committed Funds]]</f>
        <v>0</v>
      </c>
      <c r="K3" s="112"/>
      <c r="L3" s="112"/>
      <c r="M3" s="116">
        <f>Master201722[[#This Row],[Design $ (Add/Deduct)]]+Master201722[[#This Row],[Construction $ (Add/Ded)]]</f>
        <v>0</v>
      </c>
      <c r="N3" s="112">
        <v>100000</v>
      </c>
      <c r="O3" s="114">
        <v>2018</v>
      </c>
      <c r="P3" s="111" t="s">
        <v>688</v>
      </c>
      <c r="Q3" s="114">
        <f>VLOOKUP(P3,Importance,2,FALSE)</f>
        <v>20</v>
      </c>
      <c r="R3" s="113">
        <v>2</v>
      </c>
      <c r="S3" s="114">
        <f t="shared" si="1"/>
        <v>6</v>
      </c>
      <c r="T3" s="113" t="s">
        <v>41</v>
      </c>
      <c r="U3" s="114">
        <f>VLOOKUP(T3,Urgency,2,FALSE)</f>
        <v>4</v>
      </c>
      <c r="V3" s="114" t="s">
        <v>30</v>
      </c>
      <c r="W3" s="114">
        <v>0</v>
      </c>
      <c r="X3" s="114">
        <v>0</v>
      </c>
      <c r="Y3" s="114">
        <v>0</v>
      </c>
      <c r="Z3" s="114">
        <v>0</v>
      </c>
      <c r="AA3" s="114">
        <v>0</v>
      </c>
      <c r="AB3" s="114">
        <v>0</v>
      </c>
      <c r="AC3" s="114">
        <v>0</v>
      </c>
      <c r="AD3" s="113" t="s">
        <v>29</v>
      </c>
      <c r="AE3" s="114">
        <f>VLOOKUP(Master201722[[#This Row],[Elevated Priority]],Epriority,2,)</f>
        <v>0</v>
      </c>
      <c r="AF3" s="114">
        <f>IF(Master201722[[#This Row],[Status]]="Active",Master201722[[#This Row],[Status_Score]],IF(C3="","",Q3+G3+S3+U3+AE3-5))</f>
        <v>-175</v>
      </c>
      <c r="AG3" s="114" t="s">
        <v>718</v>
      </c>
      <c r="AH3" s="114">
        <v>2020</v>
      </c>
      <c r="AI3" s="114">
        <v>2021</v>
      </c>
      <c r="AJ3" s="10"/>
      <c r="AK3"/>
      <c r="AL3"/>
      <c r="AM3"/>
      <c r="AN3"/>
      <c r="AO3"/>
      <c r="AP3"/>
      <c r="AQ3"/>
      <c r="AR3"/>
      <c r="AS3"/>
      <c r="AT3"/>
      <c r="AU3"/>
      <c r="AV3"/>
      <c r="AW3"/>
      <c r="AX3"/>
      <c r="AY3"/>
      <c r="AZ3"/>
      <c r="BA3"/>
      <c r="BB3"/>
      <c r="BC3"/>
      <c r="BD3"/>
      <c r="BE3"/>
      <c r="BF3"/>
      <c r="BG3"/>
      <c r="BH3"/>
      <c r="BI3"/>
      <c r="BJ3"/>
      <c r="BK3"/>
    </row>
    <row r="4" spans="1:63" s="99" customFormat="1" ht="75" hidden="1" x14ac:dyDescent="0.25">
      <c r="A4" s="103" t="s">
        <v>751</v>
      </c>
      <c r="B4" s="111" t="s">
        <v>70</v>
      </c>
      <c r="C4" s="111" t="s">
        <v>10</v>
      </c>
      <c r="D4" s="111" t="s">
        <v>851</v>
      </c>
      <c r="E4" s="111" t="s">
        <v>852</v>
      </c>
      <c r="F4" s="111" t="s">
        <v>719</v>
      </c>
      <c r="G4" s="111">
        <f t="shared" si="0"/>
        <v>-150</v>
      </c>
      <c r="H4" s="112">
        <v>2000000</v>
      </c>
      <c r="I4" s="112">
        <v>0</v>
      </c>
      <c r="J4" s="112">
        <f>Master201722[[#This Row],[Initial Budget]]-Master201722[[#This Row],[Previously Committed Funds]]</f>
        <v>2000000</v>
      </c>
      <c r="K4" s="112">
        <v>0</v>
      </c>
      <c r="L4" s="112">
        <v>0</v>
      </c>
      <c r="M4" s="116">
        <f>Master201722[[#This Row],[Design $ (Add/Deduct)]]+Master201722[[#This Row],[Construction $ (Add/Ded)]]</f>
        <v>0</v>
      </c>
      <c r="N4" s="115">
        <v>2000000</v>
      </c>
      <c r="O4" s="114">
        <v>2018</v>
      </c>
      <c r="P4" s="111" t="s">
        <v>29</v>
      </c>
      <c r="Q4" s="114">
        <f>VLOOKUP(P4,Importance, 2, FALSE)</f>
        <v>0</v>
      </c>
      <c r="R4" s="114" t="s">
        <v>29</v>
      </c>
      <c r="S4" s="114">
        <f t="shared" si="1"/>
        <v>0</v>
      </c>
      <c r="T4" s="114" t="s">
        <v>29</v>
      </c>
      <c r="U4" s="114">
        <f>VLOOKUP(T4,Urgency,2,FALSE)</f>
        <v>0</v>
      </c>
      <c r="V4" s="114" t="s">
        <v>38</v>
      </c>
      <c r="W4" s="114"/>
      <c r="X4" s="114"/>
      <c r="Y4" s="114"/>
      <c r="Z4" s="114"/>
      <c r="AA4" s="114"/>
      <c r="AB4" s="114"/>
      <c r="AC4" s="114"/>
      <c r="AD4" s="113" t="s">
        <v>29</v>
      </c>
      <c r="AE4" s="114">
        <f>VLOOKUP(Master201722[[#This Row],[Elevated Priority]],Epriority,2,)</f>
        <v>0</v>
      </c>
      <c r="AF4" s="114">
        <f>IF(Master201722[[#This Row],[Status]]="Active",Master201722[[#This Row],[Status_Score]],IF(C4="","",Q4+G4+S4+U4+AE4-5))</f>
        <v>-155</v>
      </c>
      <c r="AG4" s="114" t="s">
        <v>757</v>
      </c>
      <c r="AH4" s="114">
        <v>2019</v>
      </c>
      <c r="AI4" s="114">
        <v>2021</v>
      </c>
      <c r="AJ4" s="111"/>
      <c r="AK4"/>
      <c r="AL4"/>
      <c r="AM4"/>
      <c r="AN4"/>
      <c r="AO4"/>
      <c r="AP4"/>
      <c r="AQ4"/>
      <c r="AR4"/>
      <c r="AS4"/>
      <c r="AT4"/>
      <c r="AU4"/>
      <c r="AV4"/>
      <c r="AW4"/>
      <c r="AX4"/>
      <c r="AY4"/>
      <c r="AZ4"/>
      <c r="BA4"/>
      <c r="BB4"/>
      <c r="BC4"/>
      <c r="BD4"/>
      <c r="BE4"/>
      <c r="BF4"/>
      <c r="BG4"/>
      <c r="BH4"/>
      <c r="BI4"/>
      <c r="BJ4"/>
      <c r="BK4"/>
    </row>
    <row r="5" spans="1:63" s="99" customFormat="1" ht="30" hidden="1" x14ac:dyDescent="0.25">
      <c r="A5" s="103" t="s">
        <v>752</v>
      </c>
      <c r="B5" s="111" t="s">
        <v>725</v>
      </c>
      <c r="C5" s="111" t="s">
        <v>712</v>
      </c>
      <c r="D5" s="111" t="s">
        <v>815</v>
      </c>
      <c r="E5" s="111" t="s">
        <v>853</v>
      </c>
      <c r="F5" s="111" t="s">
        <v>719</v>
      </c>
      <c r="G5" s="111">
        <f t="shared" si="0"/>
        <v>-150</v>
      </c>
      <c r="H5" s="112">
        <v>0</v>
      </c>
      <c r="I5" s="112"/>
      <c r="J5" s="112">
        <f>Master201722[[#This Row],[Initial Budget]]-Master201722[[#This Row],[Previously Committed Funds]]</f>
        <v>0</v>
      </c>
      <c r="K5" s="112"/>
      <c r="L5" s="112">
        <v>150000</v>
      </c>
      <c r="M5" s="116">
        <f>Master201722[[#This Row],[Design $ (Add/Deduct)]]+Master201722[[#This Row],[Construction $ (Add/Ded)]]</f>
        <v>150000</v>
      </c>
      <c r="N5" s="112">
        <f>Master201722[[#This Row],[Total Add]]+Master201722[[#This Row],[Current Available Balance]]+Master201722[[#This Row],[Previously Committed Funds]]</f>
        <v>150000</v>
      </c>
      <c r="O5" s="114">
        <v>2019</v>
      </c>
      <c r="P5" s="111" t="s">
        <v>29</v>
      </c>
      <c r="Q5" s="114">
        <f t="shared" ref="Q5:Q14" si="2">VLOOKUP(P5,Importance,2,FALSE)</f>
        <v>0</v>
      </c>
      <c r="R5" s="114">
        <v>1</v>
      </c>
      <c r="S5" s="114">
        <f t="shared" si="1"/>
        <v>3</v>
      </c>
      <c r="T5" s="114" t="s">
        <v>37</v>
      </c>
      <c r="U5" s="114"/>
      <c r="V5" s="114" t="s">
        <v>30</v>
      </c>
      <c r="W5" s="114">
        <v>0</v>
      </c>
      <c r="X5" s="114">
        <v>0</v>
      </c>
      <c r="Y5" s="114">
        <v>0</v>
      </c>
      <c r="Z5" s="114">
        <v>0</v>
      </c>
      <c r="AA5" s="114">
        <v>0</v>
      </c>
      <c r="AB5" s="114">
        <v>0</v>
      </c>
      <c r="AC5" s="114">
        <v>0</v>
      </c>
      <c r="AD5" s="113" t="s">
        <v>29</v>
      </c>
      <c r="AE5" s="114">
        <f>VLOOKUP(Master201722[[#This Row],[Elevated Priority]],Epriority,2,)</f>
        <v>0</v>
      </c>
      <c r="AF5" s="114">
        <f>IF(Master201722[[#This Row],[Status]]="Active",Master201722[[#This Row],[Status_Score]],IF(C5="","",Q5+G5+S5+U5+AE5-5))</f>
        <v>-152</v>
      </c>
      <c r="AG5" s="114" t="s">
        <v>716</v>
      </c>
      <c r="AH5" s="114">
        <v>2019</v>
      </c>
      <c r="AI5" s="114">
        <v>2020</v>
      </c>
      <c r="AJ5" s="111"/>
      <c r="AK5"/>
      <c r="AL5"/>
      <c r="AM5"/>
      <c r="AN5"/>
      <c r="AO5"/>
      <c r="AP5"/>
      <c r="AQ5"/>
      <c r="AR5"/>
      <c r="AS5"/>
      <c r="AT5"/>
      <c r="AU5"/>
      <c r="AV5"/>
      <c r="AW5"/>
      <c r="AX5"/>
      <c r="AY5"/>
      <c r="AZ5"/>
      <c r="BA5"/>
      <c r="BB5"/>
      <c r="BC5"/>
      <c r="BD5"/>
      <c r="BE5"/>
      <c r="BF5"/>
      <c r="BG5"/>
      <c r="BH5"/>
      <c r="BI5"/>
      <c r="BJ5"/>
      <c r="BK5"/>
    </row>
    <row r="6" spans="1:63" s="99" customFormat="1" ht="30" hidden="1" x14ac:dyDescent="0.25">
      <c r="A6" s="103">
        <v>2</v>
      </c>
      <c r="B6" s="111" t="s">
        <v>94</v>
      </c>
      <c r="C6" s="111" t="s">
        <v>134</v>
      </c>
      <c r="D6" s="111" t="s">
        <v>135</v>
      </c>
      <c r="E6" s="111" t="s">
        <v>878</v>
      </c>
      <c r="F6" s="111" t="s">
        <v>719</v>
      </c>
      <c r="G6" s="111">
        <f t="shared" si="0"/>
        <v>-150</v>
      </c>
      <c r="H6" s="112">
        <v>125000</v>
      </c>
      <c r="I6" s="112"/>
      <c r="J6" s="112">
        <f>Master201722[[#This Row],[Initial Budget]]-Master201722[[#This Row],[Previously Committed Funds]]</f>
        <v>125000</v>
      </c>
      <c r="K6" s="112"/>
      <c r="L6" s="112"/>
      <c r="M6" s="116">
        <f>Master201722[[#This Row],[Design $ (Add/Deduct)]]+Master201722[[#This Row],[Construction $ (Add/Ded)]]</f>
        <v>0</v>
      </c>
      <c r="N6" s="115">
        <v>1500000</v>
      </c>
      <c r="O6" s="114">
        <v>2018</v>
      </c>
      <c r="P6" s="111" t="s">
        <v>36</v>
      </c>
      <c r="Q6" s="114">
        <f t="shared" si="2"/>
        <v>10</v>
      </c>
      <c r="R6" s="114">
        <v>1</v>
      </c>
      <c r="S6" s="114">
        <f t="shared" si="1"/>
        <v>3</v>
      </c>
      <c r="T6" s="114" t="s">
        <v>33</v>
      </c>
      <c r="U6" s="114">
        <f t="shared" ref="U6:U14" si="3">VLOOKUP(T6,Urgency,2,FALSE)</f>
        <v>1</v>
      </c>
      <c r="V6" s="114" t="s">
        <v>30</v>
      </c>
      <c r="W6" s="114">
        <v>0</v>
      </c>
      <c r="X6" s="114">
        <v>0</v>
      </c>
      <c r="Y6" s="114">
        <v>0</v>
      </c>
      <c r="Z6" s="114">
        <v>0</v>
      </c>
      <c r="AA6" s="114">
        <v>0</v>
      </c>
      <c r="AB6" s="114">
        <v>0</v>
      </c>
      <c r="AC6" s="114">
        <v>0</v>
      </c>
      <c r="AD6" s="113" t="s">
        <v>29</v>
      </c>
      <c r="AE6" s="114">
        <f>VLOOKUP(Master201722[[#This Row],[Elevated Priority]],Epriority,2,)</f>
        <v>0</v>
      </c>
      <c r="AF6" s="114">
        <f>IF(Master201722[[#This Row],[Status]]="Active",Master201722[[#This Row],[Status_Score]],IF(C6="","",Q6+G6+S6+U6+AE6-5))</f>
        <v>-141</v>
      </c>
      <c r="AG6" s="114" t="s">
        <v>716</v>
      </c>
      <c r="AH6" s="114">
        <v>2019</v>
      </c>
      <c r="AI6" s="114">
        <v>2021</v>
      </c>
      <c r="AJ6" s="111"/>
      <c r="AK6"/>
      <c r="AL6"/>
      <c r="AM6"/>
      <c r="AN6"/>
      <c r="AO6"/>
      <c r="AP6"/>
      <c r="AQ6"/>
      <c r="AR6"/>
      <c r="AS6"/>
      <c r="AT6"/>
      <c r="AU6"/>
      <c r="AV6"/>
      <c r="AW6"/>
      <c r="AX6"/>
      <c r="AY6"/>
      <c r="AZ6"/>
      <c r="BA6"/>
      <c r="BB6"/>
      <c r="BC6"/>
      <c r="BD6"/>
      <c r="BE6"/>
      <c r="BF6"/>
      <c r="BG6"/>
      <c r="BH6"/>
      <c r="BI6"/>
      <c r="BJ6"/>
      <c r="BK6"/>
    </row>
    <row r="7" spans="1:63" s="99" customFormat="1" ht="30" hidden="1" x14ac:dyDescent="0.25">
      <c r="A7" s="103">
        <v>3</v>
      </c>
      <c r="B7" s="111" t="s">
        <v>94</v>
      </c>
      <c r="C7" s="111" t="s">
        <v>136</v>
      </c>
      <c r="D7" s="111" t="s">
        <v>137</v>
      </c>
      <c r="E7" s="111" t="s">
        <v>879</v>
      </c>
      <c r="F7" s="111" t="s">
        <v>719</v>
      </c>
      <c r="G7" s="111">
        <f t="shared" si="0"/>
        <v>-150</v>
      </c>
      <c r="H7" s="112">
        <v>125000</v>
      </c>
      <c r="I7" s="112"/>
      <c r="J7" s="112">
        <f>Master201722[[#This Row],[Initial Budget]]-Master201722[[#This Row],[Previously Committed Funds]]</f>
        <v>125000</v>
      </c>
      <c r="K7" s="112"/>
      <c r="L7" s="112"/>
      <c r="M7" s="116">
        <f>Master201722[[#This Row],[Design $ (Add/Deduct)]]+Master201722[[#This Row],[Construction $ (Add/Ded)]]</f>
        <v>0</v>
      </c>
      <c r="N7" s="115">
        <v>1500000</v>
      </c>
      <c r="O7" s="114">
        <v>2018</v>
      </c>
      <c r="P7" s="111" t="s">
        <v>36</v>
      </c>
      <c r="Q7" s="114">
        <f t="shared" si="2"/>
        <v>10</v>
      </c>
      <c r="R7" s="114">
        <v>1</v>
      </c>
      <c r="S7" s="114">
        <f t="shared" si="1"/>
        <v>3</v>
      </c>
      <c r="T7" s="114" t="s">
        <v>33</v>
      </c>
      <c r="U7" s="114">
        <f t="shared" si="3"/>
        <v>1</v>
      </c>
      <c r="V7" s="114" t="s">
        <v>30</v>
      </c>
      <c r="W7" s="114">
        <v>0</v>
      </c>
      <c r="X7" s="114">
        <v>0</v>
      </c>
      <c r="Y7" s="114">
        <v>0</v>
      </c>
      <c r="Z7" s="114">
        <v>0</v>
      </c>
      <c r="AA7" s="114">
        <v>0</v>
      </c>
      <c r="AB7" s="114">
        <v>0</v>
      </c>
      <c r="AC7" s="114">
        <v>0</v>
      </c>
      <c r="AD7" s="113" t="s">
        <v>29</v>
      </c>
      <c r="AE7" s="114">
        <f>VLOOKUP(Master201722[[#This Row],[Elevated Priority]],Epriority,2,)</f>
        <v>0</v>
      </c>
      <c r="AF7" s="114">
        <f>IF(Master201722[[#This Row],[Status]]="Active",Master201722[[#This Row],[Status_Score]],IF(C7="","",Q7+G7+S7+U7+AE7-5))</f>
        <v>-141</v>
      </c>
      <c r="AG7" s="114" t="s">
        <v>716</v>
      </c>
      <c r="AH7" s="114">
        <v>2019</v>
      </c>
      <c r="AI7" s="114">
        <v>2021</v>
      </c>
      <c r="AJ7" s="111"/>
      <c r="AK7"/>
      <c r="AL7"/>
      <c r="AM7"/>
      <c r="AN7"/>
      <c r="AO7"/>
      <c r="AP7"/>
      <c r="AQ7"/>
      <c r="AR7"/>
      <c r="AS7"/>
      <c r="AT7"/>
      <c r="AU7"/>
      <c r="AV7"/>
      <c r="AW7"/>
      <c r="AX7"/>
      <c r="AY7"/>
      <c r="AZ7"/>
      <c r="BA7"/>
      <c r="BB7"/>
      <c r="BC7"/>
      <c r="BD7"/>
      <c r="BE7"/>
      <c r="BF7"/>
      <c r="BG7"/>
      <c r="BH7"/>
      <c r="BI7"/>
      <c r="BJ7"/>
      <c r="BK7"/>
    </row>
    <row r="8" spans="1:63" s="99" customFormat="1" ht="45" hidden="1" x14ac:dyDescent="0.25">
      <c r="A8" s="103">
        <v>4</v>
      </c>
      <c r="B8" s="111" t="s">
        <v>79</v>
      </c>
      <c r="C8" s="111" t="s">
        <v>864</v>
      </c>
      <c r="D8" s="111" t="s">
        <v>862</v>
      </c>
      <c r="E8" s="111" t="s">
        <v>863</v>
      </c>
      <c r="F8" s="111" t="s">
        <v>719</v>
      </c>
      <c r="G8" s="111">
        <f t="shared" si="0"/>
        <v>-150</v>
      </c>
      <c r="H8" s="112"/>
      <c r="I8" s="112"/>
      <c r="J8" s="112">
        <f>Master201722[[#This Row],[Initial Budget]]-Master201722[[#This Row],[Previously Committed Funds]]</f>
        <v>0</v>
      </c>
      <c r="K8" s="112"/>
      <c r="L8" s="112"/>
      <c r="M8" s="116">
        <f>Master201722[[#This Row],[Design $ (Add/Deduct)]]+Master201722[[#This Row],[Construction $ (Add/Ded)]]</f>
        <v>0</v>
      </c>
      <c r="N8" s="115">
        <v>175000</v>
      </c>
      <c r="O8" s="114">
        <v>2020</v>
      </c>
      <c r="P8" s="111" t="s">
        <v>830</v>
      </c>
      <c r="Q8" s="114">
        <f t="shared" si="2"/>
        <v>10</v>
      </c>
      <c r="R8" s="114">
        <v>1</v>
      </c>
      <c r="S8" s="114">
        <f t="shared" si="1"/>
        <v>3</v>
      </c>
      <c r="T8" s="114" t="s">
        <v>33</v>
      </c>
      <c r="U8" s="114">
        <f t="shared" si="3"/>
        <v>1</v>
      </c>
      <c r="V8" s="114" t="s">
        <v>30</v>
      </c>
      <c r="W8" s="114">
        <v>0</v>
      </c>
      <c r="X8" s="114">
        <v>0</v>
      </c>
      <c r="Y8" s="114">
        <v>0</v>
      </c>
      <c r="Z8" s="114">
        <v>0</v>
      </c>
      <c r="AA8" s="114">
        <v>0</v>
      </c>
      <c r="AB8" s="114">
        <v>0</v>
      </c>
      <c r="AC8" s="114">
        <v>0</v>
      </c>
      <c r="AD8" s="113" t="s">
        <v>31</v>
      </c>
      <c r="AE8" s="114">
        <f>VLOOKUP(Master201722[[#This Row],[Elevated Priority]],Epriority,2,)</f>
        <v>-25</v>
      </c>
      <c r="AF8" s="114">
        <f>IF(Master201722[[#This Row],[Status]]="Active",Master201722[[#This Row],[Status_Score]],IF(C8="","",Q8+G8+S8+U8+AE8-5))</f>
        <v>-166</v>
      </c>
      <c r="AG8" s="114"/>
      <c r="AH8" s="114">
        <v>2020</v>
      </c>
      <c r="AI8" s="114">
        <v>2020</v>
      </c>
      <c r="AJ8" s="10"/>
      <c r="AK8"/>
      <c r="AL8"/>
      <c r="AM8"/>
      <c r="AN8"/>
      <c r="AO8"/>
      <c r="AP8"/>
      <c r="AQ8"/>
      <c r="AR8"/>
      <c r="AS8"/>
      <c r="AT8"/>
      <c r="AU8"/>
      <c r="AV8"/>
      <c r="AW8"/>
      <c r="AX8"/>
      <c r="AY8"/>
      <c r="AZ8"/>
      <c r="BA8"/>
      <c r="BB8"/>
      <c r="BC8"/>
      <c r="BD8"/>
      <c r="BE8"/>
      <c r="BF8"/>
      <c r="BG8"/>
      <c r="BH8"/>
      <c r="BI8"/>
      <c r="BJ8"/>
      <c r="BK8"/>
    </row>
    <row r="9" spans="1:63" s="99" customFormat="1" ht="30" hidden="1" x14ac:dyDescent="0.25">
      <c r="A9" s="103" t="s">
        <v>755</v>
      </c>
      <c r="B9" s="111" t="s">
        <v>646</v>
      </c>
      <c r="C9" s="111" t="s">
        <v>956</v>
      </c>
      <c r="D9" s="111" t="s">
        <v>957</v>
      </c>
      <c r="E9" s="111" t="s">
        <v>958</v>
      </c>
      <c r="F9" s="111" t="s">
        <v>719</v>
      </c>
      <c r="G9" s="111">
        <f t="shared" si="0"/>
        <v>-150</v>
      </c>
      <c r="H9" s="112"/>
      <c r="I9" s="112"/>
      <c r="J9" s="112">
        <f>Master201722[[#This Row],[Initial Budget]]-Master201722[[#This Row],[Previously Committed Funds]]</f>
        <v>0</v>
      </c>
      <c r="K9" s="112"/>
      <c r="L9" s="112"/>
      <c r="M9" s="116">
        <f>Master201722[[#This Row],[Design $ (Add/Deduct)]]+Master201722[[#This Row],[Construction $ (Add/Ded)]]</f>
        <v>0</v>
      </c>
      <c r="N9" s="115">
        <v>150000</v>
      </c>
      <c r="O9" s="114">
        <v>2020</v>
      </c>
      <c r="P9" s="111" t="s">
        <v>32</v>
      </c>
      <c r="Q9" s="114">
        <f t="shared" si="2"/>
        <v>1</v>
      </c>
      <c r="R9" s="113">
        <v>1</v>
      </c>
      <c r="S9" s="114">
        <f t="shared" si="1"/>
        <v>3</v>
      </c>
      <c r="T9" s="113" t="s">
        <v>33</v>
      </c>
      <c r="U9" s="114">
        <f t="shared" si="3"/>
        <v>1</v>
      </c>
      <c r="V9" s="114" t="s">
        <v>30</v>
      </c>
      <c r="W9" s="114">
        <v>0</v>
      </c>
      <c r="X9" s="114">
        <v>0</v>
      </c>
      <c r="Y9" s="114">
        <v>0</v>
      </c>
      <c r="Z9" s="114">
        <v>0</v>
      </c>
      <c r="AA9" s="114">
        <v>0</v>
      </c>
      <c r="AB9" s="114">
        <v>0</v>
      </c>
      <c r="AC9" s="114">
        <v>0</v>
      </c>
      <c r="AD9" s="113" t="s">
        <v>29</v>
      </c>
      <c r="AE9" s="114">
        <f>VLOOKUP(Master201722[[#This Row],[Elevated Priority]],Epriority,2,)</f>
        <v>0</v>
      </c>
      <c r="AF9" s="114">
        <f>IF(Master201722[[#This Row],[Status]]="Active",Master201722[[#This Row],[Status_Score]],IF(C9="","",Q9+G9+S9+U9+AE9-5))</f>
        <v>-150</v>
      </c>
      <c r="AG9" s="114"/>
      <c r="AH9" s="114">
        <v>2020</v>
      </c>
      <c r="AI9" s="114">
        <v>2021</v>
      </c>
      <c r="AJ9" s="10"/>
      <c r="AK9"/>
      <c r="AL9"/>
      <c r="AM9"/>
      <c r="AN9"/>
      <c r="AO9"/>
      <c r="AP9"/>
      <c r="AQ9"/>
      <c r="AR9"/>
      <c r="AS9"/>
      <c r="AT9"/>
      <c r="AU9"/>
      <c r="AV9"/>
      <c r="AW9"/>
      <c r="AX9"/>
      <c r="AY9"/>
      <c r="AZ9"/>
      <c r="BA9"/>
      <c r="BB9"/>
      <c r="BC9"/>
      <c r="BD9"/>
      <c r="BE9"/>
      <c r="BF9"/>
      <c r="BG9"/>
      <c r="BH9"/>
      <c r="BI9"/>
      <c r="BJ9"/>
      <c r="BK9"/>
    </row>
    <row r="10" spans="1:63" s="99" customFormat="1" ht="120" hidden="1" x14ac:dyDescent="0.25">
      <c r="A10" s="103" t="s">
        <v>756</v>
      </c>
      <c r="B10" s="111" t="s">
        <v>73</v>
      </c>
      <c r="C10" s="111" t="s">
        <v>107</v>
      </c>
      <c r="D10" s="111" t="s">
        <v>108</v>
      </c>
      <c r="E10" s="111" t="s">
        <v>883</v>
      </c>
      <c r="F10" s="111" t="s">
        <v>719</v>
      </c>
      <c r="G10" s="111">
        <f t="shared" si="0"/>
        <v>-150</v>
      </c>
      <c r="H10" s="112"/>
      <c r="I10" s="112"/>
      <c r="J10" s="112">
        <f>Master201722[[#This Row],[Initial Budget]]-Master201722[[#This Row],[Previously Committed Funds]]</f>
        <v>0</v>
      </c>
      <c r="K10" s="112"/>
      <c r="L10" s="112"/>
      <c r="M10" s="116">
        <f>Master201722[[#This Row],[Design $ (Add/Deduct)]]+Master201722[[#This Row],[Construction $ (Add/Ded)]]</f>
        <v>0</v>
      </c>
      <c r="N10" s="115">
        <v>25000</v>
      </c>
      <c r="O10" s="114">
        <v>2018</v>
      </c>
      <c r="P10" s="111" t="s">
        <v>32</v>
      </c>
      <c r="Q10" s="114">
        <f t="shared" si="2"/>
        <v>1</v>
      </c>
      <c r="R10" s="114">
        <v>1</v>
      </c>
      <c r="S10" s="114">
        <f t="shared" si="1"/>
        <v>3</v>
      </c>
      <c r="T10" s="114" t="s">
        <v>41</v>
      </c>
      <c r="U10" s="114">
        <f t="shared" si="3"/>
        <v>4</v>
      </c>
      <c r="V10" s="114" t="s">
        <v>30</v>
      </c>
      <c r="W10" s="114">
        <v>0</v>
      </c>
      <c r="X10" s="114">
        <v>0</v>
      </c>
      <c r="Y10" s="114">
        <v>0</v>
      </c>
      <c r="Z10" s="114">
        <v>-2.5</v>
      </c>
      <c r="AA10" s="114">
        <v>0</v>
      </c>
      <c r="AB10" s="114">
        <v>0</v>
      </c>
      <c r="AC10" s="114">
        <v>0</v>
      </c>
      <c r="AD10" s="113" t="s">
        <v>29</v>
      </c>
      <c r="AE10" s="114">
        <f>VLOOKUP(Master201722[[#This Row],[Elevated Priority]],Epriority,2,)</f>
        <v>0</v>
      </c>
      <c r="AF10" s="114">
        <f>IF(Master201722[[#This Row],[Status]]="Active",Master201722[[#This Row],[Status_Score]],IF(C10="","",Q10+G10+S10+U10+AE10-5))</f>
        <v>-147</v>
      </c>
      <c r="AG10" s="114"/>
      <c r="AH10" s="114">
        <v>2020</v>
      </c>
      <c r="AI10" s="114">
        <v>2021</v>
      </c>
      <c r="AJ10" s="10"/>
      <c r="AK10"/>
      <c r="AL10"/>
      <c r="AM10"/>
      <c r="AN10"/>
      <c r="AO10"/>
      <c r="AP10"/>
      <c r="AQ10"/>
      <c r="AR10"/>
      <c r="AS10"/>
      <c r="AT10"/>
      <c r="AU10"/>
      <c r="AV10"/>
      <c r="AW10"/>
      <c r="AX10"/>
      <c r="AY10"/>
      <c r="AZ10"/>
      <c r="BA10"/>
      <c r="BB10"/>
      <c r="BC10"/>
      <c r="BD10"/>
      <c r="BE10"/>
      <c r="BF10"/>
      <c r="BG10"/>
      <c r="BH10"/>
      <c r="BI10"/>
      <c r="BJ10"/>
      <c r="BK10"/>
    </row>
    <row r="11" spans="1:63" s="99" customFormat="1" ht="45" hidden="1" x14ac:dyDescent="0.25">
      <c r="A11" s="103">
        <v>6</v>
      </c>
      <c r="B11" s="111" t="s">
        <v>61</v>
      </c>
      <c r="C11" s="111" t="s">
        <v>972</v>
      </c>
      <c r="D11" s="111" t="s">
        <v>947</v>
      </c>
      <c r="E11" s="111" t="s">
        <v>948</v>
      </c>
      <c r="F11" s="111" t="s">
        <v>719</v>
      </c>
      <c r="G11" s="111">
        <f t="shared" si="0"/>
        <v>-150</v>
      </c>
      <c r="H11" s="112"/>
      <c r="I11" s="112"/>
      <c r="J11" s="112">
        <f>Master201722[[#This Row],[Initial Budget]]-Master201722[[#This Row],[Previously Committed Funds]]</f>
        <v>0</v>
      </c>
      <c r="K11" s="112"/>
      <c r="L11" s="112"/>
      <c r="M11" s="116">
        <f>Master201722[[#This Row],[Design $ (Add/Deduct)]]+Master201722[[#This Row],[Construction $ (Add/Ded)]]</f>
        <v>0</v>
      </c>
      <c r="N11" s="115">
        <v>125000</v>
      </c>
      <c r="O11" s="114">
        <v>2020</v>
      </c>
      <c r="P11" s="111" t="s">
        <v>32</v>
      </c>
      <c r="Q11" s="114">
        <f t="shared" si="2"/>
        <v>1</v>
      </c>
      <c r="R11" s="114">
        <v>1</v>
      </c>
      <c r="S11" s="114">
        <f t="shared" si="1"/>
        <v>3</v>
      </c>
      <c r="T11" s="114" t="s">
        <v>37</v>
      </c>
      <c r="U11" s="114">
        <f t="shared" si="3"/>
        <v>3</v>
      </c>
      <c r="V11" s="114" t="s">
        <v>30</v>
      </c>
      <c r="W11" s="114">
        <v>0</v>
      </c>
      <c r="X11" s="114">
        <v>0</v>
      </c>
      <c r="Y11" s="114">
        <v>0</v>
      </c>
      <c r="Z11" s="114">
        <v>0</v>
      </c>
      <c r="AA11" s="114">
        <v>0</v>
      </c>
      <c r="AB11" s="114">
        <v>0</v>
      </c>
      <c r="AC11" s="114">
        <v>0</v>
      </c>
      <c r="AD11" s="113" t="s">
        <v>29</v>
      </c>
      <c r="AE11" s="114">
        <f>VLOOKUP(Master201722[[#This Row],[Elevated Priority]],Epriority,2,)</f>
        <v>0</v>
      </c>
      <c r="AF11" s="114">
        <f>IF(Master201722[[#This Row],[Status]]="Active",Master201722[[#This Row],[Status_Score]],IF(C11="","",Q11+G11+S11+U11+AE11-5))</f>
        <v>-148</v>
      </c>
      <c r="AG11" s="114"/>
      <c r="AH11" s="114">
        <v>2020</v>
      </c>
      <c r="AI11" s="114">
        <v>2021</v>
      </c>
      <c r="AJ11" s="10"/>
      <c r="AK11"/>
      <c r="AL11"/>
      <c r="AM11"/>
      <c r="AN11"/>
      <c r="AO11"/>
      <c r="AP11"/>
      <c r="AQ11"/>
      <c r="AR11"/>
      <c r="AS11"/>
      <c r="AT11"/>
      <c r="AU11"/>
      <c r="AV11"/>
      <c r="AW11"/>
      <c r="AX11"/>
      <c r="AY11"/>
      <c r="AZ11"/>
      <c r="BA11"/>
      <c r="BB11"/>
      <c r="BC11"/>
      <c r="BD11"/>
      <c r="BE11"/>
      <c r="BF11"/>
      <c r="BG11"/>
      <c r="BH11"/>
      <c r="BI11"/>
      <c r="BJ11"/>
      <c r="BK11"/>
    </row>
    <row r="12" spans="1:63" ht="75" hidden="1" x14ac:dyDescent="0.25">
      <c r="A12" s="103">
        <v>7</v>
      </c>
      <c r="B12" s="111" t="s">
        <v>61</v>
      </c>
      <c r="C12" s="111" t="s">
        <v>116</v>
      </c>
      <c r="D12" s="111" t="s">
        <v>955</v>
      </c>
      <c r="E12" s="111" t="s">
        <v>690</v>
      </c>
      <c r="F12" s="111" t="s">
        <v>719</v>
      </c>
      <c r="G12" s="111">
        <f t="shared" si="0"/>
        <v>-150</v>
      </c>
      <c r="H12" s="112"/>
      <c r="I12" s="112"/>
      <c r="J12" s="112">
        <f>Master201722[[#This Row],[Initial Budget]]-Master201722[[#This Row],[Previously Committed Funds]]</f>
        <v>0</v>
      </c>
      <c r="K12" s="112"/>
      <c r="L12" s="112"/>
      <c r="M12" s="116">
        <f>Master201722[[#This Row],[Design $ (Add/Deduct)]]+Master201722[[#This Row],[Construction $ (Add/Ded)]]</f>
        <v>0</v>
      </c>
      <c r="N12" s="115">
        <v>750000</v>
      </c>
      <c r="O12" s="114">
        <v>2018</v>
      </c>
      <c r="P12" s="111" t="s">
        <v>32</v>
      </c>
      <c r="Q12" s="114">
        <f t="shared" si="2"/>
        <v>1</v>
      </c>
      <c r="R12" s="114">
        <v>2</v>
      </c>
      <c r="S12" s="114">
        <f t="shared" si="1"/>
        <v>6</v>
      </c>
      <c r="T12" s="114" t="s">
        <v>41</v>
      </c>
      <c r="U12" s="114">
        <f t="shared" si="3"/>
        <v>4</v>
      </c>
      <c r="V12" s="114" t="s">
        <v>30</v>
      </c>
      <c r="W12" s="114">
        <v>0</v>
      </c>
      <c r="X12" s="114">
        <v>0</v>
      </c>
      <c r="Y12" s="114">
        <v>0</v>
      </c>
      <c r="Z12" s="114">
        <v>0</v>
      </c>
      <c r="AA12" s="114">
        <v>0</v>
      </c>
      <c r="AB12" s="114">
        <v>0</v>
      </c>
      <c r="AC12" s="114">
        <v>0</v>
      </c>
      <c r="AD12" s="113" t="s">
        <v>29</v>
      </c>
      <c r="AE12" s="114">
        <f>VLOOKUP(Master201722[[#This Row],[Elevated Priority]],Epriority,2,)</f>
        <v>0</v>
      </c>
      <c r="AF12" s="114">
        <f>IF(Master201722[[#This Row],[Status]]="Active",Master201722[[#This Row],[Status_Score]],IF(C12="","",Q12+G12+S12+U12+AE12-5))</f>
        <v>-144</v>
      </c>
      <c r="AG12" s="114"/>
      <c r="AH12" s="114">
        <v>2020</v>
      </c>
      <c r="AI12" s="114">
        <v>2021</v>
      </c>
      <c r="AJ12" s="10"/>
    </row>
    <row r="13" spans="1:63" s="99" customFormat="1" ht="45" hidden="1" x14ac:dyDescent="0.25">
      <c r="A13" s="103">
        <v>8</v>
      </c>
      <c r="B13" s="120" t="s">
        <v>923</v>
      </c>
      <c r="C13" s="111" t="s">
        <v>786</v>
      </c>
      <c r="D13" s="111" t="s">
        <v>787</v>
      </c>
      <c r="E13" s="111" t="s">
        <v>204</v>
      </c>
      <c r="F13" s="111" t="s">
        <v>719</v>
      </c>
      <c r="G13" s="111">
        <f t="shared" si="0"/>
        <v>-150</v>
      </c>
      <c r="H13" s="121"/>
      <c r="I13" s="121"/>
      <c r="J13" s="112">
        <f>Master201722[[#This Row],[Initial Budget]]-Master201722[[#This Row],[Previously Committed Funds]]</f>
        <v>0</v>
      </c>
      <c r="K13" s="121"/>
      <c r="L13" s="122"/>
      <c r="M13" s="116">
        <f>Master201722[[#This Row],[Design $ (Add/Deduct)]]+Master201722[[#This Row],[Construction $ (Add/Ded)]]</f>
        <v>0</v>
      </c>
      <c r="N13" s="115">
        <v>250000</v>
      </c>
      <c r="O13" s="114">
        <v>2018</v>
      </c>
      <c r="P13" s="111" t="s">
        <v>688</v>
      </c>
      <c r="Q13" s="114">
        <f t="shared" si="2"/>
        <v>20</v>
      </c>
      <c r="R13" s="114">
        <v>4</v>
      </c>
      <c r="S13" s="114">
        <f t="shared" si="1"/>
        <v>12</v>
      </c>
      <c r="T13" s="114" t="s">
        <v>41</v>
      </c>
      <c r="U13" s="114">
        <f t="shared" si="3"/>
        <v>4</v>
      </c>
      <c r="V13" s="114" t="s">
        <v>30</v>
      </c>
      <c r="W13" s="114">
        <v>0</v>
      </c>
      <c r="X13" s="114">
        <v>0</v>
      </c>
      <c r="Y13" s="114">
        <v>0</v>
      </c>
      <c r="Z13" s="114">
        <v>0</v>
      </c>
      <c r="AA13" s="114">
        <v>0</v>
      </c>
      <c r="AB13" s="114">
        <v>0</v>
      </c>
      <c r="AC13" s="114">
        <v>0</v>
      </c>
      <c r="AD13" s="113" t="s">
        <v>31</v>
      </c>
      <c r="AE13" s="114">
        <f>VLOOKUP(Master201722[[#This Row],[Elevated Priority]],Epriority,2,)</f>
        <v>-25</v>
      </c>
      <c r="AF13" s="114">
        <f>IF(Master201722[[#This Row],[Status]]="Active",Master201722[[#This Row],[Status_Score]],IF(C13="","",Q13+G13+S13+U13+AE13-5))</f>
        <v>-144</v>
      </c>
      <c r="AG13" s="114"/>
      <c r="AH13" s="114">
        <v>2020</v>
      </c>
      <c r="AI13" s="114">
        <v>2021</v>
      </c>
      <c r="AJ13" s="10"/>
      <c r="AK13"/>
      <c r="AL13"/>
      <c r="AM13"/>
      <c r="AN13"/>
      <c r="AO13"/>
      <c r="AP13"/>
      <c r="AQ13"/>
      <c r="AR13"/>
      <c r="AS13"/>
      <c r="AT13"/>
      <c r="AU13"/>
      <c r="AV13"/>
      <c r="AW13"/>
      <c r="AX13"/>
      <c r="AY13"/>
      <c r="AZ13"/>
      <c r="BA13"/>
      <c r="BB13"/>
      <c r="BC13"/>
      <c r="BD13"/>
      <c r="BE13"/>
      <c r="BF13"/>
      <c r="BG13"/>
      <c r="BH13"/>
      <c r="BI13"/>
      <c r="BJ13"/>
      <c r="BK13"/>
    </row>
    <row r="14" spans="1:63" s="99" customFormat="1" ht="88.5" hidden="1" customHeight="1" x14ac:dyDescent="0.25">
      <c r="A14" s="103">
        <f>A13+1</f>
        <v>9</v>
      </c>
      <c r="B14" s="111" t="s">
        <v>73</v>
      </c>
      <c r="C14" s="111" t="s">
        <v>257</v>
      </c>
      <c r="D14" s="111" t="s">
        <v>258</v>
      </c>
      <c r="E14" s="111" t="s">
        <v>888</v>
      </c>
      <c r="F14" s="111" t="s">
        <v>719</v>
      </c>
      <c r="G14" s="111">
        <f t="shared" si="0"/>
        <v>-150</v>
      </c>
      <c r="H14" s="112"/>
      <c r="I14" s="112"/>
      <c r="J14" s="112">
        <f>Master201722[[#This Row],[Initial Budget]]-Master201722[[#This Row],[Previously Committed Funds]]</f>
        <v>0</v>
      </c>
      <c r="K14" s="112"/>
      <c r="L14" s="112"/>
      <c r="M14" s="116">
        <f>Master201722[[#This Row],[Design $ (Add/Deduct)]]+Master201722[[#This Row],[Construction $ (Add/Ded)]]</f>
        <v>0</v>
      </c>
      <c r="N14" s="115">
        <v>35000</v>
      </c>
      <c r="O14" s="114">
        <v>2018</v>
      </c>
      <c r="P14" s="111" t="s">
        <v>688</v>
      </c>
      <c r="Q14" s="114">
        <f t="shared" si="2"/>
        <v>20</v>
      </c>
      <c r="R14" s="114">
        <v>1</v>
      </c>
      <c r="S14" s="114">
        <f t="shared" si="1"/>
        <v>3</v>
      </c>
      <c r="T14" s="114" t="s">
        <v>41</v>
      </c>
      <c r="U14" s="114">
        <f t="shared" si="3"/>
        <v>4</v>
      </c>
      <c r="V14" s="114" t="s">
        <v>30</v>
      </c>
      <c r="W14" s="114">
        <v>0</v>
      </c>
      <c r="X14" s="114">
        <v>0</v>
      </c>
      <c r="Y14" s="114">
        <v>0</v>
      </c>
      <c r="Z14" s="114">
        <v>0</v>
      </c>
      <c r="AA14" s="114">
        <v>0</v>
      </c>
      <c r="AB14" s="114">
        <v>0</v>
      </c>
      <c r="AC14" s="114">
        <v>0</v>
      </c>
      <c r="AD14" s="113" t="s">
        <v>29</v>
      </c>
      <c r="AE14" s="114">
        <f>VLOOKUP(Master201722[[#This Row],[Elevated Priority]],Epriority,2,)</f>
        <v>0</v>
      </c>
      <c r="AF14" s="114">
        <f>IF(Master201722[[#This Row],[Status]]="Active",Master201722[[#This Row],[Status_Score]],IF(C14="","",Q14+G14+S14+U14+AE14-5))</f>
        <v>-128</v>
      </c>
      <c r="AG14" s="114"/>
      <c r="AH14" s="114">
        <v>2020</v>
      </c>
      <c r="AI14" s="114">
        <v>2021</v>
      </c>
      <c r="AJ14" s="10" t="s">
        <v>934</v>
      </c>
      <c r="AK14"/>
      <c r="AL14"/>
      <c r="AM14"/>
      <c r="AN14"/>
      <c r="AO14"/>
      <c r="AP14"/>
      <c r="AQ14"/>
      <c r="AR14"/>
      <c r="AS14"/>
      <c r="AT14"/>
      <c r="AU14"/>
      <c r="AV14"/>
      <c r="AW14"/>
      <c r="AX14"/>
      <c r="AY14"/>
      <c r="AZ14"/>
      <c r="BA14"/>
      <c r="BB14"/>
      <c r="BC14"/>
      <c r="BD14"/>
      <c r="BE14"/>
      <c r="BF14"/>
      <c r="BG14"/>
      <c r="BH14"/>
      <c r="BI14"/>
      <c r="BJ14"/>
      <c r="BK14"/>
    </row>
    <row r="15" spans="1:63" ht="75" x14ac:dyDescent="0.25">
      <c r="A15" s="103">
        <f>A14+1</f>
        <v>10</v>
      </c>
      <c r="B15" s="111" t="s">
        <v>214</v>
      </c>
      <c r="C15" s="111" t="s">
        <v>559</v>
      </c>
      <c r="D15" s="111" t="s">
        <v>858</v>
      </c>
      <c r="E15" s="111" t="s">
        <v>881</v>
      </c>
      <c r="F15" s="111" t="s">
        <v>719</v>
      </c>
      <c r="G15" s="111">
        <f t="shared" ref="G15:G46" si="4">VLOOKUP(F15,Status_Score,2,FALSE)</f>
        <v>-150</v>
      </c>
      <c r="H15" s="112">
        <v>0</v>
      </c>
      <c r="I15" s="112">
        <v>0</v>
      </c>
      <c r="J15" s="112">
        <f>Master201722[[#This Row],[Initial Budget]]-Master201722[[#This Row],[Previously Committed Funds]]</f>
        <v>0</v>
      </c>
      <c r="K15" s="112">
        <v>350000</v>
      </c>
      <c r="L15" s="112"/>
      <c r="M15" s="116">
        <f>Master201722[[#This Row],[Design $ (Add/Deduct)]]+Master201722[[#This Row],[Construction $ (Add/Ded)]]</f>
        <v>350000</v>
      </c>
      <c r="N15" s="115">
        <v>28000000</v>
      </c>
      <c r="O15" s="114">
        <v>2018</v>
      </c>
      <c r="P15" s="111" t="s">
        <v>46</v>
      </c>
      <c r="Q15" s="114">
        <f>VLOOKUP(P15,Importance,2,FALSE)</f>
        <v>50</v>
      </c>
      <c r="R15" s="114">
        <v>3</v>
      </c>
      <c r="S15" s="114">
        <f>VLOOKUP(R15,Department,2,FALSE)</f>
        <v>9</v>
      </c>
      <c r="T15" s="114" t="s">
        <v>45</v>
      </c>
      <c r="U15" s="114">
        <f>VLOOKUP(T15,Urgency,2,FALSE)</f>
        <v>32</v>
      </c>
      <c r="V15" s="114" t="s">
        <v>34</v>
      </c>
      <c r="W15" s="114">
        <v>0</v>
      </c>
      <c r="X15" s="8">
        <v>0</v>
      </c>
      <c r="Y15" s="114">
        <v>0</v>
      </c>
      <c r="Z15" s="114">
        <v>0</v>
      </c>
      <c r="AA15" s="8">
        <v>0</v>
      </c>
      <c r="AB15" s="8">
        <v>0</v>
      </c>
      <c r="AC15" s="8">
        <v>0</v>
      </c>
      <c r="AD15" s="113" t="s">
        <v>29</v>
      </c>
      <c r="AE15" s="114">
        <f>VLOOKUP(Master201722[[#This Row],[Elevated Priority]],Epriority,2,)</f>
        <v>0</v>
      </c>
      <c r="AF15" s="114">
        <f>IF(Master201722[[#This Row],[Status]]="Active",Master201722[[#This Row],[Status_Score]],IF(C15="","",Q15+G15+S15+U15+AE15-5))</f>
        <v>-64</v>
      </c>
      <c r="AG15" s="114" t="s">
        <v>717</v>
      </c>
      <c r="AH15" s="114">
        <v>2019</v>
      </c>
      <c r="AI15" s="114">
        <v>2024</v>
      </c>
      <c r="AJ15" s="111"/>
    </row>
    <row r="16" spans="1:63" s="102" customFormat="1" ht="90" x14ac:dyDescent="0.25">
      <c r="A16" s="103">
        <f t="shared" ref="A16:A79" si="5">A15+1</f>
        <v>11</v>
      </c>
      <c r="B16" s="10" t="s">
        <v>61</v>
      </c>
      <c r="C16" s="10" t="s">
        <v>313</v>
      </c>
      <c r="D16" s="10" t="s">
        <v>890</v>
      </c>
      <c r="E16" s="10" t="s">
        <v>315</v>
      </c>
      <c r="F16" s="10" t="s">
        <v>719</v>
      </c>
      <c r="G16" s="10">
        <f t="shared" si="4"/>
        <v>-150</v>
      </c>
      <c r="H16" s="49"/>
      <c r="I16" s="49"/>
      <c r="J16" s="49">
        <f>Master201722[[#This Row],[Initial Budget]]-Master201722[[#This Row],[Previously Committed Funds]]</f>
        <v>0</v>
      </c>
      <c r="K16" s="49"/>
      <c r="L16" s="49"/>
      <c r="M16" s="97">
        <f>Master201722[[#This Row],[Design $ (Add/Deduct)]]+Master201722[[#This Row],[Construction $ (Add/Ded)]]</f>
        <v>0</v>
      </c>
      <c r="N16" s="32">
        <v>10000000</v>
      </c>
      <c r="O16" s="8">
        <v>2018</v>
      </c>
      <c r="P16" s="10" t="s">
        <v>687</v>
      </c>
      <c r="Q16" s="8">
        <f>VLOOKUP(P16,Importance,2,FALSE)</f>
        <v>30</v>
      </c>
      <c r="R16" s="8">
        <v>1</v>
      </c>
      <c r="S16" s="8">
        <f>VLOOKUP(R16,Department,2,FALSE)</f>
        <v>3</v>
      </c>
      <c r="T16" s="8" t="s">
        <v>41</v>
      </c>
      <c r="U16" s="8">
        <f>VLOOKUP(T16,Urgency,2,FALSE)</f>
        <v>4</v>
      </c>
      <c r="V16" s="8" t="s">
        <v>34</v>
      </c>
      <c r="W16" s="114">
        <v>-5</v>
      </c>
      <c r="X16" s="8">
        <v>-3</v>
      </c>
      <c r="Y16" s="8">
        <v>-3</v>
      </c>
      <c r="Z16" s="8">
        <v>-3</v>
      </c>
      <c r="AA16" s="8">
        <v>0</v>
      </c>
      <c r="AB16" s="8">
        <v>-5</v>
      </c>
      <c r="AC16" s="8">
        <v>-3</v>
      </c>
      <c r="AD16" s="17" t="s">
        <v>29</v>
      </c>
      <c r="AE16" s="8">
        <f>VLOOKUP(Master201722[[#This Row],[Elevated Priority]],Epriority,2,)</f>
        <v>0</v>
      </c>
      <c r="AF16" s="8">
        <f>IF(Master201722[[#This Row],[Status]]="Active",Master201722[[#This Row],[Status_Score]],IF(C16="","",Q16+G16+S16+U16+AE16-5))</f>
        <v>-118</v>
      </c>
      <c r="AG16" s="8"/>
      <c r="AH16" s="8">
        <v>2020</v>
      </c>
      <c r="AI16" s="8">
        <v>2023</v>
      </c>
      <c r="AJ16" s="10"/>
      <c r="AK16"/>
      <c r="AL16"/>
      <c r="AM16"/>
      <c r="AN16"/>
      <c r="AO16"/>
      <c r="AP16"/>
      <c r="AQ16"/>
      <c r="AR16"/>
      <c r="AS16"/>
      <c r="AT16"/>
      <c r="AU16"/>
      <c r="AV16"/>
      <c r="AW16"/>
      <c r="AX16"/>
      <c r="AY16"/>
      <c r="AZ16"/>
      <c r="BA16"/>
      <c r="BB16"/>
      <c r="BC16"/>
      <c r="BD16"/>
      <c r="BE16"/>
      <c r="BF16"/>
      <c r="BG16"/>
      <c r="BH16"/>
      <c r="BI16"/>
      <c r="BJ16"/>
      <c r="BK16"/>
    </row>
    <row r="17" spans="1:63" s="99" customFormat="1" ht="45" hidden="1" x14ac:dyDescent="0.25">
      <c r="A17" s="103">
        <f t="shared" si="5"/>
        <v>12</v>
      </c>
      <c r="B17" s="111" t="s">
        <v>72</v>
      </c>
      <c r="C17" s="111" t="s">
        <v>13</v>
      </c>
      <c r="D17" s="111" t="s">
        <v>845</v>
      </c>
      <c r="E17" s="111" t="s">
        <v>846</v>
      </c>
      <c r="F17" s="111" t="s">
        <v>598</v>
      </c>
      <c r="G17" s="111">
        <f t="shared" si="4"/>
        <v>-100</v>
      </c>
      <c r="H17" s="112">
        <v>2000000</v>
      </c>
      <c r="I17" s="112">
        <v>1392886</v>
      </c>
      <c r="J17" s="112">
        <f>Master201722[[#This Row],[Initial Budget]]-Master201722[[#This Row],[Previously Committed Funds]]</f>
        <v>607114</v>
      </c>
      <c r="K17" s="112"/>
      <c r="L17" s="112">
        <v>16000000</v>
      </c>
      <c r="M17" s="116">
        <f>Master201722[[#This Row],[Design $ (Add/Deduct)]]+Master201722[[#This Row],[Construction $ (Add/Ded)]]</f>
        <v>16000000</v>
      </c>
      <c r="N17" s="112">
        <f>Master201722[[#This Row],[Total Add]]+Master201722[[#This Row],[Current Available Balance]]+Master201722[[#This Row],[Previously Committed Funds]]</f>
        <v>18000000</v>
      </c>
      <c r="O17" s="113">
        <v>2018</v>
      </c>
      <c r="P17" s="111" t="s">
        <v>29</v>
      </c>
      <c r="Q17" s="111">
        <f>VLOOKUP(P17,Importance, 2, FALSE)</f>
        <v>0</v>
      </c>
      <c r="R17" s="113" t="s">
        <v>29</v>
      </c>
      <c r="S17" s="111">
        <f>VLOOKUP(R17,Department,2,FALSE)</f>
        <v>0</v>
      </c>
      <c r="T17" s="111" t="s">
        <v>29</v>
      </c>
      <c r="U17" s="111">
        <f>VLOOKUP(T17,Urgency,2,FALSE)</f>
        <v>0</v>
      </c>
      <c r="V17" s="111" t="s">
        <v>38</v>
      </c>
      <c r="W17" s="111"/>
      <c r="X17" s="111"/>
      <c r="Y17" s="111"/>
      <c r="Z17" s="111"/>
      <c r="AA17" s="111"/>
      <c r="AB17" s="111"/>
      <c r="AC17" s="111"/>
      <c r="AD17" s="111" t="s">
        <v>29</v>
      </c>
      <c r="AE17" s="111">
        <f>VLOOKUP(Master201722[[#This Row],[Elevated Priority]],Epriority,2,)</f>
        <v>0</v>
      </c>
      <c r="AF17" s="113">
        <f>IF(Master201722[[#This Row],[Status]]="Active",Master201722[[#This Row],[Status_Score]],IF(C17="","",Q17+G17+S17+U17+AE17-5))</f>
        <v>-100</v>
      </c>
      <c r="AG17" s="114" t="s">
        <v>757</v>
      </c>
      <c r="AH17" s="114">
        <v>2017</v>
      </c>
      <c r="AI17" s="114">
        <v>2020</v>
      </c>
      <c r="AJ17" s="111" t="s">
        <v>157</v>
      </c>
      <c r="AK17"/>
      <c r="AL17"/>
      <c r="AM17"/>
      <c r="AN17"/>
      <c r="AO17"/>
      <c r="AP17"/>
      <c r="AQ17"/>
      <c r="AR17"/>
      <c r="AS17"/>
      <c r="AT17"/>
      <c r="AU17"/>
      <c r="AV17"/>
      <c r="AW17"/>
      <c r="AX17"/>
      <c r="AY17"/>
      <c r="AZ17"/>
      <c r="BA17"/>
      <c r="BB17"/>
      <c r="BC17"/>
      <c r="BD17"/>
      <c r="BE17"/>
      <c r="BF17"/>
      <c r="BG17"/>
      <c r="BH17"/>
      <c r="BI17"/>
      <c r="BJ17"/>
      <c r="BK17"/>
    </row>
    <row r="18" spans="1:63" s="99" customFormat="1" ht="120" hidden="1" x14ac:dyDescent="0.25">
      <c r="A18" s="103">
        <f t="shared" si="5"/>
        <v>13</v>
      </c>
      <c r="B18" s="111" t="s">
        <v>94</v>
      </c>
      <c r="C18" s="111" t="s">
        <v>99</v>
      </c>
      <c r="D18" s="111" t="s">
        <v>875</v>
      </c>
      <c r="E18" s="111" t="s">
        <v>876</v>
      </c>
      <c r="F18" s="111" t="s">
        <v>598</v>
      </c>
      <c r="G18" s="111">
        <f t="shared" si="4"/>
        <v>-100</v>
      </c>
      <c r="H18" s="112">
        <v>150000</v>
      </c>
      <c r="I18" s="112">
        <v>0</v>
      </c>
      <c r="J18" s="112">
        <f>Master201722[[#This Row],[Initial Budget]]-Master201722[[#This Row],[Previously Committed Funds]]</f>
        <v>150000</v>
      </c>
      <c r="K18" s="112">
        <v>0</v>
      </c>
      <c r="L18" s="112">
        <v>0</v>
      </c>
      <c r="M18" s="116">
        <v>1850000</v>
      </c>
      <c r="N18" s="115">
        <f>Master201722[[#This Row],[Total Add]]+Master201722[[#This Row],[Current Available Balance]]</f>
        <v>2000000</v>
      </c>
      <c r="O18" s="114">
        <v>2018</v>
      </c>
      <c r="P18" s="111" t="s">
        <v>32</v>
      </c>
      <c r="Q18" s="114">
        <f>VLOOKUP(P18,Importance,2,FALSE)</f>
        <v>1</v>
      </c>
      <c r="R18" s="114">
        <v>1</v>
      </c>
      <c r="S18" s="114">
        <f>VLOOKUP(R18,Department,2,FALSE)</f>
        <v>3</v>
      </c>
      <c r="T18" s="114" t="s">
        <v>37</v>
      </c>
      <c r="U18" s="114">
        <f>VLOOKUP(T18,Urgency,2,FALSE)</f>
        <v>3</v>
      </c>
      <c r="V18" s="114" t="s">
        <v>30</v>
      </c>
      <c r="W18" s="114">
        <v>0</v>
      </c>
      <c r="X18" s="114">
        <v>0</v>
      </c>
      <c r="Y18" s="114">
        <v>0</v>
      </c>
      <c r="Z18" s="114">
        <v>0</v>
      </c>
      <c r="AA18" s="114">
        <v>0</v>
      </c>
      <c r="AB18" s="114">
        <v>0</v>
      </c>
      <c r="AC18" s="114">
        <v>0</v>
      </c>
      <c r="AD18" s="113" t="s">
        <v>29</v>
      </c>
      <c r="AE18" s="114">
        <f>VLOOKUP(Master201722[[#This Row],[Elevated Priority]],Epriority,2,)</f>
        <v>0</v>
      </c>
      <c r="AF18" s="114">
        <f>IF(Master201722[[#This Row],[Status]]="Active",Master201722[[#This Row],[Status_Score]],IF(C18="","",Q18+G18+S18+U18+AE18-5))</f>
        <v>-100</v>
      </c>
      <c r="AG18" s="114" t="s">
        <v>715</v>
      </c>
      <c r="AH18" s="114">
        <v>2019</v>
      </c>
      <c r="AI18" s="114">
        <v>2020</v>
      </c>
      <c r="AJ18" s="111"/>
      <c r="AK18"/>
      <c r="AL18"/>
      <c r="AM18"/>
      <c r="AN18"/>
      <c r="AO18"/>
      <c r="AP18"/>
      <c r="AQ18"/>
      <c r="AR18"/>
      <c r="AS18"/>
      <c r="AT18"/>
      <c r="AU18"/>
      <c r="AV18"/>
      <c r="AW18"/>
      <c r="AX18"/>
      <c r="AY18"/>
      <c r="AZ18"/>
      <c r="BA18"/>
      <c r="BB18"/>
      <c r="BC18"/>
      <c r="BD18"/>
      <c r="BE18"/>
      <c r="BF18"/>
      <c r="BG18"/>
      <c r="BH18"/>
      <c r="BI18"/>
      <c r="BJ18"/>
      <c r="BK18"/>
    </row>
    <row r="19" spans="1:63" s="99" customFormat="1" ht="30" hidden="1" x14ac:dyDescent="0.25">
      <c r="A19" s="103">
        <f t="shared" si="5"/>
        <v>14</v>
      </c>
      <c r="B19" s="111" t="s">
        <v>61</v>
      </c>
      <c r="C19" s="111" t="s">
        <v>642</v>
      </c>
      <c r="D19" s="111" t="s">
        <v>643</v>
      </c>
      <c r="E19" s="111" t="s">
        <v>644</v>
      </c>
      <c r="F19" s="111" t="s">
        <v>598</v>
      </c>
      <c r="G19" s="111">
        <f t="shared" si="4"/>
        <v>-100</v>
      </c>
      <c r="H19" s="112"/>
      <c r="I19" s="112"/>
      <c r="J19" s="112">
        <f>Master201722[[#This Row],[Initial Budget]]-Master201722[[#This Row],[Previously Committed Funds]]</f>
        <v>0</v>
      </c>
      <c r="K19" s="112"/>
      <c r="L19" s="112">
        <v>550000</v>
      </c>
      <c r="M19" s="116">
        <f>Master201722[[#This Row],[Design $ (Add/Deduct)]]+Master201722[[#This Row],[Construction $ (Add/Ded)]]</f>
        <v>550000</v>
      </c>
      <c r="N19" s="115">
        <v>550000</v>
      </c>
      <c r="O19" s="114">
        <v>2018</v>
      </c>
      <c r="P19" s="111" t="s">
        <v>36</v>
      </c>
      <c r="Q19" s="114">
        <f>VLOOKUP(P19,Importance,2,FALSE)</f>
        <v>10</v>
      </c>
      <c r="R19" s="114">
        <v>1</v>
      </c>
      <c r="S19" s="114">
        <f>VLOOKUP(R19,Department,2,FALSE)</f>
        <v>3</v>
      </c>
      <c r="T19" s="114" t="s">
        <v>33</v>
      </c>
      <c r="U19" s="114">
        <f>VLOOKUP(T19,Urgency,2,FALSE)</f>
        <v>1</v>
      </c>
      <c r="V19" s="114" t="s">
        <v>30</v>
      </c>
      <c r="W19" s="114">
        <v>0</v>
      </c>
      <c r="X19" s="114">
        <v>0</v>
      </c>
      <c r="Y19" s="114">
        <v>0</v>
      </c>
      <c r="Z19" s="114">
        <v>0</v>
      </c>
      <c r="AA19" s="114">
        <v>0</v>
      </c>
      <c r="AB19" s="114">
        <v>0</v>
      </c>
      <c r="AC19" s="114">
        <v>0</v>
      </c>
      <c r="AD19" s="114" t="s">
        <v>29</v>
      </c>
      <c r="AE19" s="114">
        <f>VLOOKUP(Master201722[[#This Row],[Elevated Priority]],Epriority,2,)</f>
        <v>0</v>
      </c>
      <c r="AF19" s="114">
        <f>IF(Master201722[[#This Row],[Status]]="Active",Master201722[[#This Row],[Status_Score]],IF(C19="","",Q19+G19+S19+U19+AE19-5))</f>
        <v>-100</v>
      </c>
      <c r="AG19" s="114" t="s">
        <v>760</v>
      </c>
      <c r="AH19" s="114">
        <v>2019</v>
      </c>
      <c r="AI19" s="114">
        <v>2020</v>
      </c>
      <c r="AJ19" s="111" t="s">
        <v>724</v>
      </c>
      <c r="AK19"/>
      <c r="AL19"/>
      <c r="AM19"/>
      <c r="AN19"/>
      <c r="AO19"/>
      <c r="AP19"/>
      <c r="AQ19"/>
      <c r="AR19"/>
      <c r="AS19"/>
      <c r="AT19"/>
      <c r="AU19"/>
      <c r="AV19"/>
      <c r="AW19"/>
      <c r="AX19"/>
      <c r="AY19"/>
      <c r="AZ19"/>
      <c r="BA19"/>
      <c r="BB19"/>
      <c r="BC19"/>
      <c r="BD19"/>
      <c r="BE19"/>
      <c r="BF19"/>
      <c r="BG19"/>
      <c r="BH19"/>
      <c r="BI19"/>
      <c r="BJ19"/>
      <c r="BK19"/>
    </row>
    <row r="20" spans="1:63" s="99" customFormat="1" ht="45" x14ac:dyDescent="0.25">
      <c r="A20" s="103">
        <f t="shared" si="5"/>
        <v>15</v>
      </c>
      <c r="B20" s="111" t="s">
        <v>94</v>
      </c>
      <c r="C20" s="111" t="s">
        <v>726</v>
      </c>
      <c r="D20" s="111" t="s">
        <v>727</v>
      </c>
      <c r="E20" s="111" t="s">
        <v>728</v>
      </c>
      <c r="F20" s="111" t="s">
        <v>598</v>
      </c>
      <c r="G20" s="111">
        <f t="shared" si="4"/>
        <v>-100</v>
      </c>
      <c r="H20" s="112">
        <v>1353185</v>
      </c>
      <c r="I20" s="112"/>
      <c r="J20" s="112">
        <f>Master201722[[#This Row],[Initial Budget]]-Master201722[[#This Row],[Previously Committed Funds]]</f>
        <v>1353185</v>
      </c>
      <c r="K20" s="112"/>
      <c r="L20" s="112"/>
      <c r="M20" s="116">
        <f>Master201722[[#This Row],[Design $ (Add/Deduct)]]+Master201722[[#This Row],[Construction $ (Add/Ded)]]</f>
        <v>0</v>
      </c>
      <c r="N20" s="112">
        <f>Master201722[[#This Row],[Total Add]]+Master201722[[#This Row],[Current Available Balance]]+Master201722[[#This Row],[Previously Committed Funds]]</f>
        <v>1353185</v>
      </c>
      <c r="O20" s="114">
        <v>2018</v>
      </c>
      <c r="P20" s="111" t="s">
        <v>46</v>
      </c>
      <c r="Q20" s="114"/>
      <c r="R20" s="114">
        <v>1</v>
      </c>
      <c r="S20" s="114"/>
      <c r="T20" s="114" t="s">
        <v>41</v>
      </c>
      <c r="U20" s="114"/>
      <c r="V20" s="114" t="s">
        <v>34</v>
      </c>
      <c r="W20" s="114">
        <v>0</v>
      </c>
      <c r="X20" s="8">
        <v>0</v>
      </c>
      <c r="Y20" s="114">
        <v>0</v>
      </c>
      <c r="Z20" s="114">
        <v>0</v>
      </c>
      <c r="AA20" s="8">
        <v>0</v>
      </c>
      <c r="AB20" s="8">
        <v>0</v>
      </c>
      <c r="AC20" s="8">
        <v>0</v>
      </c>
      <c r="AD20" s="113" t="s">
        <v>29</v>
      </c>
      <c r="AE20" s="114">
        <f>VLOOKUP(Master201722[[#This Row],[Elevated Priority]],Epriority,2,)</f>
        <v>0</v>
      </c>
      <c r="AF20" s="114">
        <f>IF(Master201722[[#This Row],[Status]]="Active",Master201722[[#This Row],[Status_Score]],IF(C20="","",Q20+G20+S20+U20+AE20-5))</f>
        <v>-100</v>
      </c>
      <c r="AG20" s="114" t="s">
        <v>717</v>
      </c>
      <c r="AH20" s="114">
        <v>2019</v>
      </c>
      <c r="AI20" s="114">
        <v>2021</v>
      </c>
      <c r="AJ20" s="111" t="s">
        <v>729</v>
      </c>
      <c r="AK20"/>
      <c r="AL20"/>
      <c r="AM20"/>
      <c r="AN20"/>
      <c r="AO20"/>
      <c r="AP20"/>
      <c r="AQ20"/>
      <c r="AR20"/>
      <c r="AS20"/>
      <c r="AT20"/>
      <c r="AU20"/>
      <c r="AV20"/>
      <c r="AW20"/>
      <c r="AX20"/>
      <c r="AY20"/>
      <c r="AZ20"/>
      <c r="BA20"/>
      <c r="BB20"/>
      <c r="BC20"/>
      <c r="BD20"/>
      <c r="BE20"/>
      <c r="BF20"/>
      <c r="BG20"/>
      <c r="BH20"/>
      <c r="BI20"/>
      <c r="BJ20"/>
      <c r="BK20"/>
    </row>
    <row r="21" spans="1:63" s="99" customFormat="1" ht="45" x14ac:dyDescent="0.25">
      <c r="A21" s="103">
        <f t="shared" si="5"/>
        <v>16</v>
      </c>
      <c r="B21" s="111" t="s">
        <v>923</v>
      </c>
      <c r="C21" s="111" t="s">
        <v>931</v>
      </c>
      <c r="D21" s="111" t="s">
        <v>932</v>
      </c>
      <c r="E21" s="111" t="s">
        <v>933</v>
      </c>
      <c r="F21" s="111" t="s">
        <v>598</v>
      </c>
      <c r="G21" s="111">
        <f t="shared" si="4"/>
        <v>-100</v>
      </c>
      <c r="H21" s="112"/>
      <c r="I21" s="112"/>
      <c r="J21" s="112">
        <f>Master201722[[#This Row],[Initial Budget]]-Master201722[[#This Row],[Previously Committed Funds]]</f>
        <v>0</v>
      </c>
      <c r="K21" s="112"/>
      <c r="L21" s="112"/>
      <c r="M21" s="116">
        <f>Master201722[[#This Row],[Design $ (Add/Deduct)]]+Master201722[[#This Row],[Construction $ (Add/Ded)]]</f>
        <v>0</v>
      </c>
      <c r="N21" s="115">
        <v>15000000</v>
      </c>
      <c r="O21" s="114">
        <v>2019</v>
      </c>
      <c r="P21" s="111" t="s">
        <v>46</v>
      </c>
      <c r="Q21" s="114">
        <f>VLOOKUP(P21,Importance,2,FALSE)</f>
        <v>50</v>
      </c>
      <c r="R21" s="114" t="s">
        <v>29</v>
      </c>
      <c r="S21" s="114">
        <f t="shared" ref="S21:S52" si="6">VLOOKUP(R21,Department,2,FALSE)</f>
        <v>0</v>
      </c>
      <c r="T21" s="114" t="s">
        <v>45</v>
      </c>
      <c r="U21" s="114">
        <f t="shared" ref="U21:U52" si="7">VLOOKUP(T21,Urgency,2,FALSE)</f>
        <v>32</v>
      </c>
      <c r="V21" s="114" t="s">
        <v>34</v>
      </c>
      <c r="W21" s="114">
        <v>0</v>
      </c>
      <c r="X21" s="114">
        <v>0</v>
      </c>
      <c r="Y21" s="114">
        <v>0</v>
      </c>
      <c r="Z21" s="114">
        <v>0</v>
      </c>
      <c r="AA21" s="114">
        <v>0</v>
      </c>
      <c r="AB21" s="114">
        <v>0</v>
      </c>
      <c r="AC21" s="114">
        <v>0</v>
      </c>
      <c r="AD21" s="113" t="s">
        <v>35</v>
      </c>
      <c r="AE21" s="114">
        <f>VLOOKUP(Master201722[[#This Row],[Elevated Priority]],Epriority,2,)</f>
        <v>-50</v>
      </c>
      <c r="AF21" s="114">
        <f>IF(Master201722[[#This Row],[Status]]="Active",Master201722[[#This Row],[Status_Score]],IF(C21="","",Q21+G21+S21+U21+AE21-5))</f>
        <v>-100</v>
      </c>
      <c r="AG21" s="114"/>
      <c r="AH21" s="114">
        <v>2020</v>
      </c>
      <c r="AI21" s="114"/>
      <c r="AJ21" s="111"/>
      <c r="AK21"/>
      <c r="AL21"/>
      <c r="AM21"/>
      <c r="AN21"/>
      <c r="AO21"/>
      <c r="AP21"/>
      <c r="AQ21"/>
      <c r="AR21"/>
      <c r="AS21"/>
      <c r="AT21"/>
      <c r="AU21"/>
      <c r="AV21"/>
      <c r="AW21"/>
      <c r="AX21"/>
      <c r="AY21"/>
      <c r="AZ21"/>
      <c r="BA21"/>
      <c r="BB21"/>
      <c r="BC21"/>
      <c r="BD21"/>
      <c r="BE21"/>
      <c r="BF21"/>
      <c r="BG21"/>
      <c r="BH21"/>
      <c r="BI21"/>
      <c r="BJ21"/>
      <c r="BK21"/>
    </row>
    <row r="22" spans="1:63" s="99" customFormat="1" ht="390" hidden="1" x14ac:dyDescent="0.25">
      <c r="A22" s="103">
        <f t="shared" si="5"/>
        <v>17</v>
      </c>
      <c r="B22" s="120" t="s">
        <v>152</v>
      </c>
      <c r="C22" s="111" t="s">
        <v>185</v>
      </c>
      <c r="D22" s="111" t="s">
        <v>781</v>
      </c>
      <c r="E22" s="111" t="s">
        <v>782</v>
      </c>
      <c r="F22" s="111" t="s">
        <v>598</v>
      </c>
      <c r="G22" s="111">
        <f t="shared" si="4"/>
        <v>-100</v>
      </c>
      <c r="H22" s="112">
        <v>0</v>
      </c>
      <c r="I22" s="112">
        <v>0</v>
      </c>
      <c r="J22" s="112">
        <f>Master201722[[#This Row],[Initial Budget]]-Master201722[[#This Row],[Previously Committed Funds]]</f>
        <v>0</v>
      </c>
      <c r="K22" s="112">
        <v>0</v>
      </c>
      <c r="L22" s="112">
        <v>0</v>
      </c>
      <c r="M22" s="116">
        <v>250000</v>
      </c>
      <c r="N22" s="112">
        <f>Master201722[[#This Row],[Total Add]]+Master201722[[#This Row],[Current Available Balance]]+Master201722[[#This Row],[Previously Committed Funds]]</f>
        <v>250000</v>
      </c>
      <c r="O22" s="114">
        <v>2018</v>
      </c>
      <c r="P22" s="111" t="s">
        <v>688</v>
      </c>
      <c r="Q22" s="114">
        <f>VLOOKUP(P22,Importance,2,FALSE)</f>
        <v>20</v>
      </c>
      <c r="R22" s="114">
        <v>1</v>
      </c>
      <c r="S22" s="114">
        <f t="shared" si="6"/>
        <v>3</v>
      </c>
      <c r="T22" s="114" t="s">
        <v>37</v>
      </c>
      <c r="U22" s="114">
        <f t="shared" si="7"/>
        <v>3</v>
      </c>
      <c r="V22" s="114" t="s">
        <v>30</v>
      </c>
      <c r="W22" s="8">
        <v>0</v>
      </c>
      <c r="X22" s="114">
        <v>0</v>
      </c>
      <c r="Y22" s="114">
        <v>0</v>
      </c>
      <c r="Z22" s="114">
        <v>0</v>
      </c>
      <c r="AA22" s="114">
        <v>0</v>
      </c>
      <c r="AB22" s="114">
        <v>0</v>
      </c>
      <c r="AC22" s="114">
        <v>0</v>
      </c>
      <c r="AD22" s="113" t="s">
        <v>29</v>
      </c>
      <c r="AE22" s="114">
        <f>VLOOKUP(Master201722[[#This Row],[Elevated Priority]],Epriority,2,)</f>
        <v>0</v>
      </c>
      <c r="AF22" s="114">
        <f>IF(Master201722[[#This Row],[Status]]="Active",Master201722[[#This Row],[Status_Score]],IF(C22="","",Q22+G22+S22+U22+AE22-5))</f>
        <v>-100</v>
      </c>
      <c r="AG22" s="114" t="s">
        <v>718</v>
      </c>
      <c r="AH22" s="114">
        <v>2017</v>
      </c>
      <c r="AI22" s="114">
        <v>2020</v>
      </c>
      <c r="AJ22" s="111" t="s">
        <v>710</v>
      </c>
      <c r="AK22"/>
      <c r="AL22"/>
      <c r="AM22"/>
      <c r="AN22"/>
      <c r="AO22"/>
      <c r="AP22"/>
      <c r="AQ22"/>
      <c r="AR22"/>
      <c r="AS22"/>
      <c r="AT22"/>
      <c r="AU22"/>
      <c r="AV22"/>
      <c r="AW22"/>
      <c r="AX22"/>
      <c r="AY22"/>
      <c r="AZ22"/>
      <c r="BA22"/>
      <c r="BB22"/>
      <c r="BC22"/>
      <c r="BD22"/>
      <c r="BE22"/>
      <c r="BF22"/>
      <c r="BG22"/>
      <c r="BH22"/>
      <c r="BI22"/>
      <c r="BJ22"/>
      <c r="BK22"/>
    </row>
    <row r="23" spans="1:63" s="99" customFormat="1" ht="30" hidden="1" x14ac:dyDescent="0.25">
      <c r="A23" s="103">
        <f t="shared" si="5"/>
        <v>18</v>
      </c>
      <c r="B23" s="111" t="s">
        <v>70</v>
      </c>
      <c r="C23" s="111" t="s">
        <v>744</v>
      </c>
      <c r="D23" s="111" t="s">
        <v>856</v>
      </c>
      <c r="E23" s="111" t="s">
        <v>857</v>
      </c>
      <c r="F23" s="111" t="s">
        <v>598</v>
      </c>
      <c r="G23" s="111">
        <f t="shared" si="4"/>
        <v>-100</v>
      </c>
      <c r="H23" s="112">
        <v>1513007</v>
      </c>
      <c r="I23" s="112"/>
      <c r="J23" s="112">
        <f>Master201722[[#This Row],[Initial Budget]]-Master201722[[#This Row],[Previously Committed Funds]]</f>
        <v>1513007</v>
      </c>
      <c r="K23" s="112"/>
      <c r="L23" s="112"/>
      <c r="M23" s="116">
        <f>Master201722[[#This Row],[Design $ (Add/Deduct)]]+Master201722[[#This Row],[Construction $ (Add/Ded)]]</f>
        <v>0</v>
      </c>
      <c r="N23" s="115">
        <v>2500000</v>
      </c>
      <c r="O23" s="114">
        <v>2018</v>
      </c>
      <c r="P23" s="111" t="s">
        <v>29</v>
      </c>
      <c r="Q23" s="114">
        <f>VLOOKUP(P23,Importance, 2, FALSE)</f>
        <v>0</v>
      </c>
      <c r="R23" s="114" t="s">
        <v>29</v>
      </c>
      <c r="S23" s="114">
        <f t="shared" si="6"/>
        <v>0</v>
      </c>
      <c r="T23" s="114" t="s">
        <v>29</v>
      </c>
      <c r="U23" s="114">
        <f t="shared" si="7"/>
        <v>0</v>
      </c>
      <c r="V23" s="114" t="s">
        <v>38</v>
      </c>
      <c r="W23" s="114"/>
      <c r="X23" s="114"/>
      <c r="Y23" s="114"/>
      <c r="Z23" s="114"/>
      <c r="AA23" s="114"/>
      <c r="AB23" s="114"/>
      <c r="AC23" s="114"/>
      <c r="AD23" s="113" t="s">
        <v>29</v>
      </c>
      <c r="AE23" s="114">
        <f>VLOOKUP(Master201722[[#This Row],[Elevated Priority]],Epriority,2,)</f>
        <v>0</v>
      </c>
      <c r="AF23" s="114">
        <f>IF(Master201722[[#This Row],[Status]]="Active",Master201722[[#This Row],[Status_Score]],IF(C23="","",Q23+G23+S23+U23+AE23-5))</f>
        <v>-100</v>
      </c>
      <c r="AG23" s="114" t="s">
        <v>716</v>
      </c>
      <c r="AH23" s="114">
        <v>2017</v>
      </c>
      <c r="AI23" s="114">
        <v>2021</v>
      </c>
      <c r="AJ23" s="111"/>
      <c r="AK23"/>
      <c r="AL23"/>
      <c r="AM23"/>
      <c r="AN23"/>
      <c r="AO23"/>
      <c r="AP23"/>
      <c r="AQ23"/>
      <c r="AR23"/>
      <c r="AS23"/>
      <c r="AT23"/>
      <c r="AU23"/>
      <c r="AV23"/>
      <c r="AW23"/>
      <c r="AX23"/>
      <c r="AY23"/>
      <c r="AZ23"/>
      <c r="BA23"/>
      <c r="BB23"/>
      <c r="BC23"/>
      <c r="BD23"/>
      <c r="BE23"/>
      <c r="BF23"/>
      <c r="BG23"/>
      <c r="BH23"/>
      <c r="BI23"/>
      <c r="BJ23"/>
      <c r="BK23"/>
    </row>
    <row r="24" spans="1:63" ht="30" x14ac:dyDescent="0.25">
      <c r="A24" s="103">
        <f t="shared" si="5"/>
        <v>19</v>
      </c>
      <c r="B24" s="10" t="s">
        <v>72</v>
      </c>
      <c r="C24" s="10" t="s">
        <v>762</v>
      </c>
      <c r="D24" s="10" t="s">
        <v>770</v>
      </c>
      <c r="E24" s="49" t="s">
        <v>771</v>
      </c>
      <c r="F24" s="10" t="s">
        <v>29</v>
      </c>
      <c r="G24" s="10">
        <f t="shared" si="4"/>
        <v>0</v>
      </c>
      <c r="H24" s="49"/>
      <c r="I24" s="49"/>
      <c r="J24" s="49">
        <f>Master201722[[#This Row],[Initial Budget]]-Master201722[[#This Row],[Previously Committed Funds]]</f>
        <v>0</v>
      </c>
      <c r="K24" s="49"/>
      <c r="L24" s="49"/>
      <c r="M24" s="97">
        <f>Master201722[[#This Row],[Design $ (Add/Deduct)]]+Master201722[[#This Row],[Construction $ (Add/Ded)]]</f>
        <v>0</v>
      </c>
      <c r="N24" s="32">
        <v>800000</v>
      </c>
      <c r="O24" s="8">
        <v>2018</v>
      </c>
      <c r="P24" s="10" t="s">
        <v>32</v>
      </c>
      <c r="Q24" s="8">
        <f t="shared" ref="Q24:Q55" si="8">VLOOKUP(P24,Importance,2,FALSE)</f>
        <v>1</v>
      </c>
      <c r="R24" s="8">
        <v>3</v>
      </c>
      <c r="S24" s="8">
        <f t="shared" si="6"/>
        <v>9</v>
      </c>
      <c r="T24" s="8" t="s">
        <v>37</v>
      </c>
      <c r="U24" s="8">
        <f t="shared" si="7"/>
        <v>3</v>
      </c>
      <c r="V24" s="8" t="s">
        <v>34</v>
      </c>
      <c r="W24" s="114">
        <v>0</v>
      </c>
      <c r="X24" s="8">
        <v>0</v>
      </c>
      <c r="Y24" s="8">
        <v>0</v>
      </c>
      <c r="Z24" s="8">
        <v>-3</v>
      </c>
      <c r="AA24" s="8">
        <v>0</v>
      </c>
      <c r="AB24" s="8">
        <v>0</v>
      </c>
      <c r="AC24" s="8">
        <v>-3</v>
      </c>
      <c r="AD24" s="17" t="s">
        <v>29</v>
      </c>
      <c r="AE24" s="8">
        <f>VLOOKUP(Master201722[[#This Row],[Elevated Priority]],Epriority,2,)</f>
        <v>0</v>
      </c>
      <c r="AF24" s="8">
        <f>IF(Master201722[[#This Row],[Status]]="Active",Master201722[[#This Row],[Status_Score]],IF(C24="","",Q24+G24+S24+U24+AE24-5))</f>
        <v>8</v>
      </c>
      <c r="AG24" s="8"/>
      <c r="AH24" s="8">
        <v>2020</v>
      </c>
      <c r="AI24" s="8">
        <v>2022</v>
      </c>
      <c r="AJ24" s="10"/>
    </row>
    <row r="25" spans="1:63" ht="30" x14ac:dyDescent="0.25">
      <c r="A25" s="103">
        <f t="shared" si="5"/>
        <v>20</v>
      </c>
      <c r="B25" s="125" t="s">
        <v>61</v>
      </c>
      <c r="C25" s="127" t="s">
        <v>839</v>
      </c>
      <c r="D25" s="67" t="s">
        <v>812</v>
      </c>
      <c r="E25" s="110" t="s">
        <v>813</v>
      </c>
      <c r="F25" s="10" t="s">
        <v>29</v>
      </c>
      <c r="G25" s="10">
        <f t="shared" si="4"/>
        <v>0</v>
      </c>
      <c r="H25" s="49"/>
      <c r="I25" s="49"/>
      <c r="J25" s="49">
        <f>Master201722[[#This Row],[Initial Budget]]-Master201722[[#This Row],[Previously Committed Funds]]</f>
        <v>0</v>
      </c>
      <c r="K25" s="49"/>
      <c r="L25" s="49"/>
      <c r="M25" s="97">
        <f>Master201722[[#This Row],[Design $ (Add/Deduct)]]+Master201722[[#This Row],[Construction $ (Add/Ded)]]</f>
        <v>0</v>
      </c>
      <c r="N25" s="32">
        <v>2000000</v>
      </c>
      <c r="O25" s="8">
        <v>2020</v>
      </c>
      <c r="P25" s="10" t="s">
        <v>688</v>
      </c>
      <c r="Q25" s="8">
        <f t="shared" si="8"/>
        <v>20</v>
      </c>
      <c r="R25" s="8">
        <v>1</v>
      </c>
      <c r="S25" s="8">
        <f t="shared" si="6"/>
        <v>3</v>
      </c>
      <c r="T25" s="8" t="s">
        <v>41</v>
      </c>
      <c r="U25" s="8">
        <f t="shared" si="7"/>
        <v>4</v>
      </c>
      <c r="V25" s="8" t="s">
        <v>34</v>
      </c>
      <c r="W25" s="114">
        <v>0</v>
      </c>
      <c r="X25" s="8">
        <v>0</v>
      </c>
      <c r="Y25" s="8">
        <v>-3</v>
      </c>
      <c r="Z25" s="8">
        <v>-3</v>
      </c>
      <c r="AA25" s="8">
        <v>0</v>
      </c>
      <c r="AB25" s="8">
        <v>-5</v>
      </c>
      <c r="AC25" s="8">
        <v>-3</v>
      </c>
      <c r="AD25" s="17" t="s">
        <v>29</v>
      </c>
      <c r="AE25" s="8">
        <f>VLOOKUP(Master201722[[#This Row],[Elevated Priority]],Epriority,2,)</f>
        <v>0</v>
      </c>
      <c r="AF25" s="8">
        <f>IF(Master201722[[#This Row],[Status]]="Active",Master201722[[#This Row],[Status_Score]],IF(C25="","",Q25+G25+S25+U25+AE25-5))</f>
        <v>22</v>
      </c>
      <c r="AG25" s="8"/>
      <c r="AH25" s="8">
        <v>2021</v>
      </c>
      <c r="AI25" s="8">
        <v>2022</v>
      </c>
      <c r="AJ25" s="10" t="s">
        <v>975</v>
      </c>
    </row>
    <row r="26" spans="1:63" s="99" customFormat="1" ht="30" hidden="1" x14ac:dyDescent="0.25">
      <c r="A26" s="103">
        <f t="shared" si="5"/>
        <v>21</v>
      </c>
      <c r="B26" s="111" t="s">
        <v>79</v>
      </c>
      <c r="C26" s="111" t="s">
        <v>113</v>
      </c>
      <c r="D26" s="111" t="s">
        <v>114</v>
      </c>
      <c r="E26" s="111" t="s">
        <v>115</v>
      </c>
      <c r="F26" s="111" t="s">
        <v>598</v>
      </c>
      <c r="G26" s="111">
        <f t="shared" si="4"/>
        <v>-100</v>
      </c>
      <c r="H26" s="112"/>
      <c r="I26" s="112"/>
      <c r="J26" s="112">
        <f>Master201722[[#This Row],[Initial Budget]]-Master201722[[#This Row],[Previously Committed Funds]]</f>
        <v>0</v>
      </c>
      <c r="K26" s="112"/>
      <c r="L26" s="112"/>
      <c r="M26" s="116">
        <f>Master201722[[#This Row],[Design $ (Add/Deduct)]]+Master201722[[#This Row],[Construction $ (Add/Ded)]]</f>
        <v>0</v>
      </c>
      <c r="N26" s="115">
        <v>25000</v>
      </c>
      <c r="O26" s="114">
        <v>2018</v>
      </c>
      <c r="P26" s="111" t="s">
        <v>32</v>
      </c>
      <c r="Q26" s="114">
        <f t="shared" si="8"/>
        <v>1</v>
      </c>
      <c r="R26" s="114">
        <v>2</v>
      </c>
      <c r="S26" s="114">
        <f t="shared" si="6"/>
        <v>6</v>
      </c>
      <c r="T26" s="114" t="s">
        <v>41</v>
      </c>
      <c r="U26" s="114">
        <f t="shared" si="7"/>
        <v>4</v>
      </c>
      <c r="V26" s="114" t="s">
        <v>30</v>
      </c>
      <c r="W26" s="8">
        <v>0</v>
      </c>
      <c r="X26" s="114">
        <v>0</v>
      </c>
      <c r="Y26" s="114">
        <v>0</v>
      </c>
      <c r="Z26" s="114">
        <v>0</v>
      </c>
      <c r="AA26" s="114">
        <v>0</v>
      </c>
      <c r="AB26" s="114">
        <v>0</v>
      </c>
      <c r="AC26" s="114">
        <v>0</v>
      </c>
      <c r="AD26" s="113" t="s">
        <v>29</v>
      </c>
      <c r="AE26" s="114">
        <f>VLOOKUP(Master201722[[#This Row],[Elevated Priority]],Epriority,2,)</f>
        <v>0</v>
      </c>
      <c r="AF26" s="114">
        <f>IF(Master201722[[#This Row],[Status]]="Active",Master201722[[#This Row],[Status_Score]],IF(C26="","",Q26+G26+S26+U26+AE26-5))</f>
        <v>-100</v>
      </c>
      <c r="AG26" s="114"/>
      <c r="AH26" s="114"/>
      <c r="AI26" s="114">
        <v>2020</v>
      </c>
      <c r="AJ26" s="111" t="s">
        <v>723</v>
      </c>
      <c r="AK26"/>
      <c r="AL26"/>
      <c r="AM26"/>
      <c r="AN26"/>
      <c r="AO26"/>
      <c r="AP26"/>
      <c r="AQ26"/>
      <c r="AR26"/>
      <c r="AS26"/>
      <c r="AT26"/>
      <c r="AU26"/>
      <c r="AV26"/>
      <c r="AW26"/>
      <c r="AX26"/>
      <c r="AY26"/>
      <c r="AZ26"/>
      <c r="BA26"/>
      <c r="BB26"/>
      <c r="BC26"/>
      <c r="BD26"/>
      <c r="BE26"/>
      <c r="BF26"/>
      <c r="BG26"/>
      <c r="BH26"/>
      <c r="BI26"/>
      <c r="BJ26"/>
      <c r="BK26"/>
    </row>
    <row r="27" spans="1:63" ht="60" hidden="1" x14ac:dyDescent="0.25">
      <c r="A27" s="103">
        <f t="shared" si="5"/>
        <v>22</v>
      </c>
      <c r="B27" s="111" t="s">
        <v>65</v>
      </c>
      <c r="C27" s="111" t="s">
        <v>960</v>
      </c>
      <c r="D27" s="111" t="s">
        <v>961</v>
      </c>
      <c r="E27" s="111" t="s">
        <v>962</v>
      </c>
      <c r="F27" s="111" t="s">
        <v>598</v>
      </c>
      <c r="G27" s="111">
        <f t="shared" si="4"/>
        <v>-100</v>
      </c>
      <c r="H27" s="112"/>
      <c r="I27" s="112"/>
      <c r="J27" s="112">
        <f>Master201722[[#This Row],[Initial Budget]]-Master201722[[#This Row],[Previously Committed Funds]]</f>
        <v>0</v>
      </c>
      <c r="K27" s="112"/>
      <c r="L27" s="112"/>
      <c r="M27" s="116">
        <f>Master201722[[#This Row],[Design $ (Add/Deduct)]]+Master201722[[#This Row],[Construction $ (Add/Ded)]]</f>
        <v>0</v>
      </c>
      <c r="N27" s="137">
        <v>200000</v>
      </c>
      <c r="O27" s="114">
        <v>2019</v>
      </c>
      <c r="P27" s="111" t="s">
        <v>32</v>
      </c>
      <c r="Q27" s="114">
        <f t="shared" si="8"/>
        <v>1</v>
      </c>
      <c r="R27" s="114">
        <v>1</v>
      </c>
      <c r="S27" s="114">
        <f t="shared" si="6"/>
        <v>3</v>
      </c>
      <c r="T27" s="113" t="s">
        <v>33</v>
      </c>
      <c r="U27" s="114">
        <f t="shared" si="7"/>
        <v>1</v>
      </c>
      <c r="V27" s="114" t="s">
        <v>30</v>
      </c>
      <c r="W27" s="114">
        <v>0</v>
      </c>
      <c r="X27" s="114">
        <v>0</v>
      </c>
      <c r="Y27" s="114">
        <v>0</v>
      </c>
      <c r="Z27" s="114">
        <v>0</v>
      </c>
      <c r="AA27" s="114">
        <v>0</v>
      </c>
      <c r="AB27" s="114">
        <v>0</v>
      </c>
      <c r="AC27" s="114">
        <v>0</v>
      </c>
      <c r="AD27" s="113" t="s">
        <v>39</v>
      </c>
      <c r="AE27" s="114">
        <f>VLOOKUP(Master201722[[#This Row],[Elevated Priority]],Epriority,2,)</f>
        <v>-30</v>
      </c>
      <c r="AF27" s="114">
        <f>IF(Master201722[[#This Row],[Status]]="Active",Master201722[[#This Row],[Status_Score]],IF(C27="","",Q27+G27+S27+U27+AE27-5))</f>
        <v>-100</v>
      </c>
      <c r="AG27" s="114"/>
      <c r="AH27" s="114">
        <v>2019</v>
      </c>
      <c r="AI27" s="114">
        <v>2020</v>
      </c>
      <c r="AJ27" s="111"/>
    </row>
    <row r="28" spans="1:63" s="99" customFormat="1" ht="60" hidden="1" x14ac:dyDescent="0.25">
      <c r="A28" s="103">
        <f t="shared" si="5"/>
        <v>23</v>
      </c>
      <c r="B28" s="111" t="s">
        <v>70</v>
      </c>
      <c r="C28" s="111" t="s">
        <v>288</v>
      </c>
      <c r="D28" s="111" t="s">
        <v>289</v>
      </c>
      <c r="E28" s="111" t="s">
        <v>290</v>
      </c>
      <c r="F28" s="111" t="s">
        <v>598</v>
      </c>
      <c r="G28" s="111">
        <f t="shared" si="4"/>
        <v>-100</v>
      </c>
      <c r="H28" s="112"/>
      <c r="I28" s="112"/>
      <c r="J28" s="112">
        <f>Master201722[[#This Row],[Initial Budget]]-Master201722[[#This Row],[Previously Committed Funds]]</f>
        <v>0</v>
      </c>
      <c r="K28" s="112"/>
      <c r="L28" s="112"/>
      <c r="M28" s="116">
        <f>Master201722[[#This Row],[Design $ (Add/Deduct)]]+Master201722[[#This Row],[Construction $ (Add/Ded)]]</f>
        <v>0</v>
      </c>
      <c r="N28" s="115">
        <v>40000</v>
      </c>
      <c r="O28" s="114">
        <v>2018</v>
      </c>
      <c r="P28" s="111" t="s">
        <v>687</v>
      </c>
      <c r="Q28" s="114">
        <f t="shared" si="8"/>
        <v>30</v>
      </c>
      <c r="R28" s="114">
        <v>4</v>
      </c>
      <c r="S28" s="114">
        <f t="shared" si="6"/>
        <v>12</v>
      </c>
      <c r="T28" s="114" t="s">
        <v>41</v>
      </c>
      <c r="U28" s="114">
        <f t="shared" si="7"/>
        <v>4</v>
      </c>
      <c r="V28" s="114" t="s">
        <v>30</v>
      </c>
      <c r="W28" s="114">
        <v>0</v>
      </c>
      <c r="X28" s="114">
        <v>0</v>
      </c>
      <c r="Y28" s="114">
        <v>0</v>
      </c>
      <c r="Z28" s="114">
        <v>0</v>
      </c>
      <c r="AA28" s="114">
        <v>0</v>
      </c>
      <c r="AB28" s="114">
        <v>0</v>
      </c>
      <c r="AC28" s="114">
        <v>0</v>
      </c>
      <c r="AD28" s="113" t="s">
        <v>29</v>
      </c>
      <c r="AE28" s="114">
        <f>VLOOKUP(Master201722[[#This Row],[Elevated Priority]],Epriority,2,)</f>
        <v>0</v>
      </c>
      <c r="AF28" s="114">
        <f>IF(Master201722[[#This Row],[Status]]="Active",Master201722[[#This Row],[Status_Score]],IF(C28="","",Q28+G28+S28+U28+AE28-5))</f>
        <v>-100</v>
      </c>
      <c r="AG28" s="114"/>
      <c r="AH28" s="114">
        <v>2020</v>
      </c>
      <c r="AI28" s="114"/>
      <c r="AJ28" s="111"/>
      <c r="AK28"/>
      <c r="AL28"/>
      <c r="AM28"/>
      <c r="AN28"/>
      <c r="AO28"/>
      <c r="AP28"/>
      <c r="AQ28"/>
      <c r="AR28"/>
      <c r="AS28"/>
      <c r="AT28"/>
      <c r="AU28"/>
      <c r="AV28"/>
      <c r="AW28"/>
      <c r="AX28"/>
      <c r="AY28"/>
      <c r="AZ28"/>
      <c r="BA28"/>
      <c r="BB28"/>
      <c r="BC28"/>
      <c r="BD28"/>
      <c r="BE28"/>
      <c r="BF28"/>
      <c r="BG28"/>
      <c r="BH28"/>
      <c r="BI28"/>
      <c r="BJ28"/>
      <c r="BK28"/>
    </row>
    <row r="29" spans="1:63" ht="45" hidden="1" x14ac:dyDescent="0.25">
      <c r="A29" s="103">
        <f t="shared" si="5"/>
        <v>24</v>
      </c>
      <c r="B29" s="111" t="s">
        <v>91</v>
      </c>
      <c r="C29" s="138" t="s">
        <v>973</v>
      </c>
      <c r="D29" s="138" t="s">
        <v>973</v>
      </c>
      <c r="E29" s="139" t="s">
        <v>882</v>
      </c>
      <c r="F29" s="111" t="s">
        <v>598</v>
      </c>
      <c r="G29" s="111">
        <f t="shared" si="4"/>
        <v>-100</v>
      </c>
      <c r="H29" s="112"/>
      <c r="I29" s="112"/>
      <c r="J29" s="112">
        <f>Master201722[[#This Row],[Initial Budget]]-Master201722[[#This Row],[Previously Committed Funds]]</f>
        <v>0</v>
      </c>
      <c r="K29" s="112"/>
      <c r="L29" s="112"/>
      <c r="M29" s="116">
        <f>Master201722[[#This Row],[Design $ (Add/Deduct)]]+Master201722[[#This Row],[Construction $ (Add/Ded)]]</f>
        <v>0</v>
      </c>
      <c r="N29" s="115">
        <v>40000</v>
      </c>
      <c r="O29" s="114">
        <v>2020</v>
      </c>
      <c r="P29" s="111" t="s">
        <v>46</v>
      </c>
      <c r="Q29" s="114">
        <f t="shared" si="8"/>
        <v>50</v>
      </c>
      <c r="R29" s="114">
        <v>0</v>
      </c>
      <c r="S29" s="114" t="e">
        <f t="shared" si="6"/>
        <v>#N/A</v>
      </c>
      <c r="T29" s="114" t="s">
        <v>41</v>
      </c>
      <c r="U29" s="114">
        <f t="shared" si="7"/>
        <v>4</v>
      </c>
      <c r="V29" s="114" t="s">
        <v>30</v>
      </c>
      <c r="W29" s="114">
        <v>0</v>
      </c>
      <c r="X29" s="114">
        <v>0</v>
      </c>
      <c r="Y29" s="114">
        <v>0</v>
      </c>
      <c r="Z29" s="114">
        <v>0</v>
      </c>
      <c r="AA29" s="114">
        <v>0</v>
      </c>
      <c r="AB29" s="114">
        <v>0</v>
      </c>
      <c r="AC29" s="114">
        <v>0</v>
      </c>
      <c r="AD29" s="113" t="s">
        <v>29</v>
      </c>
      <c r="AE29" s="114">
        <f>VLOOKUP(Master201722[[#This Row],[Elevated Priority]],Epriority,2,)</f>
        <v>0</v>
      </c>
      <c r="AF29" s="114">
        <f>IF(Master201722[[#This Row],[Status]]="Active",Master201722[[#This Row],[Status_Score]],IF(C29="","",Q29+G29+S29+U29+AE29-5))</f>
        <v>-100</v>
      </c>
      <c r="AG29" s="114"/>
      <c r="AH29" s="114"/>
      <c r="AI29" s="114">
        <v>2020</v>
      </c>
      <c r="AJ29" s="111"/>
    </row>
    <row r="30" spans="1:63" ht="45" hidden="1" x14ac:dyDescent="0.25">
      <c r="A30" s="103">
        <f t="shared" si="5"/>
        <v>25</v>
      </c>
      <c r="B30" s="111" t="s">
        <v>91</v>
      </c>
      <c r="C30" s="138" t="s">
        <v>794</v>
      </c>
      <c r="D30" s="138" t="s">
        <v>794</v>
      </c>
      <c r="E30" s="139" t="s">
        <v>882</v>
      </c>
      <c r="F30" s="111" t="s">
        <v>598</v>
      </c>
      <c r="G30" s="111">
        <f t="shared" si="4"/>
        <v>-100</v>
      </c>
      <c r="H30" s="112"/>
      <c r="I30" s="112"/>
      <c r="J30" s="112">
        <f>Master201722[[#This Row],[Initial Budget]]-Master201722[[#This Row],[Previously Committed Funds]]</f>
        <v>0</v>
      </c>
      <c r="K30" s="112"/>
      <c r="L30" s="112"/>
      <c r="M30" s="116">
        <f>Master201722[[#This Row],[Design $ (Add/Deduct)]]+Master201722[[#This Row],[Construction $ (Add/Ded)]]</f>
        <v>0</v>
      </c>
      <c r="N30" s="115">
        <v>40000</v>
      </c>
      <c r="O30" s="114">
        <v>2020</v>
      </c>
      <c r="P30" s="111" t="s">
        <v>46</v>
      </c>
      <c r="Q30" s="114">
        <f t="shared" si="8"/>
        <v>50</v>
      </c>
      <c r="R30" s="114">
        <v>1</v>
      </c>
      <c r="S30" s="114">
        <f t="shared" si="6"/>
        <v>3</v>
      </c>
      <c r="T30" s="114" t="s">
        <v>41</v>
      </c>
      <c r="U30" s="114">
        <f t="shared" si="7"/>
        <v>4</v>
      </c>
      <c r="V30" s="114" t="s">
        <v>30</v>
      </c>
      <c r="W30" s="114">
        <v>0</v>
      </c>
      <c r="X30" s="114">
        <v>0</v>
      </c>
      <c r="Y30" s="114">
        <v>0</v>
      </c>
      <c r="Z30" s="114">
        <v>0</v>
      </c>
      <c r="AA30" s="114">
        <v>0</v>
      </c>
      <c r="AB30" s="114">
        <v>0</v>
      </c>
      <c r="AC30" s="114">
        <v>0</v>
      </c>
      <c r="AD30" s="113" t="s">
        <v>29</v>
      </c>
      <c r="AE30" s="114">
        <f>VLOOKUP(Master201722[[#This Row],[Elevated Priority]],Epriority,2,)</f>
        <v>0</v>
      </c>
      <c r="AF30" s="114">
        <f>IF(Master201722[[#This Row],[Status]]="Active",Master201722[[#This Row],[Status_Score]],IF(C30="","",Q30+G30+S30+U30+AE30-5))</f>
        <v>-100</v>
      </c>
      <c r="AG30" s="114"/>
      <c r="AH30" s="114"/>
      <c r="AI30" s="114">
        <v>2021</v>
      </c>
      <c r="AJ30" s="111"/>
    </row>
    <row r="31" spans="1:63" ht="30" hidden="1" x14ac:dyDescent="0.25">
      <c r="A31" s="103">
        <f>A29+1</f>
        <v>25</v>
      </c>
      <c r="B31" s="111" t="s">
        <v>65</v>
      </c>
      <c r="C31" s="111" t="s">
        <v>963</v>
      </c>
      <c r="D31" s="111" t="s">
        <v>964</v>
      </c>
      <c r="E31" s="111" t="s">
        <v>965</v>
      </c>
      <c r="F31" s="111" t="s">
        <v>598</v>
      </c>
      <c r="G31" s="111">
        <f t="shared" si="4"/>
        <v>-100</v>
      </c>
      <c r="H31" s="112"/>
      <c r="I31" s="112"/>
      <c r="J31" s="112">
        <f>Master201722[[#This Row],[Initial Budget]]-Master201722[[#This Row],[Previously Committed Funds]]</f>
        <v>0</v>
      </c>
      <c r="K31" s="112"/>
      <c r="L31" s="112"/>
      <c r="M31" s="116">
        <f>Master201722[[#This Row],[Design $ (Add/Deduct)]]+Master201722[[#This Row],[Construction $ (Add/Ded)]]</f>
        <v>0</v>
      </c>
      <c r="N31" s="137">
        <v>750000</v>
      </c>
      <c r="O31" s="114">
        <v>2019</v>
      </c>
      <c r="P31" s="111" t="s">
        <v>36</v>
      </c>
      <c r="Q31" s="114">
        <f t="shared" si="8"/>
        <v>10</v>
      </c>
      <c r="R31" s="114">
        <v>1</v>
      </c>
      <c r="S31" s="114">
        <f t="shared" si="6"/>
        <v>3</v>
      </c>
      <c r="T31" s="113" t="s">
        <v>33</v>
      </c>
      <c r="U31" s="114">
        <f t="shared" si="7"/>
        <v>1</v>
      </c>
      <c r="V31" s="114" t="s">
        <v>30</v>
      </c>
      <c r="W31" s="114">
        <v>0</v>
      </c>
      <c r="X31" s="114">
        <v>0</v>
      </c>
      <c r="Y31" s="114">
        <v>0</v>
      </c>
      <c r="Z31" s="114">
        <v>0</v>
      </c>
      <c r="AA31" s="114">
        <v>0</v>
      </c>
      <c r="AB31" s="114">
        <v>0</v>
      </c>
      <c r="AC31" s="114">
        <v>0</v>
      </c>
      <c r="AD31" s="113" t="s">
        <v>39</v>
      </c>
      <c r="AE31" s="114">
        <f>VLOOKUP(Master201722[[#This Row],[Elevated Priority]],Epriority,2,)</f>
        <v>-30</v>
      </c>
      <c r="AF31" s="114">
        <f>IF(Master201722[[#This Row],[Status]]="Active",Master201722[[#This Row],[Status_Score]],IF(C31="","",Q31+G31+S31+U31+AE31-5))</f>
        <v>-100</v>
      </c>
      <c r="AG31" s="114"/>
      <c r="AH31" s="114">
        <v>2019</v>
      </c>
      <c r="AI31" s="114">
        <v>2020</v>
      </c>
      <c r="AJ31" s="111"/>
    </row>
    <row r="32" spans="1:63" ht="60" hidden="1" x14ac:dyDescent="0.25">
      <c r="A32" s="103">
        <f>A30+1</f>
        <v>26</v>
      </c>
      <c r="B32" s="111" t="s">
        <v>65</v>
      </c>
      <c r="C32" s="111" t="s">
        <v>959</v>
      </c>
      <c r="D32" s="111" t="s">
        <v>949</v>
      </c>
      <c r="E32" s="111" t="s">
        <v>950</v>
      </c>
      <c r="F32" s="111" t="s">
        <v>598</v>
      </c>
      <c r="G32" s="111">
        <f t="shared" si="4"/>
        <v>-100</v>
      </c>
      <c r="H32" s="112"/>
      <c r="I32" s="112"/>
      <c r="J32" s="112">
        <f>Master201722[[#This Row],[Initial Budget]]-Master201722[[#This Row],[Previously Committed Funds]]</f>
        <v>0</v>
      </c>
      <c r="K32" s="112"/>
      <c r="L32" s="112"/>
      <c r="M32" s="116">
        <f>Master201722[[#This Row],[Design $ (Add/Deduct)]]+Master201722[[#This Row],[Construction $ (Add/Ded)]]</f>
        <v>0</v>
      </c>
      <c r="N32" s="115">
        <v>50000</v>
      </c>
      <c r="O32" s="114">
        <v>2020</v>
      </c>
      <c r="P32" s="111" t="s">
        <v>830</v>
      </c>
      <c r="Q32" s="114">
        <f t="shared" si="8"/>
        <v>10</v>
      </c>
      <c r="R32" s="114">
        <v>1</v>
      </c>
      <c r="S32" s="114">
        <f t="shared" si="6"/>
        <v>3</v>
      </c>
      <c r="T32" s="114" t="s">
        <v>37</v>
      </c>
      <c r="U32" s="114">
        <f t="shared" si="7"/>
        <v>3</v>
      </c>
      <c r="V32" s="114" t="s">
        <v>30</v>
      </c>
      <c r="W32" s="114">
        <v>0</v>
      </c>
      <c r="X32" s="114">
        <v>0</v>
      </c>
      <c r="Y32" s="114">
        <v>0</v>
      </c>
      <c r="Z32" s="114">
        <v>0</v>
      </c>
      <c r="AA32" s="114">
        <v>0</v>
      </c>
      <c r="AB32" s="114">
        <v>0</v>
      </c>
      <c r="AC32" s="114">
        <v>0</v>
      </c>
      <c r="AD32" s="113" t="s">
        <v>29</v>
      </c>
      <c r="AE32" s="114">
        <f>VLOOKUP(Master201722[[#This Row],[Elevated Priority]],Epriority,2,)</f>
        <v>0</v>
      </c>
      <c r="AF32" s="114">
        <f>IF(Master201722[[#This Row],[Status]]="Active",Master201722[[#This Row],[Status_Score]],IF(C32="","",Q32+G32+S32+U32+AE32-5))</f>
        <v>-100</v>
      </c>
      <c r="AG32" s="114"/>
      <c r="AH32" s="114">
        <v>2020</v>
      </c>
      <c r="AI32" s="114">
        <v>2021</v>
      </c>
      <c r="AJ32" s="111"/>
    </row>
    <row r="33" spans="1:63" s="99" customFormat="1" ht="45" hidden="1" x14ac:dyDescent="0.25">
      <c r="A33" s="103">
        <f t="shared" si="5"/>
        <v>27</v>
      </c>
      <c r="B33" s="111" t="s">
        <v>65</v>
      </c>
      <c r="C33" s="111" t="s">
        <v>977</v>
      </c>
      <c r="D33" s="111" t="s">
        <v>161</v>
      </c>
      <c r="E33" s="111" t="s">
        <v>162</v>
      </c>
      <c r="F33" s="111" t="s">
        <v>598</v>
      </c>
      <c r="G33" s="111">
        <f t="shared" si="4"/>
        <v>-100</v>
      </c>
      <c r="H33" s="112"/>
      <c r="I33" s="112"/>
      <c r="J33" s="112">
        <f>Master201722[[#This Row],[Initial Budget]]-Master201722[[#This Row],[Previously Committed Funds]]</f>
        <v>0</v>
      </c>
      <c r="K33" s="112"/>
      <c r="L33" s="112"/>
      <c r="M33" s="116">
        <f>Master201722[[#This Row],[Design $ (Add/Deduct)]]+Master201722[[#This Row],[Construction $ (Add/Ded)]]</f>
        <v>0</v>
      </c>
      <c r="N33" s="115">
        <v>90000</v>
      </c>
      <c r="O33" s="114">
        <v>2018</v>
      </c>
      <c r="P33" s="111" t="s">
        <v>36</v>
      </c>
      <c r="Q33" s="114">
        <f t="shared" si="8"/>
        <v>10</v>
      </c>
      <c r="R33" s="114">
        <v>1</v>
      </c>
      <c r="S33" s="114">
        <f t="shared" si="6"/>
        <v>3</v>
      </c>
      <c r="T33" s="114" t="s">
        <v>41</v>
      </c>
      <c r="U33" s="114">
        <f t="shared" si="7"/>
        <v>4</v>
      </c>
      <c r="V33" s="114" t="s">
        <v>30</v>
      </c>
      <c r="W33" s="8">
        <v>0</v>
      </c>
      <c r="X33" s="8">
        <v>0</v>
      </c>
      <c r="Y33" s="8">
        <v>0</v>
      </c>
      <c r="Z33" s="8">
        <v>0</v>
      </c>
      <c r="AA33" s="8">
        <v>0</v>
      </c>
      <c r="AB33" s="8">
        <v>0</v>
      </c>
      <c r="AC33" s="8">
        <v>0</v>
      </c>
      <c r="AD33" s="113" t="s">
        <v>29</v>
      </c>
      <c r="AE33" s="114">
        <f>VLOOKUP(Master201722[[#This Row],[Elevated Priority]],Epriority,2,)</f>
        <v>0</v>
      </c>
      <c r="AF33" s="114">
        <f>IF(Master201722[[#This Row],[Status]]="Active",Master201722[[#This Row],[Status_Score]],IF(C33="","",Q33+G33+S33+U33+AE33-5))</f>
        <v>-100</v>
      </c>
      <c r="AG33" s="114"/>
      <c r="AH33" s="114">
        <v>2020</v>
      </c>
      <c r="AI33" s="114">
        <v>2021</v>
      </c>
      <c r="AJ33" s="111"/>
      <c r="AK33"/>
      <c r="AL33"/>
      <c r="AM33"/>
      <c r="AN33"/>
      <c r="AO33"/>
      <c r="AP33"/>
      <c r="AQ33"/>
      <c r="AR33"/>
      <c r="AS33"/>
      <c r="AT33"/>
      <c r="AU33"/>
      <c r="AV33"/>
      <c r="AW33"/>
      <c r="AX33"/>
      <c r="AY33"/>
      <c r="AZ33"/>
      <c r="BA33"/>
      <c r="BB33"/>
      <c r="BC33"/>
      <c r="BD33"/>
      <c r="BE33"/>
      <c r="BF33"/>
      <c r="BG33"/>
      <c r="BH33"/>
      <c r="BI33"/>
      <c r="BJ33"/>
      <c r="BK33"/>
    </row>
    <row r="34" spans="1:63" s="99" customFormat="1" ht="45" hidden="1" x14ac:dyDescent="0.25">
      <c r="A34" s="103">
        <f t="shared" si="5"/>
        <v>28</v>
      </c>
      <c r="B34" s="10" t="s">
        <v>220</v>
      </c>
      <c r="C34" s="67" t="s">
        <v>827</v>
      </c>
      <c r="D34" s="67" t="s">
        <v>828</v>
      </c>
      <c r="E34" s="110" t="s">
        <v>861</v>
      </c>
      <c r="F34" s="10" t="s">
        <v>29</v>
      </c>
      <c r="G34" s="10">
        <f t="shared" si="4"/>
        <v>0</v>
      </c>
      <c r="H34" s="49"/>
      <c r="I34" s="49"/>
      <c r="J34" s="49">
        <f>Master201722[[#This Row],[Initial Budget]]-Master201722[[#This Row],[Previously Committed Funds]]</f>
        <v>0</v>
      </c>
      <c r="K34" s="49"/>
      <c r="L34" s="49"/>
      <c r="M34" s="97">
        <f>Master201722[[#This Row],[Design $ (Add/Deduct)]]+Master201722[[#This Row],[Construction $ (Add/Ded)]]</f>
        <v>0</v>
      </c>
      <c r="N34" s="32">
        <v>250000</v>
      </c>
      <c r="O34" s="8">
        <v>2020</v>
      </c>
      <c r="P34" s="10" t="s">
        <v>32</v>
      </c>
      <c r="Q34" s="8">
        <f t="shared" si="8"/>
        <v>1</v>
      </c>
      <c r="R34" s="8">
        <v>1</v>
      </c>
      <c r="S34" s="8">
        <f t="shared" si="6"/>
        <v>3</v>
      </c>
      <c r="T34" s="8" t="s">
        <v>33</v>
      </c>
      <c r="U34" s="8">
        <f t="shared" si="7"/>
        <v>1</v>
      </c>
      <c r="V34" s="8" t="s">
        <v>30</v>
      </c>
      <c r="W34" s="8">
        <v>0</v>
      </c>
      <c r="X34" s="8">
        <v>0</v>
      </c>
      <c r="Y34" s="8">
        <v>0</v>
      </c>
      <c r="Z34" s="8">
        <v>0</v>
      </c>
      <c r="AA34" s="8">
        <v>0</v>
      </c>
      <c r="AB34" s="8">
        <v>0</v>
      </c>
      <c r="AC34" s="8">
        <v>0</v>
      </c>
      <c r="AD34" s="17" t="s">
        <v>29</v>
      </c>
      <c r="AE34" s="8">
        <f>VLOOKUP(Master201722[[#This Row],[Elevated Priority]],Epriority,2,)</f>
        <v>0</v>
      </c>
      <c r="AF34" s="8">
        <f>IF(Master201722[[#This Row],[Status]]="Active",Master201722[[#This Row],[Status_Score]],IF(C34="","",Q34+G34+S34+U34+AE34-5))</f>
        <v>0</v>
      </c>
      <c r="AG34" s="8"/>
      <c r="AH34" s="8">
        <v>2020</v>
      </c>
      <c r="AI34" s="8">
        <v>2021</v>
      </c>
      <c r="AJ34" s="10"/>
      <c r="AK34"/>
      <c r="AL34"/>
      <c r="AM34"/>
      <c r="AN34"/>
      <c r="AO34"/>
      <c r="AP34"/>
      <c r="AQ34"/>
      <c r="AR34"/>
      <c r="AS34"/>
      <c r="AT34"/>
      <c r="AU34"/>
      <c r="AV34"/>
      <c r="AW34"/>
      <c r="AX34"/>
      <c r="AY34"/>
      <c r="AZ34"/>
      <c r="BA34"/>
      <c r="BB34"/>
      <c r="BC34"/>
      <c r="BD34"/>
      <c r="BE34"/>
      <c r="BF34"/>
      <c r="BG34"/>
      <c r="BH34"/>
      <c r="BI34"/>
      <c r="BJ34"/>
      <c r="BK34"/>
    </row>
    <row r="35" spans="1:63" s="99" customFormat="1" ht="30" hidden="1" x14ac:dyDescent="0.25">
      <c r="A35" s="103">
        <f t="shared" si="5"/>
        <v>29</v>
      </c>
      <c r="B35" s="10" t="s">
        <v>774</v>
      </c>
      <c r="C35" s="10" t="s">
        <v>836</v>
      </c>
      <c r="D35" s="10" t="s">
        <v>775</v>
      </c>
      <c r="E35" s="10" t="s">
        <v>798</v>
      </c>
      <c r="F35" s="10" t="s">
        <v>29</v>
      </c>
      <c r="G35" s="10">
        <f t="shared" si="4"/>
        <v>0</v>
      </c>
      <c r="H35" s="49"/>
      <c r="I35" s="49"/>
      <c r="J35" s="49">
        <f>Master201722[[#This Row],[Initial Budget]]-Master201722[[#This Row],[Previously Committed Funds]]</f>
        <v>0</v>
      </c>
      <c r="K35" s="49"/>
      <c r="L35" s="49">
        <v>50000</v>
      </c>
      <c r="M35" s="97">
        <f>Master201722[[#This Row],[Design $ (Add/Deduct)]]+Master201722[[#This Row],[Construction $ (Add/Ded)]]</f>
        <v>50000</v>
      </c>
      <c r="N35" s="32">
        <v>50000</v>
      </c>
      <c r="O35" s="8">
        <v>2020</v>
      </c>
      <c r="P35" s="10" t="s">
        <v>32</v>
      </c>
      <c r="Q35" s="8">
        <f t="shared" si="8"/>
        <v>1</v>
      </c>
      <c r="R35" s="8">
        <v>1</v>
      </c>
      <c r="S35" s="8">
        <f t="shared" si="6"/>
        <v>3</v>
      </c>
      <c r="T35" s="8" t="s">
        <v>37</v>
      </c>
      <c r="U35" s="8">
        <f t="shared" si="7"/>
        <v>3</v>
      </c>
      <c r="V35" s="8" t="s">
        <v>30</v>
      </c>
      <c r="W35" s="8">
        <v>0</v>
      </c>
      <c r="X35" s="8">
        <v>0</v>
      </c>
      <c r="Y35" s="8">
        <v>0</v>
      </c>
      <c r="Z35" s="8">
        <v>0</v>
      </c>
      <c r="AA35" s="8">
        <v>0</v>
      </c>
      <c r="AB35" s="8">
        <v>0</v>
      </c>
      <c r="AC35" s="8">
        <v>0</v>
      </c>
      <c r="AD35" s="17" t="s">
        <v>29</v>
      </c>
      <c r="AE35" s="8">
        <f>VLOOKUP(Master201722[[#This Row],[Elevated Priority]],Epriority,2,)</f>
        <v>0</v>
      </c>
      <c r="AF35" s="8">
        <f>IF(Master201722[[#This Row],[Status]]="Active",Master201722[[#This Row],[Status_Score]],IF(C35="","",Q35+G35+S35+U35+AE35-5))</f>
        <v>2</v>
      </c>
      <c r="AG35" s="8"/>
      <c r="AH35" s="8"/>
      <c r="AI35" s="8">
        <v>2020</v>
      </c>
      <c r="AJ35" s="10"/>
      <c r="AK35"/>
      <c r="AL35"/>
      <c r="AM35"/>
      <c r="AN35"/>
      <c r="AO35"/>
      <c r="AP35"/>
      <c r="AQ35"/>
      <c r="AR35"/>
      <c r="AS35"/>
      <c r="AT35"/>
      <c r="AU35"/>
      <c r="AV35"/>
      <c r="AW35"/>
      <c r="AX35"/>
      <c r="AY35"/>
      <c r="AZ35"/>
      <c r="BA35"/>
      <c r="BB35"/>
      <c r="BC35"/>
      <c r="BD35"/>
      <c r="BE35"/>
      <c r="BF35"/>
      <c r="BG35"/>
      <c r="BH35"/>
      <c r="BI35"/>
      <c r="BJ35"/>
      <c r="BK35"/>
    </row>
    <row r="36" spans="1:63" s="99" customFormat="1" ht="30" x14ac:dyDescent="0.25">
      <c r="A36" s="103">
        <f t="shared" si="5"/>
        <v>30</v>
      </c>
      <c r="B36" s="10" t="s">
        <v>777</v>
      </c>
      <c r="C36" s="10" t="s">
        <v>799</v>
      </c>
      <c r="D36" s="10" t="s">
        <v>776</v>
      </c>
      <c r="E36" s="10" t="s">
        <v>800</v>
      </c>
      <c r="F36" s="10" t="s">
        <v>29</v>
      </c>
      <c r="G36" s="10">
        <f t="shared" si="4"/>
        <v>0</v>
      </c>
      <c r="H36" s="49"/>
      <c r="I36" s="49"/>
      <c r="J36" s="49">
        <f>Master201722[[#This Row],[Initial Budget]]-Master201722[[#This Row],[Previously Committed Funds]]</f>
        <v>0</v>
      </c>
      <c r="K36" s="49"/>
      <c r="L36" s="49"/>
      <c r="M36" s="97">
        <f>Master201722[[#This Row],[Design $ (Add/Deduct)]]+Master201722[[#This Row],[Construction $ (Add/Ded)]]</f>
        <v>0</v>
      </c>
      <c r="N36" s="32">
        <v>175000</v>
      </c>
      <c r="O36" s="8">
        <v>2020</v>
      </c>
      <c r="P36" s="10" t="s">
        <v>688</v>
      </c>
      <c r="Q36" s="8">
        <f t="shared" si="8"/>
        <v>20</v>
      </c>
      <c r="R36" s="8">
        <v>1</v>
      </c>
      <c r="S36" s="8">
        <f t="shared" si="6"/>
        <v>3</v>
      </c>
      <c r="T36" s="8" t="s">
        <v>37</v>
      </c>
      <c r="U36" s="8">
        <f t="shared" si="7"/>
        <v>3</v>
      </c>
      <c r="V36" s="8" t="s">
        <v>34</v>
      </c>
      <c r="W36" s="114">
        <v>0</v>
      </c>
      <c r="X36" s="8">
        <v>0</v>
      </c>
      <c r="Y36" s="8">
        <v>-3</v>
      </c>
      <c r="Z36" s="8">
        <v>0</v>
      </c>
      <c r="AA36" s="8">
        <v>0</v>
      </c>
      <c r="AB36" s="8">
        <v>0</v>
      </c>
      <c r="AC36" s="8">
        <v>-3</v>
      </c>
      <c r="AD36" s="17" t="s">
        <v>29</v>
      </c>
      <c r="AE36" s="8">
        <f>VLOOKUP(Master201722[[#This Row],[Elevated Priority]],Epriority,2,)</f>
        <v>0</v>
      </c>
      <c r="AF36" s="8">
        <f>IF(Master201722[[#This Row],[Status]]="Active",Master201722[[#This Row],[Status_Score]],IF(C36="","",Q36+G36+S36+U36+AE36-5))</f>
        <v>21</v>
      </c>
      <c r="AG36" s="8"/>
      <c r="AH36" s="8">
        <v>2020</v>
      </c>
      <c r="AI36" s="8">
        <v>2021</v>
      </c>
      <c r="AJ36" s="10" t="s">
        <v>978</v>
      </c>
      <c r="AK36"/>
      <c r="AL36"/>
      <c r="AM36"/>
      <c r="AN36"/>
      <c r="AO36"/>
      <c r="AP36"/>
      <c r="AQ36"/>
      <c r="AR36"/>
      <c r="AS36"/>
      <c r="AT36"/>
      <c r="AU36"/>
      <c r="AV36"/>
      <c r="AW36"/>
      <c r="AX36"/>
      <c r="AY36"/>
      <c r="AZ36"/>
      <c r="BA36"/>
      <c r="BB36"/>
      <c r="BC36"/>
      <c r="BD36"/>
      <c r="BE36"/>
      <c r="BF36"/>
      <c r="BG36"/>
      <c r="BH36"/>
      <c r="BI36"/>
      <c r="BJ36"/>
      <c r="BK36"/>
    </row>
    <row r="37" spans="1:63" ht="30" hidden="1" x14ac:dyDescent="0.25">
      <c r="A37" s="103">
        <f t="shared" si="5"/>
        <v>31</v>
      </c>
      <c r="B37" s="10" t="s">
        <v>91</v>
      </c>
      <c r="C37" s="10" t="s">
        <v>92</v>
      </c>
      <c r="D37" s="10" t="s">
        <v>93</v>
      </c>
      <c r="E37" s="10" t="s">
        <v>860</v>
      </c>
      <c r="F37" s="10" t="s">
        <v>29</v>
      </c>
      <c r="G37" s="10">
        <f t="shared" si="4"/>
        <v>0</v>
      </c>
      <c r="H37" s="49"/>
      <c r="I37" s="49"/>
      <c r="J37" s="49">
        <f>Master201722[[#This Row],[Initial Budget]]-Master201722[[#This Row],[Previously Committed Funds]]</f>
        <v>0</v>
      </c>
      <c r="K37" s="49"/>
      <c r="L37" s="49"/>
      <c r="M37" s="97">
        <f>Master201722[[#This Row],[Design $ (Add/Deduct)]]+Master201722[[#This Row],[Construction $ (Add/Ded)]]</f>
        <v>0</v>
      </c>
      <c r="N37" s="32">
        <v>40000</v>
      </c>
      <c r="O37" s="8">
        <v>2018</v>
      </c>
      <c r="P37" s="10" t="s">
        <v>32</v>
      </c>
      <c r="Q37" s="8">
        <f t="shared" si="8"/>
        <v>1</v>
      </c>
      <c r="R37" s="8">
        <v>3</v>
      </c>
      <c r="S37" s="8">
        <f t="shared" si="6"/>
        <v>9</v>
      </c>
      <c r="T37" s="8" t="s">
        <v>33</v>
      </c>
      <c r="U37" s="8">
        <f t="shared" si="7"/>
        <v>1</v>
      </c>
      <c r="V37" s="8" t="s">
        <v>30</v>
      </c>
      <c r="W37" s="8">
        <v>0</v>
      </c>
      <c r="X37" s="8">
        <v>0</v>
      </c>
      <c r="Y37" s="8">
        <v>0</v>
      </c>
      <c r="Z37" s="8">
        <v>0</v>
      </c>
      <c r="AA37" s="8">
        <v>0</v>
      </c>
      <c r="AB37" s="8">
        <v>0</v>
      </c>
      <c r="AC37" s="8">
        <v>0</v>
      </c>
      <c r="AD37" s="17" t="s">
        <v>29</v>
      </c>
      <c r="AE37" s="8">
        <f>VLOOKUP(Master201722[[#This Row],[Elevated Priority]],Epriority,2,)</f>
        <v>0</v>
      </c>
      <c r="AF37" s="8">
        <f>IF(Master201722[[#This Row],[Status]]="Active",Master201722[[#This Row],[Status_Score]],IF(C37="","",Q37+G37+S37+U37+AE37-5))</f>
        <v>6</v>
      </c>
      <c r="AG37" s="8"/>
      <c r="AH37" s="8"/>
      <c r="AI37" s="8">
        <v>2020</v>
      </c>
      <c r="AJ37" s="10"/>
    </row>
    <row r="38" spans="1:63" ht="30" x14ac:dyDescent="0.25">
      <c r="A38" s="103">
        <f t="shared" si="5"/>
        <v>32</v>
      </c>
      <c r="B38" s="10" t="s">
        <v>61</v>
      </c>
      <c r="C38" s="10" t="s">
        <v>217</v>
      </c>
      <c r="D38" s="10" t="s">
        <v>218</v>
      </c>
      <c r="E38" s="10" t="s">
        <v>219</v>
      </c>
      <c r="F38" s="10" t="s">
        <v>29</v>
      </c>
      <c r="G38" s="10">
        <f t="shared" si="4"/>
        <v>0</v>
      </c>
      <c r="H38" s="49"/>
      <c r="I38" s="49"/>
      <c r="J38" s="49">
        <f>Master201722[[#This Row],[Initial Budget]]-Master201722[[#This Row],[Previously Committed Funds]]</f>
        <v>0</v>
      </c>
      <c r="K38" s="49"/>
      <c r="L38" s="49"/>
      <c r="M38" s="97">
        <f>Master201722[[#This Row],[Design $ (Add/Deduct)]]+Master201722[[#This Row],[Construction $ (Add/Ded)]]</f>
        <v>0</v>
      </c>
      <c r="N38" s="32">
        <v>1500000</v>
      </c>
      <c r="O38" s="8">
        <v>2018</v>
      </c>
      <c r="P38" s="10" t="s">
        <v>36</v>
      </c>
      <c r="Q38" s="8">
        <f t="shared" si="8"/>
        <v>10</v>
      </c>
      <c r="R38" s="8">
        <v>2</v>
      </c>
      <c r="S38" s="8">
        <f t="shared" si="6"/>
        <v>6</v>
      </c>
      <c r="T38" s="8" t="s">
        <v>43</v>
      </c>
      <c r="U38" s="8">
        <f t="shared" si="7"/>
        <v>16</v>
      </c>
      <c r="V38" s="8" t="s">
        <v>34</v>
      </c>
      <c r="W38" s="114">
        <v>-2</v>
      </c>
      <c r="X38" s="8">
        <v>-5</v>
      </c>
      <c r="Y38" s="8">
        <v>0</v>
      </c>
      <c r="Z38" s="8">
        <v>0</v>
      </c>
      <c r="AA38" s="8">
        <v>0</v>
      </c>
      <c r="AB38" s="8">
        <v>-3</v>
      </c>
      <c r="AC38" s="8">
        <v>-1</v>
      </c>
      <c r="AD38" s="17" t="s">
        <v>29</v>
      </c>
      <c r="AE38" s="8">
        <f>VLOOKUP(Master201722[[#This Row],[Elevated Priority]],Epriority,2,)</f>
        <v>0</v>
      </c>
      <c r="AF38" s="8">
        <f>IF(Master201722[[#This Row],[Status]]="Active",Master201722[[#This Row],[Status_Score]],IF(C38="","",Q38+G38+S38+U38+AE38-5))</f>
        <v>27</v>
      </c>
      <c r="AG38" s="8"/>
      <c r="AH38" s="8">
        <v>2021</v>
      </c>
      <c r="AI38" s="8">
        <v>2022</v>
      </c>
      <c r="AJ38" s="10"/>
    </row>
    <row r="39" spans="1:63" ht="75" x14ac:dyDescent="0.25">
      <c r="A39" s="103">
        <f t="shared" si="5"/>
        <v>33</v>
      </c>
      <c r="B39" s="10" t="s">
        <v>65</v>
      </c>
      <c r="C39" s="10" t="s">
        <v>191</v>
      </c>
      <c r="D39" s="10" t="s">
        <v>192</v>
      </c>
      <c r="E39" s="10" t="s">
        <v>193</v>
      </c>
      <c r="F39" s="10" t="s">
        <v>29</v>
      </c>
      <c r="G39" s="10">
        <f t="shared" si="4"/>
        <v>0</v>
      </c>
      <c r="H39" s="49"/>
      <c r="I39" s="49"/>
      <c r="J39" s="49">
        <f>Master201722[[#This Row],[Initial Budget]]-Master201722[[#This Row],[Previously Committed Funds]]</f>
        <v>0</v>
      </c>
      <c r="K39" s="49"/>
      <c r="L39" s="49"/>
      <c r="M39" s="97">
        <f>Master201722[[#This Row],[Design $ (Add/Deduct)]]+Master201722[[#This Row],[Construction $ (Add/Ded)]]</f>
        <v>0</v>
      </c>
      <c r="N39" s="32">
        <v>800000</v>
      </c>
      <c r="O39" s="8">
        <v>2018</v>
      </c>
      <c r="P39" s="10" t="s">
        <v>36</v>
      </c>
      <c r="Q39" s="8">
        <f t="shared" si="8"/>
        <v>10</v>
      </c>
      <c r="R39" s="8">
        <v>4</v>
      </c>
      <c r="S39" s="8">
        <f t="shared" si="6"/>
        <v>12</v>
      </c>
      <c r="T39" s="8" t="s">
        <v>43</v>
      </c>
      <c r="U39" s="8">
        <f t="shared" si="7"/>
        <v>16</v>
      </c>
      <c r="V39" s="8" t="s">
        <v>34</v>
      </c>
      <c r="W39" s="114">
        <v>0</v>
      </c>
      <c r="X39" s="8">
        <v>0</v>
      </c>
      <c r="Y39" s="8">
        <v>0</v>
      </c>
      <c r="Z39" s="8">
        <v>0</v>
      </c>
      <c r="AA39" s="8">
        <v>0</v>
      </c>
      <c r="AB39" s="8">
        <v>0</v>
      </c>
      <c r="AC39" s="8">
        <v>-1</v>
      </c>
      <c r="AD39" s="17" t="s">
        <v>29</v>
      </c>
      <c r="AE39" s="8">
        <f>VLOOKUP(Master201722[[#This Row],[Elevated Priority]],Epriority,2,)</f>
        <v>0</v>
      </c>
      <c r="AF39" s="8">
        <f>IF(Master201722[[#This Row],[Status]]="Active",Master201722[[#This Row],[Status_Score]],IF(C39="","",Q39+G39+S39+U39+AE39-5))</f>
        <v>33</v>
      </c>
      <c r="AG39" s="8"/>
      <c r="AH39" s="8"/>
      <c r="AI39" s="8"/>
      <c r="AJ39" s="10"/>
    </row>
    <row r="40" spans="1:63" ht="30" hidden="1" x14ac:dyDescent="0.25">
      <c r="A40" s="103">
        <f t="shared" si="5"/>
        <v>34</v>
      </c>
      <c r="B40" s="10" t="s">
        <v>61</v>
      </c>
      <c r="C40" s="142" t="s">
        <v>797</v>
      </c>
      <c r="D40" s="67" t="s">
        <v>810</v>
      </c>
      <c r="E40" s="110" t="s">
        <v>811</v>
      </c>
      <c r="F40" s="10" t="s">
        <v>29</v>
      </c>
      <c r="G40" s="10">
        <f t="shared" si="4"/>
        <v>0</v>
      </c>
      <c r="H40" s="49"/>
      <c r="I40" s="49"/>
      <c r="J40" s="49">
        <f>Master201722[[#This Row],[Initial Budget]]-Master201722[[#This Row],[Previously Committed Funds]]</f>
        <v>0</v>
      </c>
      <c r="K40" s="49">
        <v>100000</v>
      </c>
      <c r="L40" s="49"/>
      <c r="M40" s="97">
        <f>Master201722[[#This Row],[Design $ (Add/Deduct)]]+Master201722[[#This Row],[Construction $ (Add/Ded)]]</f>
        <v>100000</v>
      </c>
      <c r="N40" s="32">
        <v>2500000</v>
      </c>
      <c r="O40" s="8">
        <v>2020</v>
      </c>
      <c r="P40" s="10" t="s">
        <v>36</v>
      </c>
      <c r="Q40" s="8">
        <f t="shared" si="8"/>
        <v>10</v>
      </c>
      <c r="R40" s="8">
        <v>1</v>
      </c>
      <c r="S40" s="8">
        <f t="shared" si="6"/>
        <v>3</v>
      </c>
      <c r="T40" s="8" t="s">
        <v>41</v>
      </c>
      <c r="U40" s="8">
        <f t="shared" si="7"/>
        <v>4</v>
      </c>
      <c r="V40" s="8" t="s">
        <v>30</v>
      </c>
      <c r="W40" s="8">
        <v>0</v>
      </c>
      <c r="X40" s="8">
        <v>0</v>
      </c>
      <c r="Y40" s="8">
        <v>0</v>
      </c>
      <c r="Z40" s="8">
        <v>0</v>
      </c>
      <c r="AA40" s="8">
        <v>0</v>
      </c>
      <c r="AB40" s="8">
        <v>0</v>
      </c>
      <c r="AC40" s="8">
        <v>0</v>
      </c>
      <c r="AD40" s="17" t="s">
        <v>29</v>
      </c>
      <c r="AE40" s="8">
        <f>VLOOKUP(Master201722[[#This Row],[Elevated Priority]],Epriority,2,)</f>
        <v>0</v>
      </c>
      <c r="AF40" s="8">
        <f>IF(Master201722[[#This Row],[Status]]="Active",Master201722[[#This Row],[Status_Score]],IF(C40="","",Q40+G40+S40+U40+AE40-5))</f>
        <v>12</v>
      </c>
      <c r="AG40" s="8"/>
      <c r="AH40" s="8">
        <v>2020</v>
      </c>
      <c r="AI40" s="8">
        <v>2021</v>
      </c>
      <c r="AJ40" s="10" t="s">
        <v>975</v>
      </c>
    </row>
    <row r="41" spans="1:63" ht="60" hidden="1" x14ac:dyDescent="0.25">
      <c r="A41" s="103">
        <f t="shared" si="5"/>
        <v>35</v>
      </c>
      <c r="B41" s="10" t="s">
        <v>70</v>
      </c>
      <c r="C41" s="10" t="s">
        <v>924</v>
      </c>
      <c r="D41" s="23" t="s">
        <v>228</v>
      </c>
      <c r="E41" s="23" t="s">
        <v>229</v>
      </c>
      <c r="F41" s="10" t="s">
        <v>29</v>
      </c>
      <c r="G41" s="10">
        <f t="shared" si="4"/>
        <v>0</v>
      </c>
      <c r="H41" s="49"/>
      <c r="I41" s="49"/>
      <c r="J41" s="49">
        <f>Master201722[[#This Row],[Initial Budget]]-Master201722[[#This Row],[Previously Committed Funds]]</f>
        <v>0</v>
      </c>
      <c r="K41" s="49"/>
      <c r="L41" s="49"/>
      <c r="M41" s="97">
        <f>Master201722[[#This Row],[Design $ (Add/Deduct)]]+Master201722[[#This Row],[Construction $ (Add/Ded)]]</f>
        <v>0</v>
      </c>
      <c r="N41" s="32">
        <v>100000</v>
      </c>
      <c r="O41" s="8">
        <v>2018</v>
      </c>
      <c r="P41" s="10" t="s">
        <v>36</v>
      </c>
      <c r="Q41" s="8">
        <f t="shared" si="8"/>
        <v>10</v>
      </c>
      <c r="R41" s="8">
        <v>2</v>
      </c>
      <c r="S41" s="8">
        <f t="shared" si="6"/>
        <v>6</v>
      </c>
      <c r="T41" s="8" t="s">
        <v>37</v>
      </c>
      <c r="U41" s="8">
        <f t="shared" si="7"/>
        <v>3</v>
      </c>
      <c r="V41" s="8" t="s">
        <v>30</v>
      </c>
      <c r="W41" s="8">
        <v>0</v>
      </c>
      <c r="X41" s="8">
        <v>0</v>
      </c>
      <c r="Y41" s="8">
        <v>0</v>
      </c>
      <c r="Z41" s="8">
        <v>0</v>
      </c>
      <c r="AA41" s="8">
        <v>0</v>
      </c>
      <c r="AB41" s="8">
        <v>0</v>
      </c>
      <c r="AC41" s="8">
        <v>0</v>
      </c>
      <c r="AD41" s="17" t="s">
        <v>29</v>
      </c>
      <c r="AE41" s="8">
        <f>VLOOKUP(Master201722[[#This Row],[Elevated Priority]],Epriority,2,)</f>
        <v>0</v>
      </c>
      <c r="AF41" s="8">
        <f>IF(Master201722[[#This Row],[Status]]="Active",Master201722[[#This Row],[Status_Score]],IF(C41="","",Q41+G41+S41+U41+AE41-5))</f>
        <v>14</v>
      </c>
      <c r="AG41" s="8"/>
      <c r="AH41" s="8">
        <v>2020</v>
      </c>
      <c r="AI41" s="8">
        <v>2021</v>
      </c>
      <c r="AJ41" s="10" t="s">
        <v>974</v>
      </c>
    </row>
    <row r="42" spans="1:63" ht="45" hidden="1" x14ac:dyDescent="0.25">
      <c r="A42" s="103">
        <f t="shared" si="5"/>
        <v>36</v>
      </c>
      <c r="B42" s="10" t="s">
        <v>70</v>
      </c>
      <c r="C42" s="10" t="s">
        <v>122</v>
      </c>
      <c r="D42" s="10" t="s">
        <v>132</v>
      </c>
      <c r="E42" s="10" t="s">
        <v>817</v>
      </c>
      <c r="F42" s="10" t="s">
        <v>29</v>
      </c>
      <c r="G42" s="10">
        <f t="shared" si="4"/>
        <v>0</v>
      </c>
      <c r="H42" s="49"/>
      <c r="I42" s="49"/>
      <c r="J42" s="49">
        <f>Master201722[[#This Row],[Initial Budget]]-Master201722[[#This Row],[Previously Committed Funds]]</f>
        <v>0</v>
      </c>
      <c r="K42" s="49"/>
      <c r="L42" s="49"/>
      <c r="M42" s="97">
        <f>Master201722[[#This Row],[Design $ (Add/Deduct)]]+Master201722[[#This Row],[Construction $ (Add/Ded)]]</f>
        <v>0</v>
      </c>
      <c r="N42" s="32">
        <v>250000</v>
      </c>
      <c r="O42" s="8">
        <v>2018</v>
      </c>
      <c r="P42" s="10" t="s">
        <v>830</v>
      </c>
      <c r="Q42" s="8">
        <f t="shared" si="8"/>
        <v>10</v>
      </c>
      <c r="R42" s="8">
        <v>1</v>
      </c>
      <c r="S42" s="8">
        <f t="shared" si="6"/>
        <v>3</v>
      </c>
      <c r="T42" s="8" t="s">
        <v>33</v>
      </c>
      <c r="U42" s="8">
        <f t="shared" si="7"/>
        <v>1</v>
      </c>
      <c r="V42" s="8" t="s">
        <v>30</v>
      </c>
      <c r="W42" s="8">
        <v>0</v>
      </c>
      <c r="X42" s="8">
        <v>0</v>
      </c>
      <c r="Y42" s="8">
        <v>0</v>
      </c>
      <c r="Z42" s="8">
        <v>0</v>
      </c>
      <c r="AA42" s="8">
        <v>0</v>
      </c>
      <c r="AB42" s="8">
        <v>0</v>
      </c>
      <c r="AC42" s="8">
        <v>0</v>
      </c>
      <c r="AD42" s="17" t="s">
        <v>29</v>
      </c>
      <c r="AE42" s="8">
        <f>VLOOKUP(Master201722[[#This Row],[Elevated Priority]],Epriority,2,)</f>
        <v>0</v>
      </c>
      <c r="AF42" s="8">
        <f>IF(Master201722[[#This Row],[Status]]="Active",Master201722[[#This Row],[Status_Score]],IF(C42="","",Q42+G42+S42+U42+AE42-5))</f>
        <v>9</v>
      </c>
      <c r="AG42" s="8"/>
      <c r="AH42" s="8">
        <v>2020</v>
      </c>
      <c r="AI42" s="8">
        <v>2020</v>
      </c>
      <c r="AJ42" s="10" t="s">
        <v>976</v>
      </c>
    </row>
    <row r="43" spans="1:63" ht="45" x14ac:dyDescent="0.25">
      <c r="A43" s="103">
        <f t="shared" si="5"/>
        <v>37</v>
      </c>
      <c r="B43" s="10" t="s">
        <v>79</v>
      </c>
      <c r="C43" s="10" t="s">
        <v>780</v>
      </c>
      <c r="D43" s="10" t="s">
        <v>311</v>
      </c>
      <c r="E43" s="10" t="s">
        <v>312</v>
      </c>
      <c r="F43" s="10" t="s">
        <v>29</v>
      </c>
      <c r="G43" s="10">
        <f t="shared" si="4"/>
        <v>0</v>
      </c>
      <c r="H43" s="49"/>
      <c r="I43" s="49"/>
      <c r="J43" s="49">
        <f>Master201722[[#This Row],[Initial Budget]]-Master201722[[#This Row],[Previously Committed Funds]]</f>
        <v>0</v>
      </c>
      <c r="K43" s="49"/>
      <c r="L43" s="49"/>
      <c r="M43" s="97">
        <f>Master201722[[#This Row],[Design $ (Add/Deduct)]]+Master201722[[#This Row],[Construction $ (Add/Ded)]]</f>
        <v>0</v>
      </c>
      <c r="N43" s="32">
        <v>250000</v>
      </c>
      <c r="O43" s="8">
        <v>2018</v>
      </c>
      <c r="P43" s="10" t="s">
        <v>36</v>
      </c>
      <c r="Q43" s="8">
        <f t="shared" si="8"/>
        <v>10</v>
      </c>
      <c r="R43" s="8">
        <v>5</v>
      </c>
      <c r="S43" s="8">
        <f t="shared" si="6"/>
        <v>15</v>
      </c>
      <c r="T43" s="8" t="s">
        <v>43</v>
      </c>
      <c r="U43" s="8">
        <f t="shared" si="7"/>
        <v>16</v>
      </c>
      <c r="V43" s="8" t="s">
        <v>34</v>
      </c>
      <c r="W43" s="114">
        <v>0</v>
      </c>
      <c r="X43" s="8">
        <v>0</v>
      </c>
      <c r="Y43" s="8">
        <v>0</v>
      </c>
      <c r="Z43" s="8">
        <v>0</v>
      </c>
      <c r="AA43" s="8">
        <v>0</v>
      </c>
      <c r="AB43" s="8">
        <v>0</v>
      </c>
      <c r="AC43" s="8">
        <v>-3</v>
      </c>
      <c r="AD43" s="17" t="s">
        <v>29</v>
      </c>
      <c r="AE43" s="8">
        <f>VLOOKUP(Master201722[[#This Row],[Elevated Priority]],Epriority,2,)</f>
        <v>0</v>
      </c>
      <c r="AF43" s="8">
        <f>IF(Master201722[[#This Row],[Status]]="Active",Master201722[[#This Row],[Status_Score]],IF(C43="","",Q43+G43+S43+U43+AE43-5))</f>
        <v>36</v>
      </c>
      <c r="AG43" s="8"/>
      <c r="AH43" s="8">
        <v>2022</v>
      </c>
      <c r="AI43" s="8">
        <v>2023</v>
      </c>
      <c r="AJ43" s="10"/>
    </row>
    <row r="44" spans="1:63" ht="45" x14ac:dyDescent="0.25">
      <c r="A44" s="103">
        <f t="shared" si="5"/>
        <v>38</v>
      </c>
      <c r="B44" s="10" t="s">
        <v>70</v>
      </c>
      <c r="C44" s="10" t="s">
        <v>821</v>
      </c>
      <c r="D44" s="10" t="s">
        <v>822</v>
      </c>
      <c r="E44" s="10" t="s">
        <v>823</v>
      </c>
      <c r="F44" s="10" t="s">
        <v>29</v>
      </c>
      <c r="G44" s="10">
        <f t="shared" si="4"/>
        <v>0</v>
      </c>
      <c r="H44" s="49"/>
      <c r="I44" s="49"/>
      <c r="J44" s="49">
        <f>Master201722[[#This Row],[Initial Budget]]-Master201722[[#This Row],[Previously Committed Funds]]</f>
        <v>0</v>
      </c>
      <c r="K44" s="49"/>
      <c r="L44" s="49"/>
      <c r="M44" s="97">
        <f>Master201722[[#This Row],[Design $ (Add/Deduct)]]+Master201722[[#This Row],[Construction $ (Add/Ded)]]</f>
        <v>0</v>
      </c>
      <c r="N44" s="32">
        <v>200000</v>
      </c>
      <c r="O44" s="8">
        <v>2018</v>
      </c>
      <c r="P44" s="10" t="s">
        <v>688</v>
      </c>
      <c r="Q44" s="8">
        <f t="shared" si="8"/>
        <v>20</v>
      </c>
      <c r="R44" s="8">
        <v>3</v>
      </c>
      <c r="S44" s="8">
        <f t="shared" si="6"/>
        <v>9</v>
      </c>
      <c r="T44" s="8" t="s">
        <v>43</v>
      </c>
      <c r="U44" s="8">
        <f t="shared" si="7"/>
        <v>16</v>
      </c>
      <c r="V44" s="8" t="s">
        <v>34</v>
      </c>
      <c r="W44" s="114">
        <v>0</v>
      </c>
      <c r="X44" s="8">
        <v>0</v>
      </c>
      <c r="Y44" s="8">
        <v>-3</v>
      </c>
      <c r="Z44" s="8">
        <v>0</v>
      </c>
      <c r="AA44" s="8">
        <v>0</v>
      </c>
      <c r="AB44" s="8">
        <v>0</v>
      </c>
      <c r="AC44" s="8">
        <v>-3</v>
      </c>
      <c r="AD44" s="17" t="s">
        <v>29</v>
      </c>
      <c r="AE44" s="8">
        <f>VLOOKUP(Master201722[[#This Row],[Elevated Priority]],Epriority,2,)</f>
        <v>0</v>
      </c>
      <c r="AF44" s="8">
        <f>IF(Master201722[[#This Row],[Status]]="Active",Master201722[[#This Row],[Status_Score]],IF(C44="","",Q44+G44+S44+U44+AE44-5))</f>
        <v>40</v>
      </c>
      <c r="AG44" s="8"/>
      <c r="AH44" s="8">
        <v>2021</v>
      </c>
      <c r="AI44" s="8">
        <v>2022</v>
      </c>
      <c r="AJ44" s="10"/>
    </row>
    <row r="45" spans="1:63" hidden="1" x14ac:dyDescent="0.25">
      <c r="A45" s="103">
        <f t="shared" si="5"/>
        <v>39</v>
      </c>
      <c r="B45" s="127" t="s">
        <v>70</v>
      </c>
      <c r="C45" s="10" t="s">
        <v>188</v>
      </c>
      <c r="D45" s="10" t="s">
        <v>859</v>
      </c>
      <c r="E45" s="10" t="s">
        <v>190</v>
      </c>
      <c r="F45" s="10" t="s">
        <v>29</v>
      </c>
      <c r="G45" s="10">
        <f t="shared" si="4"/>
        <v>0</v>
      </c>
      <c r="H45" s="49"/>
      <c r="I45" s="49"/>
      <c r="J45" s="49">
        <f>Master201722[[#This Row],[Initial Budget]]-Master201722[[#This Row],[Previously Committed Funds]]</f>
        <v>0</v>
      </c>
      <c r="K45" s="49"/>
      <c r="L45" s="49"/>
      <c r="M45" s="97">
        <f>Master201722[[#This Row],[Design $ (Add/Deduct)]]+Master201722[[#This Row],[Construction $ (Add/Ded)]]</f>
        <v>0</v>
      </c>
      <c r="N45" s="32">
        <v>150000</v>
      </c>
      <c r="O45" s="8">
        <v>2018</v>
      </c>
      <c r="P45" s="10" t="s">
        <v>688</v>
      </c>
      <c r="Q45" s="8">
        <f t="shared" si="8"/>
        <v>20</v>
      </c>
      <c r="R45" s="8" t="s">
        <v>29</v>
      </c>
      <c r="S45" s="8">
        <f t="shared" si="6"/>
        <v>0</v>
      </c>
      <c r="T45" s="8" t="s">
        <v>41</v>
      </c>
      <c r="U45" s="8">
        <f t="shared" si="7"/>
        <v>4</v>
      </c>
      <c r="V45" s="8" t="s">
        <v>30</v>
      </c>
      <c r="W45" s="8">
        <v>0</v>
      </c>
      <c r="X45" s="8">
        <v>0</v>
      </c>
      <c r="Y45" s="8">
        <v>0</v>
      </c>
      <c r="Z45" s="8">
        <v>0</v>
      </c>
      <c r="AA45" s="8">
        <v>0</v>
      </c>
      <c r="AB45" s="8">
        <v>0</v>
      </c>
      <c r="AC45" s="8">
        <v>0</v>
      </c>
      <c r="AD45" s="17" t="s">
        <v>29</v>
      </c>
      <c r="AE45" s="8">
        <f>VLOOKUP(Master201722[[#This Row],[Elevated Priority]],Epriority,2,)</f>
        <v>0</v>
      </c>
      <c r="AF45" s="8">
        <f>IF(Master201722[[#This Row],[Status]]="Active",Master201722[[#This Row],[Status_Score]],IF(C45="","",Q45+G45+S45+U45+AE45-5))</f>
        <v>19</v>
      </c>
      <c r="AG45" s="8"/>
      <c r="AH45" s="8">
        <v>2020</v>
      </c>
      <c r="AI45" s="8">
        <v>2021</v>
      </c>
      <c r="AJ45" s="10" t="s">
        <v>978</v>
      </c>
    </row>
    <row r="46" spans="1:63" ht="30" hidden="1" x14ac:dyDescent="0.25">
      <c r="A46" s="103">
        <f t="shared" si="5"/>
        <v>40</v>
      </c>
      <c r="B46" s="10" t="s">
        <v>70</v>
      </c>
      <c r="C46" s="10" t="s">
        <v>294</v>
      </c>
      <c r="D46" s="10" t="s">
        <v>295</v>
      </c>
      <c r="E46" s="10" t="s">
        <v>820</v>
      </c>
      <c r="F46" s="10" t="s">
        <v>29</v>
      </c>
      <c r="G46" s="10">
        <f t="shared" si="4"/>
        <v>0</v>
      </c>
      <c r="H46" s="49"/>
      <c r="I46" s="49"/>
      <c r="J46" s="49">
        <f>Master201722[[#This Row],[Initial Budget]]-Master201722[[#This Row],[Previously Committed Funds]]</f>
        <v>0</v>
      </c>
      <c r="K46" s="49"/>
      <c r="L46" s="49"/>
      <c r="M46" s="97">
        <f>Master201722[[#This Row],[Design $ (Add/Deduct)]]+Master201722[[#This Row],[Construction $ (Add/Ded)]]</f>
        <v>0</v>
      </c>
      <c r="N46" s="32">
        <v>1000000</v>
      </c>
      <c r="O46" s="8">
        <v>2018</v>
      </c>
      <c r="P46" s="10" t="s">
        <v>830</v>
      </c>
      <c r="Q46" s="8">
        <f t="shared" si="8"/>
        <v>10</v>
      </c>
      <c r="R46" s="8">
        <v>2</v>
      </c>
      <c r="S46" s="8">
        <f t="shared" si="6"/>
        <v>6</v>
      </c>
      <c r="T46" s="8" t="s">
        <v>41</v>
      </c>
      <c r="U46" s="8">
        <f t="shared" si="7"/>
        <v>4</v>
      </c>
      <c r="V46" s="8" t="s">
        <v>30</v>
      </c>
      <c r="W46" s="8">
        <v>0</v>
      </c>
      <c r="X46" s="8">
        <v>0</v>
      </c>
      <c r="Y46" s="8">
        <v>0</v>
      </c>
      <c r="Z46" s="8">
        <v>0</v>
      </c>
      <c r="AA46" s="8">
        <v>0</v>
      </c>
      <c r="AB46" s="8">
        <v>0</v>
      </c>
      <c r="AC46" s="8">
        <v>0</v>
      </c>
      <c r="AD46" s="17" t="s">
        <v>29</v>
      </c>
      <c r="AE46" s="8">
        <f>VLOOKUP(Master201722[[#This Row],[Elevated Priority]],Epriority,2,)</f>
        <v>0</v>
      </c>
      <c r="AF46" s="8">
        <f>IF(Master201722[[#This Row],[Status]]="Active",Master201722[[#This Row],[Status_Score]],IF(C46="","",Q46+G46+S46+U46+AE46-5))</f>
        <v>15</v>
      </c>
      <c r="AG46" s="8"/>
      <c r="AH46" s="8">
        <v>2020</v>
      </c>
      <c r="AI46" s="8">
        <v>2021</v>
      </c>
      <c r="AJ46" s="10" t="s">
        <v>979</v>
      </c>
    </row>
    <row r="47" spans="1:63" ht="165" hidden="1" x14ac:dyDescent="0.25">
      <c r="A47" s="103">
        <f t="shared" si="5"/>
        <v>41</v>
      </c>
      <c r="B47" s="10" t="s">
        <v>159</v>
      </c>
      <c r="C47" s="10" t="s">
        <v>262</v>
      </c>
      <c r="D47" s="10" t="s">
        <v>884</v>
      </c>
      <c r="E47" s="10" t="s">
        <v>885</v>
      </c>
      <c r="F47" s="10" t="s">
        <v>29</v>
      </c>
      <c r="G47" s="10">
        <f t="shared" ref="G47:G78" si="9">VLOOKUP(F47,Status_Score,2,FALSE)</f>
        <v>0</v>
      </c>
      <c r="H47" s="49"/>
      <c r="I47" s="49"/>
      <c r="J47" s="49">
        <f>Master201722[[#This Row],[Initial Budget]]-Master201722[[#This Row],[Previously Committed Funds]]</f>
        <v>0</v>
      </c>
      <c r="K47" s="49"/>
      <c r="L47" s="49"/>
      <c r="M47" s="97">
        <f>Master201722[[#This Row],[Design $ (Add/Deduct)]]+Master201722[[#This Row],[Construction $ (Add/Ded)]]</f>
        <v>0</v>
      </c>
      <c r="N47" s="32">
        <v>500000</v>
      </c>
      <c r="O47" s="8">
        <v>2018</v>
      </c>
      <c r="P47" s="10" t="s">
        <v>830</v>
      </c>
      <c r="Q47" s="8">
        <f t="shared" si="8"/>
        <v>10</v>
      </c>
      <c r="R47" s="8">
        <v>3</v>
      </c>
      <c r="S47" s="8">
        <f t="shared" si="6"/>
        <v>9</v>
      </c>
      <c r="T47" s="8" t="s">
        <v>33</v>
      </c>
      <c r="U47" s="8">
        <f t="shared" si="7"/>
        <v>1</v>
      </c>
      <c r="V47" s="8" t="s">
        <v>30</v>
      </c>
      <c r="W47" s="8">
        <v>0</v>
      </c>
      <c r="X47" s="8">
        <v>0</v>
      </c>
      <c r="Y47" s="8">
        <v>0</v>
      </c>
      <c r="Z47" s="8">
        <v>0</v>
      </c>
      <c r="AA47" s="8">
        <v>0</v>
      </c>
      <c r="AB47" s="8">
        <v>0</v>
      </c>
      <c r="AC47" s="8">
        <v>0</v>
      </c>
      <c r="AD47" s="17" t="s">
        <v>29</v>
      </c>
      <c r="AE47" s="8">
        <f>VLOOKUP(Master201722[[#This Row],[Elevated Priority]],Epriority,2,)</f>
        <v>0</v>
      </c>
      <c r="AF47" s="8">
        <f>IF(Master201722[[#This Row],[Status]]="Active",Master201722[[#This Row],[Status_Score]],IF(C47="","",Q47+G47+S47+U47+AE47-5))</f>
        <v>15</v>
      </c>
      <c r="AG47" s="8"/>
      <c r="AH47" s="8">
        <v>2021</v>
      </c>
      <c r="AI47" s="8">
        <v>2022</v>
      </c>
      <c r="AJ47" s="10"/>
    </row>
    <row r="48" spans="1:63" ht="60" hidden="1" x14ac:dyDescent="0.25">
      <c r="A48" s="103">
        <f t="shared" si="5"/>
        <v>42</v>
      </c>
      <c r="B48" s="10" t="s">
        <v>91</v>
      </c>
      <c r="C48" s="10" t="s">
        <v>357</v>
      </c>
      <c r="D48" s="10" t="s">
        <v>358</v>
      </c>
      <c r="E48" s="10" t="s">
        <v>359</v>
      </c>
      <c r="F48" s="10" t="s">
        <v>29</v>
      </c>
      <c r="G48" s="10">
        <f t="shared" si="9"/>
        <v>0</v>
      </c>
      <c r="H48" s="49"/>
      <c r="I48" s="49"/>
      <c r="J48" s="49">
        <f>Master201722[[#This Row],[Initial Budget]]-Master201722[[#This Row],[Previously Committed Funds]]</f>
        <v>0</v>
      </c>
      <c r="K48" s="49"/>
      <c r="L48" s="49"/>
      <c r="M48" s="97">
        <f>Master201722[[#This Row],[Design $ (Add/Deduct)]]+Master201722[[#This Row],[Construction $ (Add/Ded)]]</f>
        <v>0</v>
      </c>
      <c r="N48" s="32">
        <v>250000</v>
      </c>
      <c r="O48" s="8">
        <v>2018</v>
      </c>
      <c r="P48" s="10" t="s">
        <v>688</v>
      </c>
      <c r="Q48" s="8">
        <f t="shared" si="8"/>
        <v>20</v>
      </c>
      <c r="R48" s="8">
        <v>7</v>
      </c>
      <c r="S48" s="8">
        <f t="shared" si="6"/>
        <v>20</v>
      </c>
      <c r="T48" s="8" t="s">
        <v>43</v>
      </c>
      <c r="U48" s="8">
        <f t="shared" si="7"/>
        <v>16</v>
      </c>
      <c r="V48" s="8" t="s">
        <v>30</v>
      </c>
      <c r="W48" s="8">
        <v>0</v>
      </c>
      <c r="X48" s="8">
        <v>0</v>
      </c>
      <c r="Y48" s="8">
        <v>0</v>
      </c>
      <c r="Z48" s="8">
        <v>0</v>
      </c>
      <c r="AA48" s="8">
        <v>0</v>
      </c>
      <c r="AB48" s="8">
        <v>0</v>
      </c>
      <c r="AC48" s="8">
        <v>0</v>
      </c>
      <c r="AD48" s="17" t="s">
        <v>39</v>
      </c>
      <c r="AE48" s="8">
        <f>VLOOKUP(Master201722[[#This Row],[Elevated Priority]],Epriority,2,)</f>
        <v>-30</v>
      </c>
      <c r="AF48" s="8">
        <f>IF(Master201722[[#This Row],[Status]]="Active",Master201722[[#This Row],[Status_Score]],IF(C48="","",Q48+G48+S48+U48+AE48-5))</f>
        <v>21</v>
      </c>
      <c r="AG48" s="8"/>
      <c r="AH48" s="8">
        <v>2021</v>
      </c>
      <c r="AI48" s="8">
        <v>2022</v>
      </c>
      <c r="AJ48" s="10"/>
    </row>
    <row r="49" spans="1:36" ht="30" hidden="1" x14ac:dyDescent="0.25">
      <c r="A49" s="103">
        <f t="shared" si="5"/>
        <v>43</v>
      </c>
      <c r="B49" s="136" t="s">
        <v>61</v>
      </c>
      <c r="C49" s="127" t="s">
        <v>829</v>
      </c>
      <c r="D49" s="67" t="s">
        <v>886</v>
      </c>
      <c r="E49" s="110" t="s">
        <v>809</v>
      </c>
      <c r="F49" s="10" t="s">
        <v>29</v>
      </c>
      <c r="G49" s="10">
        <f t="shared" si="9"/>
        <v>0</v>
      </c>
      <c r="H49" s="49"/>
      <c r="I49" s="49"/>
      <c r="J49" s="49">
        <f>Master201722[[#This Row],[Initial Budget]]-Master201722[[#This Row],[Previously Committed Funds]]</f>
        <v>0</v>
      </c>
      <c r="K49" s="49">
        <v>40000</v>
      </c>
      <c r="L49" s="49"/>
      <c r="M49" s="97">
        <f>Master201722[[#This Row],[Design $ (Add/Deduct)]]+Master201722[[#This Row],[Construction $ (Add/Ded)]]</f>
        <v>40000</v>
      </c>
      <c r="N49" s="32">
        <v>350000</v>
      </c>
      <c r="O49" s="8">
        <v>2020</v>
      </c>
      <c r="P49" s="10" t="s">
        <v>688</v>
      </c>
      <c r="Q49" s="8">
        <f t="shared" si="8"/>
        <v>20</v>
      </c>
      <c r="R49" s="8">
        <v>1</v>
      </c>
      <c r="S49" s="8">
        <f t="shared" si="6"/>
        <v>3</v>
      </c>
      <c r="T49" s="8" t="s">
        <v>41</v>
      </c>
      <c r="U49" s="8">
        <f t="shared" si="7"/>
        <v>4</v>
      </c>
      <c r="V49" s="8" t="s">
        <v>30</v>
      </c>
      <c r="W49" s="8">
        <v>0</v>
      </c>
      <c r="X49" s="8">
        <v>0</v>
      </c>
      <c r="Y49" s="8">
        <v>0</v>
      </c>
      <c r="Z49" s="8">
        <v>0</v>
      </c>
      <c r="AA49" s="8">
        <v>0</v>
      </c>
      <c r="AB49" s="8">
        <v>0</v>
      </c>
      <c r="AC49" s="8">
        <v>0</v>
      </c>
      <c r="AD49" s="17" t="s">
        <v>29</v>
      </c>
      <c r="AE49" s="8">
        <f>VLOOKUP(Master201722[[#This Row],[Elevated Priority]],Epriority,2,)</f>
        <v>0</v>
      </c>
      <c r="AF49" s="8">
        <f>IF(Master201722[[#This Row],[Status]]="Active",Master201722[[#This Row],[Status_Score]],IF(C49="","",Q49+G49+S49+U49+AE49-5))</f>
        <v>22</v>
      </c>
      <c r="AG49" s="8"/>
      <c r="AH49" s="8">
        <v>2020</v>
      </c>
      <c r="AI49" s="8">
        <v>2021</v>
      </c>
      <c r="AJ49" s="10" t="s">
        <v>975</v>
      </c>
    </row>
    <row r="50" spans="1:36" ht="255" hidden="1" x14ac:dyDescent="0.25">
      <c r="A50" s="103">
        <f t="shared" si="5"/>
        <v>44</v>
      </c>
      <c r="B50" s="10" t="s">
        <v>659</v>
      </c>
      <c r="C50" s="10" t="s">
        <v>211</v>
      </c>
      <c r="D50" s="10" t="s">
        <v>212</v>
      </c>
      <c r="E50" s="10" t="s">
        <v>887</v>
      </c>
      <c r="F50" s="10" t="s">
        <v>29</v>
      </c>
      <c r="G50" s="10">
        <f t="shared" si="9"/>
        <v>0</v>
      </c>
      <c r="H50" s="49"/>
      <c r="I50" s="49"/>
      <c r="J50" s="49">
        <f>Master201722[[#This Row],[Initial Budget]]-Master201722[[#This Row],[Previously Committed Funds]]</f>
        <v>0</v>
      </c>
      <c r="K50" s="49"/>
      <c r="L50" s="49"/>
      <c r="M50" s="97">
        <f>Master201722[[#This Row],[Design $ (Add/Deduct)]]+Master201722[[#This Row],[Construction $ (Add/Ded)]]</f>
        <v>0</v>
      </c>
      <c r="N50" s="32">
        <v>50000</v>
      </c>
      <c r="O50" s="8">
        <v>2018</v>
      </c>
      <c r="P50" s="10" t="s">
        <v>688</v>
      </c>
      <c r="Q50" s="8">
        <f t="shared" si="8"/>
        <v>20</v>
      </c>
      <c r="R50" s="8">
        <v>1</v>
      </c>
      <c r="S50" s="8">
        <f t="shared" si="6"/>
        <v>3</v>
      </c>
      <c r="T50" s="8" t="s">
        <v>41</v>
      </c>
      <c r="U50" s="8">
        <f t="shared" si="7"/>
        <v>4</v>
      </c>
      <c r="V50" s="8" t="s">
        <v>30</v>
      </c>
      <c r="W50" s="8">
        <v>0</v>
      </c>
      <c r="X50" s="8">
        <v>0</v>
      </c>
      <c r="Y50" s="8">
        <v>0</v>
      </c>
      <c r="Z50" s="8">
        <v>0</v>
      </c>
      <c r="AA50" s="8">
        <v>0</v>
      </c>
      <c r="AB50" s="8">
        <v>0</v>
      </c>
      <c r="AC50" s="8">
        <v>0</v>
      </c>
      <c r="AD50" s="17" t="s">
        <v>29</v>
      </c>
      <c r="AE50" s="8">
        <f>VLOOKUP(Master201722[[#This Row],[Elevated Priority]],Epriority,2,)</f>
        <v>0</v>
      </c>
      <c r="AF50" s="8">
        <f>IF(Master201722[[#This Row],[Status]]="Active",Master201722[[#This Row],[Status_Score]],IF(C50="","",Q50+G50+S50+U50+AE50-5))</f>
        <v>22</v>
      </c>
      <c r="AG50" s="8"/>
      <c r="AH50" s="8">
        <v>2021</v>
      </c>
      <c r="AI50" s="8">
        <v>2022</v>
      </c>
      <c r="AJ50" s="10"/>
    </row>
    <row r="51" spans="1:36" ht="42" hidden="1" customHeight="1" x14ac:dyDescent="0.25">
      <c r="A51" s="103">
        <f t="shared" si="5"/>
        <v>45</v>
      </c>
      <c r="B51" s="1" t="s">
        <v>79</v>
      </c>
      <c r="C51" s="1" t="s">
        <v>837</v>
      </c>
      <c r="D51" s="10" t="s">
        <v>784</v>
      </c>
      <c r="E51" s="10" t="s">
        <v>805</v>
      </c>
      <c r="F51" s="10" t="s">
        <v>29</v>
      </c>
      <c r="G51" s="10">
        <f t="shared" si="9"/>
        <v>0</v>
      </c>
      <c r="H51" s="49"/>
      <c r="I51" s="49"/>
      <c r="J51" s="49">
        <f>Master201722[[#This Row],[Initial Budget]]-Master201722[[#This Row],[Previously Committed Funds]]</f>
        <v>0</v>
      </c>
      <c r="K51" s="49">
        <v>50000</v>
      </c>
      <c r="L51" s="49">
        <v>200000</v>
      </c>
      <c r="M51" s="97">
        <f>Master201722[[#This Row],[Design $ (Add/Deduct)]]+Master201722[[#This Row],[Construction $ (Add/Ded)]]</f>
        <v>250000</v>
      </c>
      <c r="N51" s="32">
        <v>250000</v>
      </c>
      <c r="O51" s="8">
        <v>2020</v>
      </c>
      <c r="P51" s="10" t="s">
        <v>688</v>
      </c>
      <c r="Q51" s="8">
        <f t="shared" si="8"/>
        <v>20</v>
      </c>
      <c r="R51" s="8">
        <v>2</v>
      </c>
      <c r="S51" s="8">
        <f t="shared" si="6"/>
        <v>6</v>
      </c>
      <c r="T51" s="8" t="s">
        <v>33</v>
      </c>
      <c r="U51" s="8">
        <f t="shared" si="7"/>
        <v>1</v>
      </c>
      <c r="V51" s="8" t="s">
        <v>30</v>
      </c>
      <c r="W51" s="8">
        <v>0</v>
      </c>
      <c r="X51" s="8">
        <v>0</v>
      </c>
      <c r="Y51" s="8">
        <v>0</v>
      </c>
      <c r="Z51" s="8">
        <v>0</v>
      </c>
      <c r="AA51" s="8">
        <v>0</v>
      </c>
      <c r="AB51" s="8">
        <v>0</v>
      </c>
      <c r="AC51" s="8">
        <v>0</v>
      </c>
      <c r="AD51" s="17" t="s">
        <v>29</v>
      </c>
      <c r="AE51" s="8">
        <f>VLOOKUP(Master201722[[#This Row],[Elevated Priority]],Epriority,2,)</f>
        <v>0</v>
      </c>
      <c r="AF51" s="8">
        <f>IF(Master201722[[#This Row],[Status]]="Active",Master201722[[#This Row],[Status_Score]],IF(C51="","",Q51+G51+S51+U51+AE51-5))</f>
        <v>22</v>
      </c>
      <c r="AG51" s="8"/>
      <c r="AH51" s="8">
        <v>2020</v>
      </c>
      <c r="AI51" s="8">
        <v>2021</v>
      </c>
      <c r="AJ51" s="10"/>
    </row>
    <row r="52" spans="1:36" ht="45" hidden="1" x14ac:dyDescent="0.25">
      <c r="A52" s="103">
        <f t="shared" si="5"/>
        <v>46</v>
      </c>
      <c r="B52" s="10" t="s">
        <v>67</v>
      </c>
      <c r="C52" s="10" t="s">
        <v>428</v>
      </c>
      <c r="D52" s="10" t="s">
        <v>429</v>
      </c>
      <c r="E52" s="10" t="s">
        <v>430</v>
      </c>
      <c r="F52" s="10" t="s">
        <v>29</v>
      </c>
      <c r="G52" s="10">
        <f t="shared" si="9"/>
        <v>0</v>
      </c>
      <c r="H52" s="49"/>
      <c r="I52" s="49"/>
      <c r="J52" s="49">
        <f>Master201722[[#This Row],[Initial Budget]]-Master201722[[#This Row],[Previously Committed Funds]]</f>
        <v>0</v>
      </c>
      <c r="K52" s="49"/>
      <c r="L52" s="49"/>
      <c r="M52" s="97">
        <f>Master201722[[#This Row],[Design $ (Add/Deduct)]]+Master201722[[#This Row],[Construction $ (Add/Ded)]]</f>
        <v>0</v>
      </c>
      <c r="N52" s="32">
        <v>75000</v>
      </c>
      <c r="O52" s="8">
        <v>2018</v>
      </c>
      <c r="P52" s="10" t="s">
        <v>688</v>
      </c>
      <c r="Q52" s="8">
        <f t="shared" si="8"/>
        <v>20</v>
      </c>
      <c r="R52" s="8">
        <v>2</v>
      </c>
      <c r="S52" s="8">
        <f t="shared" si="6"/>
        <v>6</v>
      </c>
      <c r="T52" s="8" t="s">
        <v>41</v>
      </c>
      <c r="U52" s="8">
        <f t="shared" si="7"/>
        <v>4</v>
      </c>
      <c r="V52" s="8" t="s">
        <v>30</v>
      </c>
      <c r="W52" s="8">
        <v>0</v>
      </c>
      <c r="X52" s="8">
        <v>0</v>
      </c>
      <c r="Y52" s="8">
        <v>0</v>
      </c>
      <c r="Z52" s="8">
        <v>0</v>
      </c>
      <c r="AA52" s="8">
        <v>0</v>
      </c>
      <c r="AB52" s="8">
        <v>0</v>
      </c>
      <c r="AC52" s="8">
        <v>0</v>
      </c>
      <c r="AD52" s="17" t="s">
        <v>29</v>
      </c>
      <c r="AE52" s="8">
        <f>VLOOKUP(Master201722[[#This Row],[Elevated Priority]],Epriority,2,)</f>
        <v>0</v>
      </c>
      <c r="AF52" s="8">
        <f>IF(Master201722[[#This Row],[Status]]="Active",Master201722[[#This Row],[Status_Score]],IF(C52="","",Q52+G52+S52+U52+AE52-5))</f>
        <v>25</v>
      </c>
      <c r="AG52" s="8"/>
      <c r="AH52" s="8">
        <v>2021</v>
      </c>
      <c r="AI52" s="8">
        <v>2022</v>
      </c>
      <c r="AJ52" s="10"/>
    </row>
    <row r="53" spans="1:36" ht="30" hidden="1" x14ac:dyDescent="0.25">
      <c r="A53" s="103">
        <f t="shared" si="5"/>
        <v>47</v>
      </c>
      <c r="B53" s="10" t="s">
        <v>72</v>
      </c>
      <c r="C53" s="10" t="s">
        <v>169</v>
      </c>
      <c r="D53" s="10" t="s">
        <v>889</v>
      </c>
      <c r="E53" s="10" t="s">
        <v>171</v>
      </c>
      <c r="F53" s="19" t="s">
        <v>29</v>
      </c>
      <c r="G53" s="67">
        <f t="shared" si="9"/>
        <v>0</v>
      </c>
      <c r="H53" s="110"/>
      <c r="I53" s="110"/>
      <c r="J53" s="110">
        <f>Master201722[[#This Row],[Initial Budget]]-Master201722[[#This Row],[Previously Committed Funds]]</f>
        <v>0</v>
      </c>
      <c r="K53" s="110"/>
      <c r="L53" s="110"/>
      <c r="M53" s="117">
        <f>Master201722[[#This Row],[Design $ (Add/Deduct)]]+Master201722[[#This Row],[Construction $ (Add/Ded)]]</f>
        <v>0</v>
      </c>
      <c r="N53" s="109">
        <v>500000</v>
      </c>
      <c r="O53" s="69">
        <v>2018</v>
      </c>
      <c r="P53" s="67" t="s">
        <v>688</v>
      </c>
      <c r="Q53" s="8">
        <f t="shared" si="8"/>
        <v>20</v>
      </c>
      <c r="R53" s="69">
        <v>2</v>
      </c>
      <c r="S53" s="8">
        <f t="shared" ref="S53:S84" si="10">VLOOKUP(R53,Department,2,FALSE)</f>
        <v>6</v>
      </c>
      <c r="T53" s="69" t="s">
        <v>41</v>
      </c>
      <c r="U53" s="8">
        <f t="shared" ref="U53:U84" si="11">VLOOKUP(T53,Urgency,2,FALSE)</f>
        <v>4</v>
      </c>
      <c r="V53" s="69" t="s">
        <v>30</v>
      </c>
      <c r="W53" s="8">
        <v>0</v>
      </c>
      <c r="X53" s="8">
        <v>0</v>
      </c>
      <c r="Y53" s="8">
        <v>0</v>
      </c>
      <c r="Z53" s="8">
        <v>0</v>
      </c>
      <c r="AA53" s="8">
        <v>0</v>
      </c>
      <c r="AB53" s="8">
        <v>0</v>
      </c>
      <c r="AC53" s="8">
        <v>0</v>
      </c>
      <c r="AD53" s="70" t="s">
        <v>29</v>
      </c>
      <c r="AE53" s="8">
        <f>VLOOKUP(Master201722[[#This Row],[Elevated Priority]],Epriority,2,)</f>
        <v>0</v>
      </c>
      <c r="AF53" s="8">
        <f>IF(Master201722[[#This Row],[Status]]="Active",Master201722[[#This Row],[Status_Score]],IF(C53="","",Q53+G53+S53+U53+AE53-5))</f>
        <v>25</v>
      </c>
      <c r="AG53" s="8"/>
      <c r="AH53" s="8"/>
      <c r="AI53" s="8"/>
      <c r="AJ53" s="10"/>
    </row>
    <row r="54" spans="1:36" ht="60" hidden="1" x14ac:dyDescent="0.25">
      <c r="A54" s="103">
        <f t="shared" si="5"/>
        <v>48</v>
      </c>
      <c r="B54" s="10" t="s">
        <v>94</v>
      </c>
      <c r="C54" s="10" t="s">
        <v>588</v>
      </c>
      <c r="D54" s="10" t="s">
        <v>589</v>
      </c>
      <c r="E54" s="10"/>
      <c r="F54" s="10" t="s">
        <v>29</v>
      </c>
      <c r="G54" s="10">
        <f t="shared" si="9"/>
        <v>0</v>
      </c>
      <c r="H54" s="49"/>
      <c r="I54" s="49"/>
      <c r="J54" s="49">
        <f>Master201722[[#This Row],[Initial Budget]]-Master201722[[#This Row],[Previously Committed Funds]]</f>
        <v>0</v>
      </c>
      <c r="K54" s="49"/>
      <c r="L54" s="49"/>
      <c r="M54" s="97">
        <f>Master201722[[#This Row],[Design $ (Add/Deduct)]]+Master201722[[#This Row],[Construction $ (Add/Ded)]]</f>
        <v>0</v>
      </c>
      <c r="N54" s="32">
        <v>25000</v>
      </c>
      <c r="O54" s="17">
        <v>2019</v>
      </c>
      <c r="P54" s="10" t="s">
        <v>36</v>
      </c>
      <c r="Q54" s="8">
        <f t="shared" si="8"/>
        <v>10</v>
      </c>
      <c r="R54" s="8">
        <v>6</v>
      </c>
      <c r="S54" s="8">
        <f t="shared" si="10"/>
        <v>18</v>
      </c>
      <c r="T54" s="8" t="s">
        <v>41</v>
      </c>
      <c r="U54" s="8">
        <f t="shared" si="11"/>
        <v>4</v>
      </c>
      <c r="V54" s="8" t="s">
        <v>30</v>
      </c>
      <c r="W54" s="8">
        <v>0</v>
      </c>
      <c r="X54" s="8">
        <v>0</v>
      </c>
      <c r="Y54" s="8">
        <v>0</v>
      </c>
      <c r="Z54" s="8">
        <v>0</v>
      </c>
      <c r="AA54" s="8">
        <v>0</v>
      </c>
      <c r="AB54" s="8">
        <v>0</v>
      </c>
      <c r="AC54" s="8">
        <v>0</v>
      </c>
      <c r="AD54" s="17" t="s">
        <v>29</v>
      </c>
      <c r="AE54" s="8">
        <f>VLOOKUP(Master201722[[#This Row],[Elevated Priority]],Epriority,2,)</f>
        <v>0</v>
      </c>
      <c r="AF54" s="8">
        <f>IF(Master201722[[#This Row],[Status]]="Active",Master201722[[#This Row],[Status_Score]],IF(C54="","",Q54+G54+S54+U54+AE54-5))</f>
        <v>27</v>
      </c>
      <c r="AG54" s="123"/>
      <c r="AH54" s="123">
        <v>2021</v>
      </c>
      <c r="AI54" s="123">
        <v>2022</v>
      </c>
      <c r="AJ54" s="10"/>
    </row>
    <row r="55" spans="1:36" ht="30" hidden="1" x14ac:dyDescent="0.25">
      <c r="A55" s="103">
        <f t="shared" si="5"/>
        <v>49</v>
      </c>
      <c r="B55" s="10" t="s">
        <v>79</v>
      </c>
      <c r="C55" s="10" t="s">
        <v>254</v>
      </c>
      <c r="D55" s="10" t="s">
        <v>255</v>
      </c>
      <c r="E55" s="10" t="s">
        <v>256</v>
      </c>
      <c r="F55" s="10" t="s">
        <v>29</v>
      </c>
      <c r="G55" s="10">
        <f t="shared" si="9"/>
        <v>0</v>
      </c>
      <c r="H55" s="49"/>
      <c r="I55" s="49"/>
      <c r="J55" s="49">
        <f>Master201722[[#This Row],[Initial Budget]]-Master201722[[#This Row],[Previously Committed Funds]]</f>
        <v>0</v>
      </c>
      <c r="K55" s="49"/>
      <c r="L55" s="49"/>
      <c r="M55" s="97">
        <f>Master201722[[#This Row],[Design $ (Add/Deduct)]]+Master201722[[#This Row],[Construction $ (Add/Ded)]]</f>
        <v>0</v>
      </c>
      <c r="N55" s="32">
        <v>50000</v>
      </c>
      <c r="O55" s="8">
        <v>2018</v>
      </c>
      <c r="P55" s="10" t="s">
        <v>688</v>
      </c>
      <c r="Q55" s="8">
        <f t="shared" si="8"/>
        <v>20</v>
      </c>
      <c r="R55" s="8">
        <v>3</v>
      </c>
      <c r="S55" s="8">
        <f t="shared" si="10"/>
        <v>9</v>
      </c>
      <c r="T55" s="8" t="s">
        <v>41</v>
      </c>
      <c r="U55" s="8">
        <f t="shared" si="11"/>
        <v>4</v>
      </c>
      <c r="V55" s="8" t="s">
        <v>30</v>
      </c>
      <c r="W55" s="8">
        <v>0</v>
      </c>
      <c r="X55" s="8">
        <v>0</v>
      </c>
      <c r="Y55" s="8">
        <v>0</v>
      </c>
      <c r="Z55" s="8">
        <v>0</v>
      </c>
      <c r="AA55" s="8">
        <v>0</v>
      </c>
      <c r="AB55" s="8">
        <v>0</v>
      </c>
      <c r="AC55" s="8">
        <v>0</v>
      </c>
      <c r="AD55" s="17" t="s">
        <v>29</v>
      </c>
      <c r="AE55" s="8">
        <f>VLOOKUP(Master201722[[#This Row],[Elevated Priority]],Epriority,2,)</f>
        <v>0</v>
      </c>
      <c r="AF55" s="8">
        <f>IF(Master201722[[#This Row],[Status]]="Active",Master201722[[#This Row],[Status_Score]],IF(C55="","",Q55+G55+S55+U55+AE55-5))</f>
        <v>28</v>
      </c>
      <c r="AG55" s="8"/>
      <c r="AH55" s="8">
        <v>2020</v>
      </c>
      <c r="AI55" s="8">
        <v>2021</v>
      </c>
      <c r="AJ55" s="10" t="s">
        <v>980</v>
      </c>
    </row>
    <row r="56" spans="1:36" ht="30" hidden="1" x14ac:dyDescent="0.25">
      <c r="A56" s="103">
        <f t="shared" si="5"/>
        <v>50</v>
      </c>
      <c r="B56" s="10" t="s">
        <v>61</v>
      </c>
      <c r="C56" s="10" t="s">
        <v>935</v>
      </c>
      <c r="D56" s="10" t="s">
        <v>662</v>
      </c>
      <c r="E56" s="10" t="s">
        <v>266</v>
      </c>
      <c r="F56" s="10" t="s">
        <v>29</v>
      </c>
      <c r="G56" s="10">
        <f t="shared" si="9"/>
        <v>0</v>
      </c>
      <c r="H56" s="49"/>
      <c r="I56" s="49"/>
      <c r="J56" s="49">
        <f>Master201722[[#This Row],[Initial Budget]]-Master201722[[#This Row],[Previously Committed Funds]]</f>
        <v>0</v>
      </c>
      <c r="K56" s="49"/>
      <c r="L56" s="49"/>
      <c r="M56" s="97">
        <f>Master201722[[#This Row],[Design $ (Add/Deduct)]]+Master201722[[#This Row],[Construction $ (Add/Ded)]]</f>
        <v>0</v>
      </c>
      <c r="N56" s="32">
        <v>50000</v>
      </c>
      <c r="O56" s="8">
        <v>2018</v>
      </c>
      <c r="P56" s="10" t="s">
        <v>688</v>
      </c>
      <c r="Q56" s="8">
        <f t="shared" ref="Q56:Q87" si="12">VLOOKUP(P56,Importance,2,FALSE)</f>
        <v>20</v>
      </c>
      <c r="R56" s="8">
        <v>3</v>
      </c>
      <c r="S56" s="8">
        <f t="shared" si="10"/>
        <v>9</v>
      </c>
      <c r="T56" s="8" t="s">
        <v>41</v>
      </c>
      <c r="U56" s="8">
        <f t="shared" si="11"/>
        <v>4</v>
      </c>
      <c r="V56" s="8" t="s">
        <v>30</v>
      </c>
      <c r="W56" s="8">
        <v>0</v>
      </c>
      <c r="X56" s="8">
        <v>0</v>
      </c>
      <c r="Y56" s="8">
        <v>0</v>
      </c>
      <c r="Z56" s="8">
        <v>0</v>
      </c>
      <c r="AA56" s="8">
        <v>0</v>
      </c>
      <c r="AB56" s="8">
        <v>0</v>
      </c>
      <c r="AC56" s="8">
        <v>0</v>
      </c>
      <c r="AD56" s="17" t="s">
        <v>29</v>
      </c>
      <c r="AE56" s="8">
        <f>VLOOKUP(Master201722[[#This Row],[Elevated Priority]],Epriority,2,)</f>
        <v>0</v>
      </c>
      <c r="AF56" s="8">
        <f>IF(Master201722[[#This Row],[Status]]="Active",Master201722[[#This Row],[Status_Score]],IF(C56="","",Q56+G56+S56+U56+AE56-5))</f>
        <v>28</v>
      </c>
      <c r="AG56" s="8"/>
      <c r="AH56" s="8">
        <v>2021</v>
      </c>
      <c r="AI56" s="8">
        <v>2022</v>
      </c>
      <c r="AJ56" s="10"/>
    </row>
    <row r="57" spans="1:36" ht="105" hidden="1" x14ac:dyDescent="0.25">
      <c r="A57" s="103">
        <f t="shared" si="5"/>
        <v>51</v>
      </c>
      <c r="B57" s="10" t="s">
        <v>152</v>
      </c>
      <c r="C57" s="10" t="s">
        <v>834</v>
      </c>
      <c r="D57" s="10" t="s">
        <v>835</v>
      </c>
      <c r="E57" s="10" t="s">
        <v>275</v>
      </c>
      <c r="F57" s="10" t="s">
        <v>29</v>
      </c>
      <c r="G57" s="10">
        <f t="shared" si="9"/>
        <v>0</v>
      </c>
      <c r="H57" s="49"/>
      <c r="I57" s="49"/>
      <c r="J57" s="49">
        <f>Master201722[[#This Row],[Initial Budget]]-Master201722[[#This Row],[Previously Committed Funds]]</f>
        <v>0</v>
      </c>
      <c r="K57" s="49"/>
      <c r="L57" s="49"/>
      <c r="M57" s="97">
        <f>Master201722[[#This Row],[Design $ (Add/Deduct)]]+Master201722[[#This Row],[Construction $ (Add/Ded)]]</f>
        <v>0</v>
      </c>
      <c r="N57" s="32">
        <v>200000</v>
      </c>
      <c r="O57" s="8">
        <v>2018</v>
      </c>
      <c r="P57" s="10" t="s">
        <v>688</v>
      </c>
      <c r="Q57" s="8">
        <f t="shared" si="12"/>
        <v>20</v>
      </c>
      <c r="R57" s="8">
        <v>3</v>
      </c>
      <c r="S57" s="8">
        <f t="shared" si="10"/>
        <v>9</v>
      </c>
      <c r="T57" s="8" t="s">
        <v>41</v>
      </c>
      <c r="U57" s="8">
        <f t="shared" si="11"/>
        <v>4</v>
      </c>
      <c r="V57" s="8" t="s">
        <v>30</v>
      </c>
      <c r="W57" s="8">
        <v>0</v>
      </c>
      <c r="X57" s="8">
        <v>0</v>
      </c>
      <c r="Y57" s="8">
        <v>0</v>
      </c>
      <c r="Z57" s="8">
        <v>0</v>
      </c>
      <c r="AA57" s="8">
        <v>0</v>
      </c>
      <c r="AB57" s="8">
        <v>0</v>
      </c>
      <c r="AC57" s="8">
        <v>0</v>
      </c>
      <c r="AD57" s="17" t="s">
        <v>29</v>
      </c>
      <c r="AE57" s="8">
        <f>VLOOKUP(Master201722[[#This Row],[Elevated Priority]],Epriority,2,)</f>
        <v>0</v>
      </c>
      <c r="AF57" s="8">
        <f>IF(Master201722[[#This Row],[Status]]="Active",Master201722[[#This Row],[Status_Score]],IF(C57="","",Q57+G57+S57+U57+AE57-5))</f>
        <v>28</v>
      </c>
      <c r="AG57" s="8"/>
      <c r="AH57" s="8">
        <v>2021</v>
      </c>
      <c r="AI57" s="8">
        <v>2022</v>
      </c>
      <c r="AJ57" s="10"/>
    </row>
    <row r="58" spans="1:36" ht="30" hidden="1" x14ac:dyDescent="0.25">
      <c r="A58" s="103">
        <f t="shared" si="5"/>
        <v>52</v>
      </c>
      <c r="B58" s="10" t="s">
        <v>94</v>
      </c>
      <c r="C58" s="10" t="s">
        <v>267</v>
      </c>
      <c r="D58" s="10" t="s">
        <v>268</v>
      </c>
      <c r="E58" s="10" t="s">
        <v>269</v>
      </c>
      <c r="F58" s="10" t="s">
        <v>29</v>
      </c>
      <c r="G58" s="10">
        <f t="shared" si="9"/>
        <v>0</v>
      </c>
      <c r="H58" s="49"/>
      <c r="I58" s="49"/>
      <c r="J58" s="49">
        <f>Master201722[[#This Row],[Initial Budget]]-Master201722[[#This Row],[Previously Committed Funds]]</f>
        <v>0</v>
      </c>
      <c r="K58" s="49"/>
      <c r="L58" s="49"/>
      <c r="M58" s="97">
        <f>Master201722[[#This Row],[Design $ (Add/Deduct)]]+Master201722[[#This Row],[Construction $ (Add/Ded)]]</f>
        <v>0</v>
      </c>
      <c r="N58" s="32">
        <v>850000</v>
      </c>
      <c r="O58" s="8">
        <v>2018</v>
      </c>
      <c r="P58" s="10" t="s">
        <v>36</v>
      </c>
      <c r="Q58" s="8">
        <f t="shared" si="12"/>
        <v>10</v>
      </c>
      <c r="R58" s="8">
        <v>14</v>
      </c>
      <c r="S58" s="8">
        <f t="shared" si="10"/>
        <v>23</v>
      </c>
      <c r="T58" s="8" t="s">
        <v>41</v>
      </c>
      <c r="U58" s="8">
        <f t="shared" si="11"/>
        <v>4</v>
      </c>
      <c r="V58" s="8" t="s">
        <v>30</v>
      </c>
      <c r="W58" s="8">
        <v>0</v>
      </c>
      <c r="X58" s="8">
        <v>0</v>
      </c>
      <c r="Y58" s="8">
        <v>0</v>
      </c>
      <c r="Z58" s="8">
        <v>0</v>
      </c>
      <c r="AA58" s="8">
        <v>0</v>
      </c>
      <c r="AB58" s="8">
        <v>0</v>
      </c>
      <c r="AC58" s="8">
        <v>0</v>
      </c>
      <c r="AD58" s="17" t="s">
        <v>29</v>
      </c>
      <c r="AE58" s="8">
        <f>VLOOKUP(Master201722[[#This Row],[Elevated Priority]],Epriority,2,)</f>
        <v>0</v>
      </c>
      <c r="AF58" s="8">
        <f>IF(Master201722[[#This Row],[Status]]="Active",Master201722[[#This Row],[Status_Score]],IF(C58="","",Q58+G58+S58+U58+AE58-5))</f>
        <v>32</v>
      </c>
      <c r="AG58" s="8"/>
      <c r="AH58" s="8">
        <v>2021</v>
      </c>
      <c r="AI58" s="8">
        <v>2022</v>
      </c>
      <c r="AJ58" s="10"/>
    </row>
    <row r="59" spans="1:36" ht="30" x14ac:dyDescent="0.25">
      <c r="A59" s="103">
        <f t="shared" si="5"/>
        <v>53</v>
      </c>
      <c r="B59" s="10" t="s">
        <v>67</v>
      </c>
      <c r="C59" s="10" t="s">
        <v>205</v>
      </c>
      <c r="D59" s="10" t="s">
        <v>206</v>
      </c>
      <c r="E59" s="10" t="s">
        <v>207</v>
      </c>
      <c r="F59" s="10" t="s">
        <v>29</v>
      </c>
      <c r="G59" s="10">
        <f t="shared" si="9"/>
        <v>0</v>
      </c>
      <c r="H59" s="49"/>
      <c r="I59" s="49"/>
      <c r="J59" s="49">
        <f>Master201722[[#This Row],[Initial Budget]]-Master201722[[#This Row],[Previously Committed Funds]]</f>
        <v>0</v>
      </c>
      <c r="K59" s="49"/>
      <c r="L59" s="49"/>
      <c r="M59" s="97">
        <f>Master201722[[#This Row],[Design $ (Add/Deduct)]]+Master201722[[#This Row],[Construction $ (Add/Ded)]]</f>
        <v>0</v>
      </c>
      <c r="N59" s="32">
        <v>2000000</v>
      </c>
      <c r="O59" s="8">
        <v>2018</v>
      </c>
      <c r="P59" s="10" t="s">
        <v>687</v>
      </c>
      <c r="Q59" s="8">
        <f t="shared" si="12"/>
        <v>30</v>
      </c>
      <c r="R59" s="8">
        <v>2</v>
      </c>
      <c r="S59" s="8">
        <f t="shared" si="10"/>
        <v>6</v>
      </c>
      <c r="T59" s="8" t="s">
        <v>41</v>
      </c>
      <c r="U59" s="8">
        <f t="shared" si="11"/>
        <v>4</v>
      </c>
      <c r="V59" s="8" t="s">
        <v>34</v>
      </c>
      <c r="W59" s="114">
        <v>0</v>
      </c>
      <c r="X59" s="8">
        <v>0</v>
      </c>
      <c r="Y59" s="8">
        <v>0</v>
      </c>
      <c r="Z59" s="8">
        <v>0</v>
      </c>
      <c r="AA59" s="8">
        <v>0</v>
      </c>
      <c r="AB59" s="8">
        <v>0</v>
      </c>
      <c r="AC59" s="8">
        <v>0</v>
      </c>
      <c r="AD59" s="17" t="s">
        <v>29</v>
      </c>
      <c r="AE59" s="8">
        <f>VLOOKUP(Master201722[[#This Row],[Elevated Priority]],Epriority,2,)</f>
        <v>0</v>
      </c>
      <c r="AF59" s="8">
        <f>IF(Master201722[[#This Row],[Status]]="Active",Master201722[[#This Row],[Status_Score]],IF(C59="","",Q59+G59+S59+U59+AE59-5))</f>
        <v>35</v>
      </c>
      <c r="AG59" s="8"/>
      <c r="AH59" s="8">
        <v>2021</v>
      </c>
      <c r="AI59" s="8">
        <v>2022</v>
      </c>
      <c r="AJ59" s="10"/>
    </row>
    <row r="60" spans="1:36" ht="75" x14ac:dyDescent="0.25">
      <c r="A60" s="103">
        <f t="shared" si="5"/>
        <v>54</v>
      </c>
      <c r="B60" s="127" t="s">
        <v>67</v>
      </c>
      <c r="C60" s="10" t="s">
        <v>865</v>
      </c>
      <c r="D60" s="10" t="s">
        <v>866</v>
      </c>
      <c r="E60" s="10" t="s">
        <v>867</v>
      </c>
      <c r="F60" s="10" t="s">
        <v>29</v>
      </c>
      <c r="G60" s="10">
        <f t="shared" si="9"/>
        <v>0</v>
      </c>
      <c r="H60" s="49"/>
      <c r="I60" s="49"/>
      <c r="J60" s="49">
        <f>Master201722[[#This Row],[Initial Budget]]-Master201722[[#This Row],[Previously Committed Funds]]</f>
        <v>0</v>
      </c>
      <c r="K60" s="49"/>
      <c r="L60" s="49"/>
      <c r="M60" s="97">
        <f>Master201722[[#This Row],[Design $ (Add/Deduct)]]+Master201722[[#This Row],[Construction $ (Add/Ded)]]</f>
        <v>0</v>
      </c>
      <c r="N60" s="32">
        <v>200000</v>
      </c>
      <c r="O60" s="8">
        <v>2020</v>
      </c>
      <c r="P60" s="10" t="s">
        <v>46</v>
      </c>
      <c r="Q60" s="8">
        <f t="shared" si="12"/>
        <v>50</v>
      </c>
      <c r="R60" s="8">
        <v>2</v>
      </c>
      <c r="S60" s="8">
        <f t="shared" si="10"/>
        <v>6</v>
      </c>
      <c r="T60" s="8" t="s">
        <v>37</v>
      </c>
      <c r="U60" s="8">
        <f t="shared" si="11"/>
        <v>3</v>
      </c>
      <c r="V60" s="8" t="s">
        <v>34</v>
      </c>
      <c r="W60" s="114">
        <v>0</v>
      </c>
      <c r="X60" s="8">
        <v>0</v>
      </c>
      <c r="Y60" s="8">
        <v>0</v>
      </c>
      <c r="Z60" s="8">
        <v>0</v>
      </c>
      <c r="AA60" s="8">
        <v>0</v>
      </c>
      <c r="AB60" s="8">
        <v>-1</v>
      </c>
      <c r="AC60" s="8">
        <v>0</v>
      </c>
      <c r="AD60" s="17" t="s">
        <v>35</v>
      </c>
      <c r="AE60" s="8">
        <f>VLOOKUP(Master201722[[#This Row],[Elevated Priority]],Epriority,2,)</f>
        <v>-50</v>
      </c>
      <c r="AF60" s="8">
        <f>IF(Master201722[[#This Row],[Status]]="Active",Master201722[[#This Row],[Status_Score]],IF(C60="","",Q60+G60+S60+U60+AE60-5))</f>
        <v>4</v>
      </c>
      <c r="AG60" s="8"/>
      <c r="AH60" s="8">
        <v>2020</v>
      </c>
      <c r="AI60" s="8">
        <v>2023</v>
      </c>
      <c r="AJ60" s="10"/>
    </row>
    <row r="61" spans="1:36" ht="45" hidden="1" x14ac:dyDescent="0.25">
      <c r="A61" s="103">
        <f t="shared" si="5"/>
        <v>55</v>
      </c>
      <c r="B61" s="10" t="s">
        <v>91</v>
      </c>
      <c r="C61" s="10" t="s">
        <v>242</v>
      </c>
      <c r="D61" s="10" t="s">
        <v>243</v>
      </c>
      <c r="E61" s="10" t="s">
        <v>244</v>
      </c>
      <c r="F61" s="10" t="s">
        <v>29</v>
      </c>
      <c r="G61" s="10">
        <f t="shared" si="9"/>
        <v>0</v>
      </c>
      <c r="H61" s="49"/>
      <c r="I61" s="49"/>
      <c r="J61" s="49">
        <f>Master201722[[#This Row],[Initial Budget]]-Master201722[[#This Row],[Previously Committed Funds]]</f>
        <v>0</v>
      </c>
      <c r="K61" s="49"/>
      <c r="L61" s="49"/>
      <c r="M61" s="97">
        <f>Master201722[[#This Row],[Design $ (Add/Deduct)]]+Master201722[[#This Row],[Construction $ (Add/Ded)]]</f>
        <v>0</v>
      </c>
      <c r="N61" s="32">
        <v>350000</v>
      </c>
      <c r="O61" s="8">
        <v>2018</v>
      </c>
      <c r="P61" s="10" t="s">
        <v>36</v>
      </c>
      <c r="Q61" s="8">
        <f t="shared" si="12"/>
        <v>10</v>
      </c>
      <c r="R61" s="8">
        <v>4</v>
      </c>
      <c r="S61" s="8">
        <f t="shared" si="10"/>
        <v>12</v>
      </c>
      <c r="T61" s="8" t="s">
        <v>43</v>
      </c>
      <c r="U61" s="8">
        <f t="shared" si="11"/>
        <v>16</v>
      </c>
      <c r="V61" s="8" t="s">
        <v>30</v>
      </c>
      <c r="W61" s="8">
        <v>0</v>
      </c>
      <c r="X61" s="8">
        <v>0</v>
      </c>
      <c r="Y61" s="8">
        <v>0</v>
      </c>
      <c r="Z61" s="8">
        <v>0</v>
      </c>
      <c r="AA61" s="8">
        <v>0</v>
      </c>
      <c r="AB61" s="8">
        <v>0</v>
      </c>
      <c r="AC61" s="8">
        <v>0</v>
      </c>
      <c r="AD61" s="17" t="s">
        <v>29</v>
      </c>
      <c r="AE61" s="8">
        <f>VLOOKUP(Master201722[[#This Row],[Elevated Priority]],Epriority,2,)</f>
        <v>0</v>
      </c>
      <c r="AF61" s="8">
        <f>IF(Master201722[[#This Row],[Status]]="Active",Master201722[[#This Row],[Status_Score]],IF(C61="","",Q61+G61+S61+U61+AE61-5))</f>
        <v>33</v>
      </c>
      <c r="AG61" s="8"/>
      <c r="AH61" s="8">
        <v>2022</v>
      </c>
      <c r="AI61" s="8">
        <v>2023</v>
      </c>
      <c r="AJ61" s="10"/>
    </row>
    <row r="62" spans="1:36" ht="90" x14ac:dyDescent="0.25">
      <c r="A62" s="103">
        <f t="shared" si="5"/>
        <v>56</v>
      </c>
      <c r="B62" s="10" t="s">
        <v>61</v>
      </c>
      <c r="C62" s="10" t="s">
        <v>316</v>
      </c>
      <c r="D62" s="10" t="s">
        <v>891</v>
      </c>
      <c r="E62" s="10" t="s">
        <v>318</v>
      </c>
      <c r="F62" s="10" t="s">
        <v>29</v>
      </c>
      <c r="G62" s="10">
        <f t="shared" si="9"/>
        <v>0</v>
      </c>
      <c r="H62" s="49"/>
      <c r="I62" s="49"/>
      <c r="J62" s="49">
        <f>Master201722[[#This Row],[Initial Budget]]-Master201722[[#This Row],[Previously Committed Funds]]</f>
        <v>0</v>
      </c>
      <c r="K62" s="49"/>
      <c r="L62" s="49"/>
      <c r="M62" s="97">
        <f>Master201722[[#This Row],[Design $ (Add/Deduct)]]+Master201722[[#This Row],[Construction $ (Add/Ded)]]</f>
        <v>0</v>
      </c>
      <c r="N62" s="32">
        <v>3000000</v>
      </c>
      <c r="O62" s="8">
        <v>2018</v>
      </c>
      <c r="P62" s="10" t="s">
        <v>687</v>
      </c>
      <c r="Q62" s="8">
        <f t="shared" si="12"/>
        <v>30</v>
      </c>
      <c r="R62" s="8">
        <v>2</v>
      </c>
      <c r="S62" s="8">
        <f t="shared" si="10"/>
        <v>6</v>
      </c>
      <c r="T62" s="8" t="s">
        <v>43</v>
      </c>
      <c r="U62" s="8">
        <f t="shared" si="11"/>
        <v>16</v>
      </c>
      <c r="V62" s="8" t="s">
        <v>34</v>
      </c>
      <c r="W62" s="114">
        <v>0</v>
      </c>
      <c r="X62" s="8">
        <v>0</v>
      </c>
      <c r="Y62" s="8">
        <v>-1</v>
      </c>
      <c r="Z62" s="8">
        <v>0</v>
      </c>
      <c r="AA62" s="8">
        <v>0</v>
      </c>
      <c r="AB62" s="8">
        <v>-5</v>
      </c>
      <c r="AC62" s="8">
        <v>0</v>
      </c>
      <c r="AD62" s="17" t="s">
        <v>29</v>
      </c>
      <c r="AE62" s="8">
        <f>VLOOKUP(Master201722[[#This Row],[Elevated Priority]],Epriority,2,)</f>
        <v>0</v>
      </c>
      <c r="AF62" s="8">
        <f>IF(Master201722[[#This Row],[Status]]="Active",Master201722[[#This Row],[Status_Score]],IF(C62="","",Q62+G62+S62+U62+AE62-5))</f>
        <v>47</v>
      </c>
      <c r="AG62" s="8"/>
      <c r="AH62" s="8">
        <v>2022</v>
      </c>
      <c r="AI62" s="8">
        <v>2024</v>
      </c>
      <c r="AJ62" s="10"/>
    </row>
    <row r="63" spans="1:36" ht="210" hidden="1" x14ac:dyDescent="0.25">
      <c r="A63" s="103">
        <f t="shared" si="5"/>
        <v>57</v>
      </c>
      <c r="B63" s="10" t="s">
        <v>73</v>
      </c>
      <c r="C63" s="10" t="s">
        <v>354</v>
      </c>
      <c r="D63" s="10" t="s">
        <v>819</v>
      </c>
      <c r="E63" s="10" t="s">
        <v>818</v>
      </c>
      <c r="F63" s="10" t="s">
        <v>29</v>
      </c>
      <c r="G63" s="10">
        <f t="shared" si="9"/>
        <v>0</v>
      </c>
      <c r="H63" s="49"/>
      <c r="I63" s="49"/>
      <c r="J63" s="49">
        <f>Master201722[[#This Row],[Initial Budget]]-Master201722[[#This Row],[Previously Committed Funds]]</f>
        <v>0</v>
      </c>
      <c r="K63" s="49"/>
      <c r="L63" s="49"/>
      <c r="M63" s="97">
        <f>Master201722[[#This Row],[Design $ (Add/Deduct)]]+Master201722[[#This Row],[Construction $ (Add/Ded)]]</f>
        <v>0</v>
      </c>
      <c r="N63" s="32">
        <v>300000</v>
      </c>
      <c r="O63" s="8">
        <v>2018</v>
      </c>
      <c r="P63" s="10" t="s">
        <v>688</v>
      </c>
      <c r="Q63" s="8">
        <f t="shared" si="12"/>
        <v>20</v>
      </c>
      <c r="R63" s="8">
        <v>1</v>
      </c>
      <c r="S63" s="8">
        <f t="shared" si="10"/>
        <v>3</v>
      </c>
      <c r="T63" s="8" t="s">
        <v>43</v>
      </c>
      <c r="U63" s="8">
        <f t="shared" si="11"/>
        <v>16</v>
      </c>
      <c r="V63" s="8" t="s">
        <v>30</v>
      </c>
      <c r="W63" s="8">
        <v>0</v>
      </c>
      <c r="X63" s="8">
        <v>0</v>
      </c>
      <c r="Y63" s="8">
        <v>0</v>
      </c>
      <c r="Z63" s="8">
        <v>0</v>
      </c>
      <c r="AA63" s="8">
        <v>0</v>
      </c>
      <c r="AB63" s="8">
        <v>0</v>
      </c>
      <c r="AC63" s="8">
        <v>0</v>
      </c>
      <c r="AD63" s="17" t="s">
        <v>29</v>
      </c>
      <c r="AE63" s="8">
        <f>VLOOKUP(Master201722[[#This Row],[Elevated Priority]],Epriority,2,)</f>
        <v>0</v>
      </c>
      <c r="AF63" s="8">
        <f>IF(Master201722[[#This Row],[Status]]="Active",Master201722[[#This Row],[Status_Score]],IF(C63="","",Q63+G63+S63+U63+AE63-5))</f>
        <v>34</v>
      </c>
      <c r="AG63" s="8"/>
      <c r="AH63" s="8">
        <v>2020</v>
      </c>
      <c r="AI63" s="8">
        <v>2021</v>
      </c>
      <c r="AJ63" s="10" t="s">
        <v>934</v>
      </c>
    </row>
    <row r="64" spans="1:36" ht="30" hidden="1" x14ac:dyDescent="0.25">
      <c r="A64" s="103">
        <f t="shared" si="5"/>
        <v>58</v>
      </c>
      <c r="B64" s="10" t="s">
        <v>732</v>
      </c>
      <c r="C64" s="10" t="s">
        <v>969</v>
      </c>
      <c r="D64" s="10" t="s">
        <v>970</v>
      </c>
      <c r="E64" s="10" t="s">
        <v>971</v>
      </c>
      <c r="F64" s="10" t="s">
        <v>29</v>
      </c>
      <c r="G64" s="105">
        <f t="shared" si="9"/>
        <v>0</v>
      </c>
      <c r="H64" s="49"/>
      <c r="I64" s="49"/>
      <c r="J64" s="49">
        <f>Master201722[[#This Row],[Initial Budget]]-Master201722[[#This Row],[Previously Committed Funds]]</f>
        <v>0</v>
      </c>
      <c r="K64" s="49"/>
      <c r="L64" s="49"/>
      <c r="M64" s="97"/>
      <c r="N64" s="32">
        <v>75000</v>
      </c>
      <c r="O64" s="8">
        <v>2018</v>
      </c>
      <c r="P64" s="10" t="s">
        <v>688</v>
      </c>
      <c r="Q64" s="8">
        <f t="shared" si="12"/>
        <v>20</v>
      </c>
      <c r="R64" s="8">
        <v>5</v>
      </c>
      <c r="S64" s="8">
        <f t="shared" si="10"/>
        <v>15</v>
      </c>
      <c r="T64" s="8" t="s">
        <v>41</v>
      </c>
      <c r="U64" s="8">
        <f t="shared" si="11"/>
        <v>4</v>
      </c>
      <c r="V64" s="8" t="s">
        <v>30</v>
      </c>
      <c r="W64" s="8">
        <v>0</v>
      </c>
      <c r="X64" s="8">
        <v>0</v>
      </c>
      <c r="Y64" s="8">
        <v>0</v>
      </c>
      <c r="Z64" s="8">
        <v>0</v>
      </c>
      <c r="AA64" s="8">
        <v>0</v>
      </c>
      <c r="AB64" s="8">
        <v>0</v>
      </c>
      <c r="AC64" s="8">
        <v>0</v>
      </c>
      <c r="AD64" s="17" t="s">
        <v>29</v>
      </c>
      <c r="AE64" s="8">
        <f>VLOOKUP(Master201722[[#This Row],[Elevated Priority]],Epriority,2,)</f>
        <v>0</v>
      </c>
      <c r="AF64" s="8">
        <f>IF(Master201722[[#This Row],[Status]]="Active",Master201722[[#This Row],[Status_Score]],IF(C64="","",Q64+G64+S64+U64+AE64-5))</f>
        <v>34</v>
      </c>
      <c r="AG64" s="8"/>
      <c r="AH64" s="8">
        <v>2020</v>
      </c>
      <c r="AI64" s="8">
        <v>2021</v>
      </c>
      <c r="AJ64" s="10"/>
    </row>
    <row r="65" spans="1:36" ht="30" x14ac:dyDescent="0.25">
      <c r="A65" s="103">
        <f t="shared" si="5"/>
        <v>59</v>
      </c>
      <c r="B65" s="10" t="s">
        <v>220</v>
      </c>
      <c r="C65" s="10" t="s">
        <v>339</v>
      </c>
      <c r="D65" s="10" t="s">
        <v>340</v>
      </c>
      <c r="E65" s="10" t="s">
        <v>341</v>
      </c>
      <c r="F65" s="10" t="s">
        <v>29</v>
      </c>
      <c r="G65" s="10">
        <f t="shared" si="9"/>
        <v>0</v>
      </c>
      <c r="H65" s="49"/>
      <c r="I65" s="49"/>
      <c r="J65" s="49">
        <f>Master201722[[#This Row],[Initial Budget]]-Master201722[[#This Row],[Previously Committed Funds]]</f>
        <v>0</v>
      </c>
      <c r="K65" s="49"/>
      <c r="L65" s="49"/>
      <c r="M65" s="97">
        <f>Master201722[[#This Row],[Design $ (Add/Deduct)]]+Master201722[[#This Row],[Construction $ (Add/Ded)]]</f>
        <v>0</v>
      </c>
      <c r="N65" s="32" t="s">
        <v>224</v>
      </c>
      <c r="O65" s="8">
        <v>2018</v>
      </c>
      <c r="P65" s="10" t="s">
        <v>686</v>
      </c>
      <c r="Q65" s="8">
        <f t="shared" si="12"/>
        <v>60</v>
      </c>
      <c r="R65" s="8">
        <v>1</v>
      </c>
      <c r="S65" s="8">
        <f t="shared" si="10"/>
        <v>3</v>
      </c>
      <c r="T65" s="8" t="s">
        <v>37</v>
      </c>
      <c r="U65" s="8">
        <f t="shared" si="11"/>
        <v>3</v>
      </c>
      <c r="V65" s="8" t="s">
        <v>34</v>
      </c>
      <c r="W65" s="114">
        <v>0</v>
      </c>
      <c r="X65" s="8">
        <v>-5</v>
      </c>
      <c r="Y65" s="8">
        <v>-3</v>
      </c>
      <c r="Z65" s="8">
        <v>0</v>
      </c>
      <c r="AA65" s="8">
        <v>0</v>
      </c>
      <c r="AB65" s="8">
        <v>-1</v>
      </c>
      <c r="AC65" s="8">
        <v>-1</v>
      </c>
      <c r="AD65" s="17" t="s">
        <v>29</v>
      </c>
      <c r="AE65" s="8">
        <f>VLOOKUP(Master201722[[#This Row],[Elevated Priority]],Epriority,2,)</f>
        <v>0</v>
      </c>
      <c r="AF65" s="8">
        <f>IF(Master201722[[#This Row],[Status]]="Active",Master201722[[#This Row],[Status_Score]],IF(C65="","",Q65+G65+S65+U65+AE65-5))</f>
        <v>61</v>
      </c>
      <c r="AG65" s="8"/>
      <c r="AH65" s="8"/>
      <c r="AI65" s="8"/>
      <c r="AJ65" s="10"/>
    </row>
    <row r="66" spans="1:36" ht="45" hidden="1" x14ac:dyDescent="0.25">
      <c r="A66" s="103">
        <f t="shared" si="5"/>
        <v>60</v>
      </c>
      <c r="B66" s="10" t="s">
        <v>143</v>
      </c>
      <c r="C66" s="10" t="s">
        <v>163</v>
      </c>
      <c r="D66" s="10" t="s">
        <v>164</v>
      </c>
      <c r="E66" s="10" t="s">
        <v>165</v>
      </c>
      <c r="F66" s="10" t="s">
        <v>29</v>
      </c>
      <c r="G66" s="10">
        <f t="shared" si="9"/>
        <v>0</v>
      </c>
      <c r="H66" s="49"/>
      <c r="I66" s="49"/>
      <c r="J66" s="49">
        <f>Master201722[[#This Row],[Initial Budget]]-Master201722[[#This Row],[Previously Committed Funds]]</f>
        <v>0</v>
      </c>
      <c r="K66" s="49"/>
      <c r="L66" s="49"/>
      <c r="M66" s="97">
        <f>Master201722[[#This Row],[Design $ (Add/Deduct)]]+Master201722[[#This Row],[Construction $ (Add/Ded)]]</f>
        <v>0</v>
      </c>
      <c r="N66" s="49">
        <v>40000</v>
      </c>
      <c r="O66" s="8">
        <v>2018</v>
      </c>
      <c r="P66" s="10" t="s">
        <v>687</v>
      </c>
      <c r="Q66" s="8">
        <f t="shared" si="12"/>
        <v>30</v>
      </c>
      <c r="R66" s="17">
        <v>2</v>
      </c>
      <c r="S66" s="8">
        <f t="shared" si="10"/>
        <v>6</v>
      </c>
      <c r="T66" s="17" t="s">
        <v>41</v>
      </c>
      <c r="U66" s="8">
        <f t="shared" si="11"/>
        <v>4</v>
      </c>
      <c r="V66" s="8" t="s">
        <v>30</v>
      </c>
      <c r="W66" s="8">
        <v>0</v>
      </c>
      <c r="X66" s="8">
        <v>0</v>
      </c>
      <c r="Y66" s="8">
        <v>0</v>
      </c>
      <c r="Z66" s="8">
        <v>0</v>
      </c>
      <c r="AA66" s="8">
        <v>0</v>
      </c>
      <c r="AB66" s="8">
        <v>0</v>
      </c>
      <c r="AC66" s="8">
        <v>0</v>
      </c>
      <c r="AD66" s="17" t="s">
        <v>29</v>
      </c>
      <c r="AE66" s="8">
        <f>VLOOKUP(Master201722[[#This Row],[Elevated Priority]],Epriority,2,)</f>
        <v>0</v>
      </c>
      <c r="AF66" s="8">
        <f>IF(Master201722[[#This Row],[Status]]="Active",Master201722[[#This Row],[Status_Score]],IF(C66="","",Q66+G66+S66+U66+AE66-5))</f>
        <v>35</v>
      </c>
      <c r="AG66" s="8"/>
      <c r="AH66" s="8">
        <v>2022</v>
      </c>
      <c r="AI66" s="8">
        <v>2023</v>
      </c>
      <c r="AJ66" s="10"/>
    </row>
    <row r="67" spans="1:36" hidden="1" x14ac:dyDescent="0.25">
      <c r="A67" s="103">
        <f t="shared" si="5"/>
        <v>61</v>
      </c>
      <c r="B67" s="10" t="s">
        <v>94</v>
      </c>
      <c r="C67" s="10" t="s">
        <v>604</v>
      </c>
      <c r="D67" s="10" t="s">
        <v>605</v>
      </c>
      <c r="E67" s="49" t="s">
        <v>606</v>
      </c>
      <c r="F67" s="10" t="s">
        <v>29</v>
      </c>
      <c r="G67" s="10">
        <f t="shared" si="9"/>
        <v>0</v>
      </c>
      <c r="H67" s="49"/>
      <c r="I67" s="49"/>
      <c r="J67" s="49">
        <f>Master201722[[#This Row],[Initial Budget]]-Master201722[[#This Row],[Previously Committed Funds]]</f>
        <v>0</v>
      </c>
      <c r="K67" s="49"/>
      <c r="L67" s="49"/>
      <c r="M67" s="97">
        <f>Master201722[[#This Row],[Design $ (Add/Deduct)]]+Master201722[[#This Row],[Construction $ (Add/Ded)]]</f>
        <v>0</v>
      </c>
      <c r="N67" s="32">
        <v>500000</v>
      </c>
      <c r="O67" s="17">
        <v>2019</v>
      </c>
      <c r="P67" s="10" t="s">
        <v>830</v>
      </c>
      <c r="Q67" s="8">
        <f t="shared" si="12"/>
        <v>10</v>
      </c>
      <c r="R67" s="8">
        <v>18</v>
      </c>
      <c r="S67" s="8">
        <f t="shared" si="10"/>
        <v>25</v>
      </c>
      <c r="T67" s="8" t="s">
        <v>33</v>
      </c>
      <c r="U67" s="8">
        <f t="shared" si="11"/>
        <v>1</v>
      </c>
      <c r="V67" s="8" t="s">
        <v>30</v>
      </c>
      <c r="W67" s="8">
        <v>0</v>
      </c>
      <c r="X67" s="8">
        <v>0</v>
      </c>
      <c r="Y67" s="8">
        <v>0</v>
      </c>
      <c r="Z67" s="8">
        <v>0</v>
      </c>
      <c r="AA67" s="8">
        <v>0</v>
      </c>
      <c r="AB67" s="8">
        <v>0</v>
      </c>
      <c r="AC67" s="8">
        <v>0</v>
      </c>
      <c r="AD67" s="8" t="s">
        <v>29</v>
      </c>
      <c r="AE67" s="8">
        <f>VLOOKUP(Master201722[[#This Row],[Elevated Priority]],Epriority,2,)</f>
        <v>0</v>
      </c>
      <c r="AF67" s="8">
        <f>IF(Master201722[[#This Row],[Status]]="Active",Master201722[[#This Row],[Status_Score]],IF(C67="","",Q67+G67+S67+U67+AE67-5))</f>
        <v>31</v>
      </c>
      <c r="AG67" s="8"/>
      <c r="AH67" s="8">
        <v>2022</v>
      </c>
      <c r="AI67" s="8">
        <v>2023</v>
      </c>
      <c r="AJ67" s="10"/>
    </row>
    <row r="68" spans="1:36" ht="30" x14ac:dyDescent="0.25">
      <c r="A68" s="103">
        <f t="shared" si="5"/>
        <v>62</v>
      </c>
      <c r="B68" s="10" t="s">
        <v>94</v>
      </c>
      <c r="C68" s="10" t="s">
        <v>668</v>
      </c>
      <c r="D68" s="10" t="s">
        <v>231</v>
      </c>
      <c r="E68" s="10"/>
      <c r="F68" s="10" t="s">
        <v>29</v>
      </c>
      <c r="G68" s="10">
        <f t="shared" si="9"/>
        <v>0</v>
      </c>
      <c r="H68" s="49"/>
      <c r="I68" s="49"/>
      <c r="J68" s="49">
        <f>Master201722[[#This Row],[Initial Budget]]-Master201722[[#This Row],[Previously Committed Funds]]</f>
        <v>0</v>
      </c>
      <c r="K68" s="49"/>
      <c r="L68" s="49"/>
      <c r="M68" s="97">
        <f>Master201722[[#This Row],[Design $ (Add/Deduct)]]+Master201722[[#This Row],[Construction $ (Add/Ded)]]</f>
        <v>0</v>
      </c>
      <c r="N68" s="32">
        <v>850000</v>
      </c>
      <c r="O68" s="8">
        <v>2018</v>
      </c>
      <c r="P68" s="10" t="s">
        <v>688</v>
      </c>
      <c r="Q68" s="8">
        <f t="shared" si="12"/>
        <v>20</v>
      </c>
      <c r="R68" s="8">
        <v>13</v>
      </c>
      <c r="S68" s="8">
        <f t="shared" si="10"/>
        <v>23</v>
      </c>
      <c r="T68" s="8" t="s">
        <v>41</v>
      </c>
      <c r="U68" s="8">
        <f t="shared" si="11"/>
        <v>4</v>
      </c>
      <c r="V68" s="8" t="s">
        <v>34</v>
      </c>
      <c r="W68" s="8">
        <v>0</v>
      </c>
      <c r="X68" s="8">
        <v>0</v>
      </c>
      <c r="Y68" s="8">
        <v>0</v>
      </c>
      <c r="Z68" s="8">
        <v>0</v>
      </c>
      <c r="AA68" s="8">
        <v>0</v>
      </c>
      <c r="AB68" s="8">
        <v>0</v>
      </c>
      <c r="AC68" s="8">
        <v>0</v>
      </c>
      <c r="AD68" s="17" t="s">
        <v>29</v>
      </c>
      <c r="AE68" s="8">
        <f>VLOOKUP(Master201722[[#This Row],[Elevated Priority]],Epriority,2,)</f>
        <v>0</v>
      </c>
      <c r="AF68" s="8">
        <f>IF(Master201722[[#This Row],[Status]]="Active",Master201722[[#This Row],[Status_Score]],IF(C68="","",Q68+G68+S68+U68+AE68-5))</f>
        <v>42</v>
      </c>
      <c r="AG68" s="8"/>
      <c r="AH68" s="8">
        <v>2022</v>
      </c>
      <c r="AI68" s="8">
        <v>2023</v>
      </c>
      <c r="AJ68" s="10"/>
    </row>
    <row r="69" spans="1:36" ht="30" hidden="1" x14ac:dyDescent="0.25">
      <c r="A69" s="103">
        <f t="shared" si="5"/>
        <v>63</v>
      </c>
      <c r="B69" s="10" t="s">
        <v>70</v>
      </c>
      <c r="C69" s="10" t="s">
        <v>276</v>
      </c>
      <c r="D69" s="10" t="s">
        <v>951</v>
      </c>
      <c r="E69" s="10" t="s">
        <v>278</v>
      </c>
      <c r="F69" s="10" t="s">
        <v>29</v>
      </c>
      <c r="G69" s="10">
        <f t="shared" si="9"/>
        <v>0</v>
      </c>
      <c r="H69" s="49"/>
      <c r="I69" s="49"/>
      <c r="J69" s="49">
        <f>Master201722[[#This Row],[Initial Budget]]-Master201722[[#This Row],[Previously Committed Funds]]</f>
        <v>0</v>
      </c>
      <c r="K69" s="49"/>
      <c r="L69" s="49"/>
      <c r="M69" s="97">
        <f>Master201722[[#This Row],[Design $ (Add/Deduct)]]+Master201722[[#This Row],[Construction $ (Add/Ded)]]</f>
        <v>0</v>
      </c>
      <c r="N69" s="32">
        <v>10000</v>
      </c>
      <c r="O69" s="8">
        <v>2018</v>
      </c>
      <c r="P69" s="10" t="s">
        <v>687</v>
      </c>
      <c r="Q69" s="8">
        <f t="shared" si="12"/>
        <v>30</v>
      </c>
      <c r="R69" s="8">
        <v>3</v>
      </c>
      <c r="S69" s="8">
        <f t="shared" si="10"/>
        <v>9</v>
      </c>
      <c r="T69" s="8" t="s">
        <v>41</v>
      </c>
      <c r="U69" s="8">
        <f t="shared" si="11"/>
        <v>4</v>
      </c>
      <c r="V69" s="8" t="s">
        <v>30</v>
      </c>
      <c r="W69" s="8">
        <v>0</v>
      </c>
      <c r="X69" s="8">
        <v>0</v>
      </c>
      <c r="Y69" s="8">
        <v>0</v>
      </c>
      <c r="Z69" s="8">
        <v>0</v>
      </c>
      <c r="AA69" s="8">
        <v>0</v>
      </c>
      <c r="AB69" s="8">
        <v>0</v>
      </c>
      <c r="AC69" s="8">
        <v>0</v>
      </c>
      <c r="AD69" s="17" t="s">
        <v>29</v>
      </c>
      <c r="AE69" s="8">
        <f>VLOOKUP(Master201722[[#This Row],[Elevated Priority]],Epriority,2,)</f>
        <v>0</v>
      </c>
      <c r="AF69" s="8">
        <f>IF(Master201722[[#This Row],[Status]]="Active",Master201722[[#This Row],[Status_Score]],IF(C69="","",Q69+G69+S69+U69+AE69-5))</f>
        <v>38</v>
      </c>
      <c r="AG69" s="8"/>
      <c r="AH69" s="8">
        <v>2020</v>
      </c>
      <c r="AI69" s="8">
        <v>2021</v>
      </c>
      <c r="AJ69" s="10" t="s">
        <v>978</v>
      </c>
    </row>
    <row r="70" spans="1:36" ht="60" hidden="1" x14ac:dyDescent="0.25">
      <c r="A70" s="103">
        <f t="shared" si="5"/>
        <v>64</v>
      </c>
      <c r="B70" s="10" t="s">
        <v>61</v>
      </c>
      <c r="C70" s="10" t="s">
        <v>348</v>
      </c>
      <c r="D70" s="10" t="s">
        <v>349</v>
      </c>
      <c r="E70" s="10" t="s">
        <v>350</v>
      </c>
      <c r="F70" s="10" t="s">
        <v>29</v>
      </c>
      <c r="G70" s="10">
        <f t="shared" si="9"/>
        <v>0</v>
      </c>
      <c r="H70" s="49"/>
      <c r="I70" s="49"/>
      <c r="J70" s="49">
        <f>Master201722[[#This Row],[Initial Budget]]-Master201722[[#This Row],[Previously Committed Funds]]</f>
        <v>0</v>
      </c>
      <c r="K70" s="49"/>
      <c r="L70" s="49"/>
      <c r="M70" s="97">
        <f>Master201722[[#This Row],[Design $ (Add/Deduct)]]+Master201722[[#This Row],[Construction $ (Add/Ded)]]</f>
        <v>0</v>
      </c>
      <c r="N70" s="32">
        <v>125000</v>
      </c>
      <c r="O70" s="8">
        <v>2018</v>
      </c>
      <c r="P70" s="10" t="s">
        <v>687</v>
      </c>
      <c r="Q70" s="8">
        <f t="shared" si="12"/>
        <v>30</v>
      </c>
      <c r="R70" s="8">
        <v>3</v>
      </c>
      <c r="S70" s="8">
        <f t="shared" si="10"/>
        <v>9</v>
      </c>
      <c r="T70" s="8" t="s">
        <v>41</v>
      </c>
      <c r="U70" s="8">
        <f t="shared" si="11"/>
        <v>4</v>
      </c>
      <c r="V70" s="8" t="s">
        <v>30</v>
      </c>
      <c r="W70" s="8">
        <v>0</v>
      </c>
      <c r="X70" s="8">
        <v>0</v>
      </c>
      <c r="Y70" s="8">
        <v>0</v>
      </c>
      <c r="Z70" s="8">
        <v>0</v>
      </c>
      <c r="AA70" s="8">
        <v>0</v>
      </c>
      <c r="AB70" s="8">
        <v>0</v>
      </c>
      <c r="AC70" s="8">
        <v>0</v>
      </c>
      <c r="AD70" s="17" t="s">
        <v>29</v>
      </c>
      <c r="AE70" s="8">
        <f>VLOOKUP(Master201722[[#This Row],[Elevated Priority]],Epriority,2,)</f>
        <v>0</v>
      </c>
      <c r="AF70" s="8">
        <f>IF(Master201722[[#This Row],[Status]]="Active",Master201722[[#This Row],[Status_Score]],IF(C70="","",Q70+G70+S70+U70+AE70-5))</f>
        <v>38</v>
      </c>
      <c r="AG70" s="8"/>
      <c r="AH70" s="8">
        <v>2021</v>
      </c>
      <c r="AI70" s="8">
        <v>2022</v>
      </c>
      <c r="AJ70" s="10"/>
    </row>
    <row r="71" spans="1:36" ht="30" hidden="1" x14ac:dyDescent="0.25">
      <c r="A71" s="103">
        <f t="shared" si="5"/>
        <v>65</v>
      </c>
      <c r="B71" s="10" t="s">
        <v>70</v>
      </c>
      <c r="C71" s="10" t="s">
        <v>282</v>
      </c>
      <c r="D71" s="10" t="s">
        <v>283</v>
      </c>
      <c r="E71" s="10" t="s">
        <v>892</v>
      </c>
      <c r="F71" s="10" t="s">
        <v>29</v>
      </c>
      <c r="G71" s="10">
        <f t="shared" si="9"/>
        <v>0</v>
      </c>
      <c r="H71" s="49"/>
      <c r="I71" s="49"/>
      <c r="J71" s="49">
        <f>Master201722[[#This Row],[Initial Budget]]-Master201722[[#This Row],[Previously Committed Funds]]</f>
        <v>0</v>
      </c>
      <c r="K71" s="49"/>
      <c r="L71" s="49"/>
      <c r="M71" s="97">
        <f>Master201722[[#This Row],[Design $ (Add/Deduct)]]+Master201722[[#This Row],[Construction $ (Add/Ded)]]</f>
        <v>0</v>
      </c>
      <c r="N71" s="32">
        <v>60000</v>
      </c>
      <c r="O71" s="8">
        <v>2018</v>
      </c>
      <c r="P71" s="10" t="s">
        <v>687</v>
      </c>
      <c r="Q71" s="8">
        <f t="shared" si="12"/>
        <v>30</v>
      </c>
      <c r="R71" s="8">
        <v>3</v>
      </c>
      <c r="S71" s="8">
        <f t="shared" si="10"/>
        <v>9</v>
      </c>
      <c r="T71" s="8" t="s">
        <v>41</v>
      </c>
      <c r="U71" s="8">
        <f t="shared" si="11"/>
        <v>4</v>
      </c>
      <c r="V71" s="8" t="s">
        <v>30</v>
      </c>
      <c r="W71" s="8">
        <v>0</v>
      </c>
      <c r="X71" s="8">
        <v>0</v>
      </c>
      <c r="Y71" s="8">
        <v>0</v>
      </c>
      <c r="Z71" s="8">
        <v>0</v>
      </c>
      <c r="AA71" s="8">
        <v>0</v>
      </c>
      <c r="AB71" s="8">
        <v>0</v>
      </c>
      <c r="AC71" s="8">
        <v>0</v>
      </c>
      <c r="AD71" s="17" t="s">
        <v>29</v>
      </c>
      <c r="AE71" s="8">
        <f>VLOOKUP(Master201722[[#This Row],[Elevated Priority]],Epriority,2,)</f>
        <v>0</v>
      </c>
      <c r="AF71" s="8">
        <f>IF(Master201722[[#This Row],[Status]]="Active",Master201722[[#This Row],[Status_Score]],IF(C71="","",Q71+G71+S71+U71+AE71-5))</f>
        <v>38</v>
      </c>
      <c r="AG71" s="8"/>
      <c r="AH71" s="8">
        <v>2022</v>
      </c>
      <c r="AI71" s="8">
        <v>2023</v>
      </c>
      <c r="AJ71" s="10"/>
    </row>
    <row r="72" spans="1:36" hidden="1" x14ac:dyDescent="0.25">
      <c r="A72" s="103">
        <f t="shared" si="5"/>
        <v>66</v>
      </c>
      <c r="B72" s="10" t="s">
        <v>94</v>
      </c>
      <c r="C72" s="10" t="s">
        <v>583</v>
      </c>
      <c r="D72" s="10" t="s">
        <v>609</v>
      </c>
      <c r="E72" s="10" t="s">
        <v>879</v>
      </c>
      <c r="F72" s="10" t="s">
        <v>29</v>
      </c>
      <c r="G72" s="10">
        <f t="shared" si="9"/>
        <v>0</v>
      </c>
      <c r="H72" s="49"/>
      <c r="I72" s="49"/>
      <c r="J72" s="49">
        <f>Master201722[[#This Row],[Initial Budget]]-Master201722[[#This Row],[Previously Committed Funds]]</f>
        <v>0</v>
      </c>
      <c r="K72" s="49"/>
      <c r="L72" s="49"/>
      <c r="M72" s="97">
        <f>Master201722[[#This Row],[Design $ (Add/Deduct)]]+Master201722[[#This Row],[Construction $ (Add/Ded)]]</f>
        <v>0</v>
      </c>
      <c r="N72" s="32">
        <v>1500000</v>
      </c>
      <c r="O72" s="17">
        <v>2019</v>
      </c>
      <c r="P72" s="10" t="s">
        <v>688</v>
      </c>
      <c r="Q72" s="8">
        <f t="shared" si="12"/>
        <v>20</v>
      </c>
      <c r="R72" s="8">
        <v>9</v>
      </c>
      <c r="S72" s="8">
        <f t="shared" si="10"/>
        <v>21</v>
      </c>
      <c r="T72" s="8" t="s">
        <v>37</v>
      </c>
      <c r="U72" s="8">
        <f t="shared" si="11"/>
        <v>3</v>
      </c>
      <c r="V72" s="8" t="s">
        <v>30</v>
      </c>
      <c r="W72" s="8">
        <v>0</v>
      </c>
      <c r="X72" s="8">
        <v>0</v>
      </c>
      <c r="Y72" s="8">
        <v>0</v>
      </c>
      <c r="Z72" s="8">
        <v>0</v>
      </c>
      <c r="AA72" s="8">
        <v>0</v>
      </c>
      <c r="AB72" s="8">
        <v>0</v>
      </c>
      <c r="AC72" s="8">
        <v>0</v>
      </c>
      <c r="AD72" s="17" t="s">
        <v>29</v>
      </c>
      <c r="AE72" s="8">
        <f>VLOOKUP(Master201722[[#This Row],[Elevated Priority]],Epriority,2,)</f>
        <v>0</v>
      </c>
      <c r="AF72" s="8">
        <f>IF(Master201722[[#This Row],[Status]]="Active",Master201722[[#This Row],[Status_Score]],IF(C72="","",Q72+G72+S72+U72+AE72-5))</f>
        <v>39</v>
      </c>
      <c r="AG72" s="8"/>
      <c r="AH72" s="8">
        <v>2022</v>
      </c>
      <c r="AI72" s="8">
        <v>2023</v>
      </c>
      <c r="AJ72" s="10" t="s">
        <v>656</v>
      </c>
    </row>
    <row r="73" spans="1:36" ht="30" hidden="1" x14ac:dyDescent="0.25">
      <c r="A73" s="103">
        <f t="shared" si="5"/>
        <v>67</v>
      </c>
      <c r="B73" s="10" t="s">
        <v>94</v>
      </c>
      <c r="C73" s="10" t="s">
        <v>232</v>
      </c>
      <c r="D73" s="10" t="s">
        <v>233</v>
      </c>
      <c r="E73" s="10" t="s">
        <v>879</v>
      </c>
      <c r="F73" s="10" t="s">
        <v>29</v>
      </c>
      <c r="G73" s="10">
        <f t="shared" si="9"/>
        <v>0</v>
      </c>
      <c r="H73" s="49"/>
      <c r="I73" s="49"/>
      <c r="J73" s="49">
        <f>Master201722[[#This Row],[Initial Budget]]-Master201722[[#This Row],[Previously Committed Funds]]</f>
        <v>0</v>
      </c>
      <c r="K73" s="49"/>
      <c r="L73" s="49"/>
      <c r="M73" s="97">
        <f>Master201722[[#This Row],[Design $ (Add/Deduct)]]+Master201722[[#This Row],[Construction $ (Add/Ded)]]</f>
        <v>0</v>
      </c>
      <c r="N73" s="32">
        <v>1500000</v>
      </c>
      <c r="O73" s="8">
        <v>2018</v>
      </c>
      <c r="P73" s="10" t="s">
        <v>688</v>
      </c>
      <c r="Q73" s="8">
        <f t="shared" si="12"/>
        <v>20</v>
      </c>
      <c r="R73" s="8">
        <v>7</v>
      </c>
      <c r="S73" s="8">
        <f t="shared" si="10"/>
        <v>20</v>
      </c>
      <c r="T73" s="8" t="s">
        <v>41</v>
      </c>
      <c r="U73" s="8">
        <f t="shared" si="11"/>
        <v>4</v>
      </c>
      <c r="V73" s="8" t="s">
        <v>30</v>
      </c>
      <c r="W73" s="8">
        <v>0</v>
      </c>
      <c r="X73" s="8">
        <v>0</v>
      </c>
      <c r="Y73" s="8">
        <v>0</v>
      </c>
      <c r="Z73" s="8">
        <v>0</v>
      </c>
      <c r="AA73" s="8">
        <v>0</v>
      </c>
      <c r="AB73" s="8">
        <v>0</v>
      </c>
      <c r="AC73" s="8">
        <v>0</v>
      </c>
      <c r="AD73" s="17" t="s">
        <v>29</v>
      </c>
      <c r="AE73" s="8">
        <f>VLOOKUP(Master201722[[#This Row],[Elevated Priority]],Epriority,2,)</f>
        <v>0</v>
      </c>
      <c r="AF73" s="8">
        <f>IF(Master201722[[#This Row],[Status]]="Active",Master201722[[#This Row],[Status_Score]],IF(C73="","",Q73+G73+S73+U73+AE73-5))</f>
        <v>39</v>
      </c>
      <c r="AG73" s="8"/>
      <c r="AH73" s="8">
        <v>2022</v>
      </c>
      <c r="AI73" s="8">
        <v>2023</v>
      </c>
      <c r="AJ73" s="10"/>
    </row>
    <row r="74" spans="1:36" ht="30" hidden="1" x14ac:dyDescent="0.25">
      <c r="A74" s="103">
        <f t="shared" si="5"/>
        <v>68</v>
      </c>
      <c r="B74" s="10" t="s">
        <v>94</v>
      </c>
      <c r="C74" s="10" t="s">
        <v>234</v>
      </c>
      <c r="D74" s="10" t="s">
        <v>233</v>
      </c>
      <c r="E74" s="10" t="s">
        <v>879</v>
      </c>
      <c r="F74" s="10" t="s">
        <v>29</v>
      </c>
      <c r="G74" s="10">
        <f t="shared" si="9"/>
        <v>0</v>
      </c>
      <c r="H74" s="49"/>
      <c r="I74" s="49"/>
      <c r="J74" s="49">
        <f>Master201722[[#This Row],[Initial Budget]]-Master201722[[#This Row],[Previously Committed Funds]]</f>
        <v>0</v>
      </c>
      <c r="K74" s="49"/>
      <c r="L74" s="49"/>
      <c r="M74" s="97">
        <f>Master201722[[#This Row],[Design $ (Add/Deduct)]]+Master201722[[#This Row],[Construction $ (Add/Ded)]]</f>
        <v>0</v>
      </c>
      <c r="N74" s="32">
        <v>1500000</v>
      </c>
      <c r="O74" s="8">
        <v>2018</v>
      </c>
      <c r="P74" s="10" t="s">
        <v>688</v>
      </c>
      <c r="Q74" s="8">
        <f t="shared" si="12"/>
        <v>20</v>
      </c>
      <c r="R74" s="8">
        <v>8</v>
      </c>
      <c r="S74" s="8">
        <f t="shared" si="10"/>
        <v>20</v>
      </c>
      <c r="T74" s="8" t="s">
        <v>41</v>
      </c>
      <c r="U74" s="8">
        <f t="shared" si="11"/>
        <v>4</v>
      </c>
      <c r="V74" s="8" t="s">
        <v>30</v>
      </c>
      <c r="W74" s="8">
        <v>0</v>
      </c>
      <c r="X74" s="8">
        <v>0</v>
      </c>
      <c r="Y74" s="8">
        <v>0</v>
      </c>
      <c r="Z74" s="8">
        <v>0</v>
      </c>
      <c r="AA74" s="8">
        <v>0</v>
      </c>
      <c r="AB74" s="8">
        <v>0</v>
      </c>
      <c r="AC74" s="8">
        <v>0</v>
      </c>
      <c r="AD74" s="17" t="s">
        <v>29</v>
      </c>
      <c r="AE74" s="8">
        <f>VLOOKUP(Master201722[[#This Row],[Elevated Priority]],Epriority,2,)</f>
        <v>0</v>
      </c>
      <c r="AF74" s="8">
        <f>IF(Master201722[[#This Row],[Status]]="Active",Master201722[[#This Row],[Status_Score]],IF(C74="","",Q74+G74+S74+U74+AE74-5))</f>
        <v>39</v>
      </c>
      <c r="AG74" s="8"/>
      <c r="AH74" s="8">
        <v>2022</v>
      </c>
      <c r="AI74" s="8">
        <v>2023</v>
      </c>
      <c r="AJ74" s="10"/>
    </row>
    <row r="75" spans="1:36" ht="60" hidden="1" x14ac:dyDescent="0.25">
      <c r="A75" s="103">
        <f t="shared" si="5"/>
        <v>69</v>
      </c>
      <c r="B75" s="10" t="s">
        <v>299</v>
      </c>
      <c r="C75" s="10" t="s">
        <v>300</v>
      </c>
      <c r="D75" s="10" t="s">
        <v>301</v>
      </c>
      <c r="E75" s="10" t="s">
        <v>302</v>
      </c>
      <c r="F75" s="10" t="s">
        <v>29</v>
      </c>
      <c r="G75" s="10">
        <f t="shared" si="9"/>
        <v>0</v>
      </c>
      <c r="H75" s="49"/>
      <c r="I75" s="49"/>
      <c r="J75" s="49">
        <f>Master201722[[#This Row],[Initial Budget]]-Master201722[[#This Row],[Previously Committed Funds]]</f>
        <v>0</v>
      </c>
      <c r="K75" s="49"/>
      <c r="L75" s="49"/>
      <c r="M75" s="97">
        <f>Master201722[[#This Row],[Design $ (Add/Deduct)]]+Master201722[[#This Row],[Construction $ (Add/Ded)]]</f>
        <v>0</v>
      </c>
      <c r="N75" s="49">
        <v>135000</v>
      </c>
      <c r="O75" s="8">
        <v>2018</v>
      </c>
      <c r="P75" s="10" t="s">
        <v>688</v>
      </c>
      <c r="Q75" s="8">
        <f t="shared" si="12"/>
        <v>20</v>
      </c>
      <c r="R75" s="17">
        <v>2</v>
      </c>
      <c r="S75" s="8">
        <f t="shared" si="10"/>
        <v>6</v>
      </c>
      <c r="T75" s="17" t="s">
        <v>41</v>
      </c>
      <c r="U75" s="8">
        <f t="shared" si="11"/>
        <v>4</v>
      </c>
      <c r="V75" s="8" t="s">
        <v>30</v>
      </c>
      <c r="W75" s="8">
        <v>0</v>
      </c>
      <c r="X75" s="8">
        <v>0</v>
      </c>
      <c r="Y75" s="8">
        <v>0</v>
      </c>
      <c r="Z75" s="8">
        <v>0</v>
      </c>
      <c r="AA75" s="8">
        <v>0</v>
      </c>
      <c r="AB75" s="8">
        <v>0</v>
      </c>
      <c r="AC75" s="8">
        <v>0</v>
      </c>
      <c r="AD75" s="17" t="s">
        <v>833</v>
      </c>
      <c r="AE75" s="8">
        <f>VLOOKUP(Master201722[[#This Row],[Elevated Priority]],Epriority,2,)</f>
        <v>15</v>
      </c>
      <c r="AF75" s="8">
        <f>IF(Master201722[[#This Row],[Status]]="Active",Master201722[[#This Row],[Status_Score]],IF(C75="","",Q75+G75+S75+U75+AE75-5))</f>
        <v>40</v>
      </c>
      <c r="AG75" s="8"/>
      <c r="AH75" s="8">
        <v>2022</v>
      </c>
      <c r="AI75" s="8">
        <v>2023</v>
      </c>
      <c r="AJ75" s="10"/>
    </row>
    <row r="76" spans="1:36" ht="30" hidden="1" x14ac:dyDescent="0.25">
      <c r="A76" s="103">
        <f t="shared" si="5"/>
        <v>70</v>
      </c>
      <c r="B76" s="10" t="s">
        <v>94</v>
      </c>
      <c r="C76" s="10" t="s">
        <v>634</v>
      </c>
      <c r="D76" s="10" t="s">
        <v>172</v>
      </c>
      <c r="E76" s="10" t="s">
        <v>635</v>
      </c>
      <c r="F76" s="10" t="s">
        <v>29</v>
      </c>
      <c r="G76" s="10">
        <f t="shared" si="9"/>
        <v>0</v>
      </c>
      <c r="H76" s="49"/>
      <c r="I76" s="49"/>
      <c r="J76" s="49">
        <f>Master201722[[#This Row],[Initial Budget]]-Master201722[[#This Row],[Previously Committed Funds]]</f>
        <v>0</v>
      </c>
      <c r="K76" s="49"/>
      <c r="L76" s="49"/>
      <c r="M76" s="97">
        <f>Master201722[[#This Row],[Design $ (Add/Deduct)]]+Master201722[[#This Row],[Construction $ (Add/Ded)]]</f>
        <v>0</v>
      </c>
      <c r="N76" s="32">
        <v>50000</v>
      </c>
      <c r="O76" s="8">
        <v>2018</v>
      </c>
      <c r="P76" s="10" t="s">
        <v>688</v>
      </c>
      <c r="Q76" s="8">
        <f t="shared" si="12"/>
        <v>20</v>
      </c>
      <c r="R76" s="8">
        <v>12</v>
      </c>
      <c r="S76" s="8">
        <f t="shared" si="10"/>
        <v>22</v>
      </c>
      <c r="T76" s="8" t="s">
        <v>37</v>
      </c>
      <c r="U76" s="8">
        <f t="shared" si="11"/>
        <v>3</v>
      </c>
      <c r="V76" s="8" t="s">
        <v>30</v>
      </c>
      <c r="W76" s="8">
        <v>0</v>
      </c>
      <c r="X76" s="8">
        <v>0</v>
      </c>
      <c r="Y76" s="8">
        <v>0</v>
      </c>
      <c r="Z76" s="8">
        <v>0</v>
      </c>
      <c r="AA76" s="8">
        <v>0</v>
      </c>
      <c r="AB76" s="8">
        <v>0</v>
      </c>
      <c r="AC76" s="8">
        <v>0</v>
      </c>
      <c r="AD76" s="17" t="s">
        <v>29</v>
      </c>
      <c r="AE76" s="8">
        <f>VLOOKUP(Master201722[[#This Row],[Elevated Priority]],Epriority,2,)</f>
        <v>0</v>
      </c>
      <c r="AF76" s="8">
        <f>IF(Master201722[[#This Row],[Status]]="Active",Master201722[[#This Row],[Status_Score]],IF(C76="","",Q76+G76+S76+U76+AE76-5))</f>
        <v>40</v>
      </c>
      <c r="AG76" s="8"/>
      <c r="AH76" s="8">
        <v>2022</v>
      </c>
      <c r="AI76" s="8">
        <v>2023</v>
      </c>
      <c r="AJ76" s="10" t="s">
        <v>936</v>
      </c>
    </row>
    <row r="77" spans="1:36" ht="60" x14ac:dyDescent="0.25">
      <c r="A77" s="103">
        <f t="shared" si="5"/>
        <v>71</v>
      </c>
      <c r="B77" s="10" t="s">
        <v>94</v>
      </c>
      <c r="C77" s="10" t="s">
        <v>952</v>
      </c>
      <c r="D77" s="10" t="s">
        <v>953</v>
      </c>
      <c r="E77" s="10" t="s">
        <v>954</v>
      </c>
      <c r="F77" s="10" t="s">
        <v>29</v>
      </c>
      <c r="G77" s="105">
        <f t="shared" si="9"/>
        <v>0</v>
      </c>
      <c r="H77" s="49"/>
      <c r="I77" s="49"/>
      <c r="J77" s="49">
        <f>Master201722[[#This Row],[Initial Budget]]-Master201722[[#This Row],[Previously Committed Funds]]</f>
        <v>0</v>
      </c>
      <c r="K77" s="49"/>
      <c r="L77" s="49"/>
      <c r="M77" s="97">
        <f>Master201722[[#This Row],[Design $ (Add/Deduct)]]+Master201722[[#This Row],[Construction $ (Add/Ded)]]</f>
        <v>0</v>
      </c>
      <c r="N77" s="32">
        <v>20000000</v>
      </c>
      <c r="O77" s="8">
        <v>2020</v>
      </c>
      <c r="P77" s="10" t="s">
        <v>688</v>
      </c>
      <c r="Q77" s="8">
        <f t="shared" si="12"/>
        <v>20</v>
      </c>
      <c r="R77" s="8">
        <v>5</v>
      </c>
      <c r="S77" s="8">
        <f t="shared" si="10"/>
        <v>15</v>
      </c>
      <c r="T77" s="8" t="s">
        <v>43</v>
      </c>
      <c r="U77" s="8">
        <f t="shared" si="11"/>
        <v>16</v>
      </c>
      <c r="V77" s="8" t="s">
        <v>34</v>
      </c>
      <c r="W77" s="8">
        <v>0</v>
      </c>
      <c r="X77" s="8">
        <v>-1</v>
      </c>
      <c r="Y77" s="8">
        <v>-3</v>
      </c>
      <c r="Z77" s="8">
        <v>-3</v>
      </c>
      <c r="AA77" s="8">
        <v>-2</v>
      </c>
      <c r="AB77" s="8">
        <v>-3</v>
      </c>
      <c r="AC77" s="8">
        <v>0</v>
      </c>
      <c r="AD77" s="17" t="s">
        <v>29</v>
      </c>
      <c r="AE77" s="8">
        <f>VLOOKUP(Master201722[[#This Row],[Elevated Priority]],Epriority,2,)</f>
        <v>0</v>
      </c>
      <c r="AF77" s="8">
        <f>IF(Master201722[[#This Row],[Status]]="Active",Master201722[[#This Row],[Status_Score]],IF(C77="","",Q77+G77+S77+U77+AE77-5))</f>
        <v>46</v>
      </c>
      <c r="AG77" s="8"/>
      <c r="AH77" s="8">
        <v>2021</v>
      </c>
      <c r="AI77" s="8">
        <v>2024</v>
      </c>
      <c r="AJ77" s="10"/>
    </row>
    <row r="78" spans="1:36" ht="30" x14ac:dyDescent="0.25">
      <c r="A78" s="103">
        <f t="shared" si="5"/>
        <v>72</v>
      </c>
      <c r="B78" s="10" t="s">
        <v>67</v>
      </c>
      <c r="C78" s="10" t="s">
        <v>425</v>
      </c>
      <c r="D78" s="10" t="s">
        <v>426</v>
      </c>
      <c r="E78" s="10" t="s">
        <v>427</v>
      </c>
      <c r="F78" s="10" t="s">
        <v>29</v>
      </c>
      <c r="G78" s="10">
        <f t="shared" si="9"/>
        <v>0</v>
      </c>
      <c r="H78" s="49"/>
      <c r="I78" s="49"/>
      <c r="J78" s="49">
        <f>Master201722[[#This Row],[Initial Budget]]-Master201722[[#This Row],[Previously Committed Funds]]</f>
        <v>0</v>
      </c>
      <c r="K78" s="49"/>
      <c r="L78" s="49"/>
      <c r="M78" s="97">
        <f>Master201722[[#This Row],[Design $ (Add/Deduct)]]+Master201722[[#This Row],[Construction $ (Add/Ded)]]</f>
        <v>0</v>
      </c>
      <c r="N78" s="32">
        <v>275000</v>
      </c>
      <c r="O78" s="8">
        <v>2018</v>
      </c>
      <c r="P78" s="10" t="s">
        <v>830</v>
      </c>
      <c r="Q78" s="8">
        <f t="shared" si="12"/>
        <v>10</v>
      </c>
      <c r="R78" s="8">
        <v>2</v>
      </c>
      <c r="S78" s="8">
        <f t="shared" si="10"/>
        <v>6</v>
      </c>
      <c r="T78" s="8" t="s">
        <v>45</v>
      </c>
      <c r="U78" s="8">
        <f t="shared" si="11"/>
        <v>32</v>
      </c>
      <c r="V78" s="8" t="s">
        <v>34</v>
      </c>
      <c r="W78" s="8">
        <v>0</v>
      </c>
      <c r="X78" s="8">
        <v>0</v>
      </c>
      <c r="Y78" s="8">
        <v>0</v>
      </c>
      <c r="Z78" s="8">
        <v>0</v>
      </c>
      <c r="AA78" s="8">
        <v>0</v>
      </c>
      <c r="AB78" s="8">
        <v>0</v>
      </c>
      <c r="AC78" s="8">
        <v>0</v>
      </c>
      <c r="AD78" s="17" t="s">
        <v>29</v>
      </c>
      <c r="AE78" s="8">
        <f>VLOOKUP(Master201722[[#This Row],[Elevated Priority]],Epriority,2,)</f>
        <v>0</v>
      </c>
      <c r="AF78" s="8">
        <f>IF(Master201722[[#This Row],[Status]]="Active",Master201722[[#This Row],[Status_Score]],IF(C78="","",Q78+G78+S78+U78+AE78-5))</f>
        <v>43</v>
      </c>
      <c r="AG78" s="8"/>
      <c r="AH78" s="8">
        <v>2021</v>
      </c>
      <c r="AI78" s="8">
        <v>2022</v>
      </c>
      <c r="AJ78" s="10"/>
    </row>
    <row r="79" spans="1:36" ht="30" hidden="1" x14ac:dyDescent="0.25">
      <c r="A79" s="103">
        <f t="shared" si="5"/>
        <v>73</v>
      </c>
      <c r="B79" s="10" t="s">
        <v>79</v>
      </c>
      <c r="C79" s="10" t="s">
        <v>325</v>
      </c>
      <c r="D79" s="10" t="s">
        <v>326</v>
      </c>
      <c r="E79" s="10" t="s">
        <v>663</v>
      </c>
      <c r="F79" s="10" t="s">
        <v>29</v>
      </c>
      <c r="G79" s="10">
        <f t="shared" ref="G79:G110" si="13">VLOOKUP(F79,Status_Score,2,FALSE)</f>
        <v>0</v>
      </c>
      <c r="H79" s="49"/>
      <c r="I79" s="49"/>
      <c r="J79" s="49">
        <f>Master201722[[#This Row],[Initial Budget]]-Master201722[[#This Row],[Previously Committed Funds]]</f>
        <v>0</v>
      </c>
      <c r="K79" s="49"/>
      <c r="L79" s="49"/>
      <c r="M79" s="97">
        <f>Master201722[[#This Row],[Design $ (Add/Deduct)]]+Master201722[[#This Row],[Construction $ (Add/Ded)]]</f>
        <v>0</v>
      </c>
      <c r="N79" s="32">
        <v>500000</v>
      </c>
      <c r="O79" s="8">
        <v>2018</v>
      </c>
      <c r="P79" s="10" t="s">
        <v>36</v>
      </c>
      <c r="Q79" s="8">
        <f t="shared" si="12"/>
        <v>10</v>
      </c>
      <c r="R79" s="8">
        <v>8</v>
      </c>
      <c r="S79" s="8">
        <f t="shared" si="10"/>
        <v>20</v>
      </c>
      <c r="T79" s="8" t="s">
        <v>43</v>
      </c>
      <c r="U79" s="8">
        <f t="shared" si="11"/>
        <v>16</v>
      </c>
      <c r="V79" s="8" t="s">
        <v>30</v>
      </c>
      <c r="W79" s="8">
        <v>0</v>
      </c>
      <c r="X79" s="8">
        <v>0</v>
      </c>
      <c r="Y79" s="8">
        <v>0</v>
      </c>
      <c r="Z79" s="8">
        <v>0</v>
      </c>
      <c r="AA79" s="8">
        <v>0</v>
      </c>
      <c r="AB79" s="8">
        <v>0</v>
      </c>
      <c r="AC79" s="8">
        <v>0</v>
      </c>
      <c r="AD79" s="17" t="s">
        <v>29</v>
      </c>
      <c r="AE79" s="8">
        <f>VLOOKUP(Master201722[[#This Row],[Elevated Priority]],Epriority,2,)</f>
        <v>0</v>
      </c>
      <c r="AF79" s="8">
        <f>IF(Master201722[[#This Row],[Status]]="Active",Master201722[[#This Row],[Status_Score]],IF(C79="","",Q79+G79+S79+U79+AE79-5))</f>
        <v>41</v>
      </c>
      <c r="AG79" s="8"/>
      <c r="AH79" s="8">
        <v>2022</v>
      </c>
      <c r="AI79" s="8">
        <v>2023</v>
      </c>
      <c r="AJ79" s="10"/>
    </row>
    <row r="80" spans="1:36" ht="30" hidden="1" x14ac:dyDescent="0.25">
      <c r="A80" s="103">
        <f t="shared" ref="A80:A143" si="14">A79+1</f>
        <v>74</v>
      </c>
      <c r="B80" s="10" t="s">
        <v>79</v>
      </c>
      <c r="C80" s="10" t="s">
        <v>245</v>
      </c>
      <c r="D80" s="10" t="s">
        <v>246</v>
      </c>
      <c r="E80" s="10" t="s">
        <v>247</v>
      </c>
      <c r="F80" s="10" t="s">
        <v>29</v>
      </c>
      <c r="G80" s="10">
        <f t="shared" si="13"/>
        <v>0</v>
      </c>
      <c r="H80" s="49"/>
      <c r="I80" s="49"/>
      <c r="J80" s="49">
        <f>Master201722[[#This Row],[Initial Budget]]-Master201722[[#This Row],[Previously Committed Funds]]</f>
        <v>0</v>
      </c>
      <c r="K80" s="49"/>
      <c r="L80" s="49"/>
      <c r="M80" s="97">
        <f>Master201722[[#This Row],[Design $ (Add/Deduct)]]+Master201722[[#This Row],[Construction $ (Add/Ded)]]</f>
        <v>0</v>
      </c>
      <c r="N80" s="32">
        <v>20000</v>
      </c>
      <c r="O80" s="8">
        <v>2018</v>
      </c>
      <c r="P80" s="10" t="s">
        <v>687</v>
      </c>
      <c r="Q80" s="8">
        <f t="shared" si="12"/>
        <v>30</v>
      </c>
      <c r="R80" s="8">
        <v>4</v>
      </c>
      <c r="S80" s="8">
        <f t="shared" si="10"/>
        <v>12</v>
      </c>
      <c r="T80" s="8" t="s">
        <v>41</v>
      </c>
      <c r="U80" s="8">
        <f t="shared" si="11"/>
        <v>4</v>
      </c>
      <c r="V80" s="8" t="s">
        <v>30</v>
      </c>
      <c r="W80" s="8">
        <v>0</v>
      </c>
      <c r="X80" s="8">
        <v>0</v>
      </c>
      <c r="Y80" s="8">
        <v>0</v>
      </c>
      <c r="Z80" s="8">
        <v>0</v>
      </c>
      <c r="AA80" s="8">
        <v>0</v>
      </c>
      <c r="AB80" s="8">
        <v>0</v>
      </c>
      <c r="AC80" s="8">
        <v>0</v>
      </c>
      <c r="AD80" s="17" t="s">
        <v>29</v>
      </c>
      <c r="AE80" s="8">
        <f>VLOOKUP(Master201722[[#This Row],[Elevated Priority]],Epriority,2,)</f>
        <v>0</v>
      </c>
      <c r="AF80" s="8">
        <f>IF(Master201722[[#This Row],[Status]]="Active",Master201722[[#This Row],[Status_Score]],IF(C80="","",Q80+G80+S80+U80+AE80-5))</f>
        <v>41</v>
      </c>
      <c r="AG80" s="8"/>
      <c r="AH80" s="8">
        <v>2022</v>
      </c>
      <c r="AI80" s="8">
        <v>2023</v>
      </c>
      <c r="AJ80" s="10"/>
    </row>
    <row r="81" spans="1:36" hidden="1" x14ac:dyDescent="0.25">
      <c r="A81" s="103">
        <f t="shared" si="14"/>
        <v>75</v>
      </c>
      <c r="B81" s="10" t="s">
        <v>70</v>
      </c>
      <c r="C81" s="10" t="s">
        <v>291</v>
      </c>
      <c r="D81" s="10" t="s">
        <v>893</v>
      </c>
      <c r="E81" s="10" t="s">
        <v>293</v>
      </c>
      <c r="F81" s="10" t="s">
        <v>29</v>
      </c>
      <c r="G81" s="10">
        <f t="shared" si="13"/>
        <v>0</v>
      </c>
      <c r="H81" s="49"/>
      <c r="I81" s="49"/>
      <c r="J81" s="49">
        <f>Master201722[[#This Row],[Initial Budget]]-Master201722[[#This Row],[Previously Committed Funds]]</f>
        <v>0</v>
      </c>
      <c r="K81" s="49"/>
      <c r="L81" s="49"/>
      <c r="M81" s="97">
        <f>Master201722[[#This Row],[Design $ (Add/Deduct)]]+Master201722[[#This Row],[Construction $ (Add/Ded)]]</f>
        <v>0</v>
      </c>
      <c r="N81" s="32">
        <v>5000</v>
      </c>
      <c r="O81" s="8">
        <v>2018</v>
      </c>
      <c r="P81" s="10" t="s">
        <v>687</v>
      </c>
      <c r="Q81" s="8">
        <f t="shared" si="12"/>
        <v>30</v>
      </c>
      <c r="R81" s="8">
        <v>4</v>
      </c>
      <c r="S81" s="8">
        <f t="shared" si="10"/>
        <v>12</v>
      </c>
      <c r="T81" s="8" t="s">
        <v>41</v>
      </c>
      <c r="U81" s="8">
        <f t="shared" si="11"/>
        <v>4</v>
      </c>
      <c r="V81" s="8" t="s">
        <v>30</v>
      </c>
      <c r="W81" s="8">
        <v>0</v>
      </c>
      <c r="X81" s="8">
        <v>0</v>
      </c>
      <c r="Y81" s="8">
        <v>0</v>
      </c>
      <c r="Z81" s="8">
        <v>0</v>
      </c>
      <c r="AA81" s="8">
        <v>0</v>
      </c>
      <c r="AB81" s="8">
        <v>0</v>
      </c>
      <c r="AC81" s="8">
        <v>0</v>
      </c>
      <c r="AD81" s="17" t="s">
        <v>29</v>
      </c>
      <c r="AE81" s="8">
        <f>VLOOKUP(Master201722[[#This Row],[Elevated Priority]],Epriority,2,)</f>
        <v>0</v>
      </c>
      <c r="AF81" s="8">
        <f>IF(Master201722[[#This Row],[Status]]="Active",Master201722[[#This Row],[Status_Score]],IF(C81="","",Q81+G81+S81+U81+AE81-5))</f>
        <v>41</v>
      </c>
      <c r="AG81" s="8"/>
      <c r="AH81" s="8">
        <v>2022</v>
      </c>
      <c r="AI81" s="8">
        <v>2023</v>
      </c>
      <c r="AJ81" s="10"/>
    </row>
    <row r="82" spans="1:36" ht="75" x14ac:dyDescent="0.25">
      <c r="A82" s="103">
        <f t="shared" si="14"/>
        <v>76</v>
      </c>
      <c r="B82" s="104" t="s">
        <v>143</v>
      </c>
      <c r="C82" s="10" t="s">
        <v>767</v>
      </c>
      <c r="D82" s="10" t="s">
        <v>768</v>
      </c>
      <c r="E82" s="10" t="s">
        <v>769</v>
      </c>
      <c r="F82" s="10" t="s">
        <v>29</v>
      </c>
      <c r="G82" s="10">
        <f t="shared" si="13"/>
        <v>0</v>
      </c>
      <c r="H82" s="49"/>
      <c r="I82" s="49"/>
      <c r="J82" s="49">
        <f>Master201722[[#This Row],[Initial Budget]]-Master201722[[#This Row],[Previously Committed Funds]]</f>
        <v>0</v>
      </c>
      <c r="K82" s="49"/>
      <c r="L82" s="49"/>
      <c r="M82" s="97">
        <f>Master201722[[#This Row],[Design $ (Add/Deduct)]]+Master201722[[#This Row],[Construction $ (Add/Ded)]]</f>
        <v>0</v>
      </c>
      <c r="N82" s="32">
        <v>25000</v>
      </c>
      <c r="O82" s="8">
        <v>2020</v>
      </c>
      <c r="P82" s="10" t="s">
        <v>686</v>
      </c>
      <c r="Q82" s="8">
        <f t="shared" si="12"/>
        <v>60</v>
      </c>
      <c r="R82" s="8">
        <v>2</v>
      </c>
      <c r="S82" s="8">
        <f t="shared" si="10"/>
        <v>6</v>
      </c>
      <c r="T82" s="8" t="s">
        <v>37</v>
      </c>
      <c r="U82" s="8">
        <f t="shared" si="11"/>
        <v>3</v>
      </c>
      <c r="V82" s="8" t="s">
        <v>34</v>
      </c>
      <c r="W82" s="114">
        <v>0</v>
      </c>
      <c r="X82" s="8">
        <v>0</v>
      </c>
      <c r="Y82" s="8">
        <v>-3</v>
      </c>
      <c r="Z82" s="8">
        <v>0</v>
      </c>
      <c r="AA82" s="8">
        <v>-2</v>
      </c>
      <c r="AB82" s="8">
        <v>0</v>
      </c>
      <c r="AC82" s="8">
        <v>0</v>
      </c>
      <c r="AD82" s="17" t="s">
        <v>29</v>
      </c>
      <c r="AE82" s="8">
        <f>VLOOKUP(Master201722[[#This Row],[Elevated Priority]],Epriority,2,)</f>
        <v>0</v>
      </c>
      <c r="AF82" s="8">
        <f>IF(Master201722[[#This Row],[Status]]="Active",Master201722[[#This Row],[Status_Score]],IF(C82="","",Q82+G82+S82+U82+AE82-5))</f>
        <v>64</v>
      </c>
      <c r="AG82" s="8"/>
      <c r="AH82" s="8">
        <v>2020</v>
      </c>
      <c r="AI82" s="8">
        <v>2021</v>
      </c>
      <c r="AJ82" s="10"/>
    </row>
    <row r="83" spans="1:36" ht="30" hidden="1" x14ac:dyDescent="0.25">
      <c r="A83" s="103">
        <f t="shared" si="14"/>
        <v>77</v>
      </c>
      <c r="B83" s="10" t="s">
        <v>94</v>
      </c>
      <c r="C83" s="10" t="s">
        <v>897</v>
      </c>
      <c r="D83" s="10" t="s">
        <v>608</v>
      </c>
      <c r="E83" s="10" t="s">
        <v>879</v>
      </c>
      <c r="F83" s="10" t="s">
        <v>29</v>
      </c>
      <c r="G83" s="10">
        <f t="shared" si="13"/>
        <v>0</v>
      </c>
      <c r="H83" s="49"/>
      <c r="I83" s="49"/>
      <c r="J83" s="49">
        <f>Master201722[[#This Row],[Initial Budget]]-Master201722[[#This Row],[Previously Committed Funds]]</f>
        <v>0</v>
      </c>
      <c r="K83" s="49"/>
      <c r="L83" s="49"/>
      <c r="M83" s="97">
        <f>Master201722[[#This Row],[Design $ (Add/Deduct)]]+Master201722[[#This Row],[Construction $ (Add/Ded)]]</f>
        <v>0</v>
      </c>
      <c r="N83" s="32">
        <v>250000</v>
      </c>
      <c r="O83" s="17">
        <v>2019</v>
      </c>
      <c r="P83" s="10" t="s">
        <v>688</v>
      </c>
      <c r="Q83" s="8">
        <f t="shared" si="12"/>
        <v>20</v>
      </c>
      <c r="R83" s="8">
        <v>22</v>
      </c>
      <c r="S83" s="8">
        <f t="shared" si="10"/>
        <v>27</v>
      </c>
      <c r="T83" s="8" t="s">
        <v>33</v>
      </c>
      <c r="U83" s="8">
        <f t="shared" si="11"/>
        <v>1</v>
      </c>
      <c r="V83" s="8" t="s">
        <v>30</v>
      </c>
      <c r="W83" s="8">
        <v>0</v>
      </c>
      <c r="X83" s="8">
        <v>0</v>
      </c>
      <c r="Y83" s="8">
        <v>0</v>
      </c>
      <c r="Z83" s="8">
        <v>0</v>
      </c>
      <c r="AA83" s="8">
        <v>0</v>
      </c>
      <c r="AB83" s="8">
        <v>0</v>
      </c>
      <c r="AC83" s="8">
        <v>0</v>
      </c>
      <c r="AD83" s="8" t="s">
        <v>29</v>
      </c>
      <c r="AE83" s="8">
        <f>VLOOKUP(Master201722[[#This Row],[Elevated Priority]],Epriority,2,)</f>
        <v>0</v>
      </c>
      <c r="AF83" s="8">
        <f>IF(Master201722[[#This Row],[Status]]="Active",Master201722[[#This Row],[Status_Score]],IF(C83="","",Q83+G83+S83+U83+AE83-5))</f>
        <v>43</v>
      </c>
      <c r="AG83" s="8"/>
      <c r="AH83" s="8">
        <v>2022</v>
      </c>
      <c r="AI83" s="8">
        <v>2022</v>
      </c>
      <c r="AJ83" s="10"/>
    </row>
    <row r="84" spans="1:36" ht="30" hidden="1" x14ac:dyDescent="0.25">
      <c r="A84" s="103">
        <f t="shared" si="14"/>
        <v>78</v>
      </c>
      <c r="B84" s="10" t="s">
        <v>79</v>
      </c>
      <c r="C84" s="10" t="s">
        <v>981</v>
      </c>
      <c r="D84" s="10" t="s">
        <v>471</v>
      </c>
      <c r="E84" s="10" t="s">
        <v>472</v>
      </c>
      <c r="F84" s="10" t="s">
        <v>29</v>
      </c>
      <c r="G84" s="10">
        <f t="shared" si="13"/>
        <v>0</v>
      </c>
      <c r="H84" s="49"/>
      <c r="I84" s="49"/>
      <c r="J84" s="49">
        <f>Master201722[[#This Row],[Initial Budget]]-Master201722[[#This Row],[Previously Committed Funds]]</f>
        <v>0</v>
      </c>
      <c r="K84" s="49"/>
      <c r="L84" s="49"/>
      <c r="M84" s="97">
        <f>Master201722[[#This Row],[Design $ (Add/Deduct)]]+Master201722[[#This Row],[Construction $ (Add/Ded)]]</f>
        <v>0</v>
      </c>
      <c r="N84" s="32">
        <v>150000</v>
      </c>
      <c r="O84" s="8">
        <v>2018</v>
      </c>
      <c r="P84" s="10" t="s">
        <v>36</v>
      </c>
      <c r="Q84" s="8">
        <f t="shared" si="12"/>
        <v>10</v>
      </c>
      <c r="R84" s="8">
        <v>12</v>
      </c>
      <c r="S84" s="8">
        <f t="shared" si="10"/>
        <v>22</v>
      </c>
      <c r="T84" s="8" t="s">
        <v>43</v>
      </c>
      <c r="U84" s="8">
        <f t="shared" si="11"/>
        <v>16</v>
      </c>
      <c r="V84" s="8" t="s">
        <v>30</v>
      </c>
      <c r="W84" s="8">
        <v>0</v>
      </c>
      <c r="X84" s="8">
        <v>0</v>
      </c>
      <c r="Y84" s="8">
        <v>0</v>
      </c>
      <c r="Z84" s="8">
        <v>0</v>
      </c>
      <c r="AA84" s="8">
        <v>0</v>
      </c>
      <c r="AB84" s="8">
        <v>0</v>
      </c>
      <c r="AC84" s="8">
        <v>0</v>
      </c>
      <c r="AD84" s="17" t="s">
        <v>29</v>
      </c>
      <c r="AE84" s="8">
        <f>VLOOKUP(Master201722[[#This Row],[Elevated Priority]],Epriority,2,)</f>
        <v>0</v>
      </c>
      <c r="AF84" s="8">
        <f>IF(Master201722[[#This Row],[Status]]="Active",Master201722[[#This Row],[Status_Score]],IF(C84="","",Q84+G84+S84+U84+AE84-5))</f>
        <v>43</v>
      </c>
      <c r="AG84" s="8"/>
      <c r="AH84" s="8">
        <v>2020</v>
      </c>
      <c r="AI84" s="8">
        <v>2021</v>
      </c>
      <c r="AJ84" s="10"/>
    </row>
    <row r="85" spans="1:36" ht="45" hidden="1" x14ac:dyDescent="0.25">
      <c r="A85" s="103">
        <f t="shared" si="14"/>
        <v>79</v>
      </c>
      <c r="B85" s="10" t="s">
        <v>61</v>
      </c>
      <c r="C85" s="10" t="s">
        <v>895</v>
      </c>
      <c r="D85" s="10" t="s">
        <v>896</v>
      </c>
      <c r="E85" s="10" t="s">
        <v>371</v>
      </c>
      <c r="F85" s="10" t="s">
        <v>29</v>
      </c>
      <c r="G85" s="10">
        <f t="shared" si="13"/>
        <v>0</v>
      </c>
      <c r="H85" s="49"/>
      <c r="I85" s="49"/>
      <c r="J85" s="49">
        <f>Master201722[[#This Row],[Initial Budget]]-Master201722[[#This Row],[Previously Committed Funds]]</f>
        <v>0</v>
      </c>
      <c r="K85" s="49"/>
      <c r="L85" s="49"/>
      <c r="M85" s="97">
        <f>Master201722[[#This Row],[Design $ (Add/Deduct)]]+Master201722[[#This Row],[Construction $ (Add/Ded)]]</f>
        <v>0</v>
      </c>
      <c r="N85" s="32">
        <v>250000</v>
      </c>
      <c r="O85" s="8">
        <v>2018</v>
      </c>
      <c r="P85" s="10" t="s">
        <v>687</v>
      </c>
      <c r="Q85" s="8">
        <f t="shared" si="12"/>
        <v>30</v>
      </c>
      <c r="R85" s="8">
        <v>1</v>
      </c>
      <c r="S85" s="8">
        <f t="shared" ref="S85:S116" si="15">VLOOKUP(R85,Department,2,FALSE)</f>
        <v>3</v>
      </c>
      <c r="T85" s="8" t="s">
        <v>43</v>
      </c>
      <c r="U85" s="8">
        <f t="shared" ref="U85:U98" si="16">VLOOKUP(T85,Urgency,2,FALSE)</f>
        <v>16</v>
      </c>
      <c r="V85" s="8" t="s">
        <v>30</v>
      </c>
      <c r="W85" s="8">
        <v>0</v>
      </c>
      <c r="X85" s="8">
        <v>0</v>
      </c>
      <c r="Y85" s="8">
        <v>0</v>
      </c>
      <c r="Z85" s="8">
        <v>0</v>
      </c>
      <c r="AA85" s="8">
        <v>0</v>
      </c>
      <c r="AB85" s="8">
        <v>0</v>
      </c>
      <c r="AC85" s="8">
        <v>0</v>
      </c>
      <c r="AD85" s="17" t="s">
        <v>29</v>
      </c>
      <c r="AE85" s="8">
        <f>VLOOKUP(Master201722[[#This Row],[Elevated Priority]],Epriority,2,)</f>
        <v>0</v>
      </c>
      <c r="AF85" s="8">
        <f>IF(Master201722[[#This Row],[Status]]="Active",Master201722[[#This Row],[Status_Score]],IF(C85="","",Q85+G85+S85+U85+AE85-5))</f>
        <v>44</v>
      </c>
      <c r="AG85" s="8"/>
      <c r="AH85" s="8">
        <v>2023</v>
      </c>
      <c r="AI85" s="8">
        <v>2024</v>
      </c>
      <c r="AJ85" s="10"/>
    </row>
    <row r="86" spans="1:36" ht="30" x14ac:dyDescent="0.25">
      <c r="A86" s="103">
        <f t="shared" si="14"/>
        <v>80</v>
      </c>
      <c r="B86" s="10" t="s">
        <v>72</v>
      </c>
      <c r="C86" s="10" t="s">
        <v>336</v>
      </c>
      <c r="D86" s="10" t="s">
        <v>824</v>
      </c>
      <c r="E86" s="10" t="s">
        <v>338</v>
      </c>
      <c r="F86" s="10" t="s">
        <v>29</v>
      </c>
      <c r="G86" s="10">
        <f t="shared" si="13"/>
        <v>0</v>
      </c>
      <c r="H86" s="49"/>
      <c r="I86" s="49"/>
      <c r="J86" s="49">
        <f>Master201722[[#This Row],[Initial Budget]]-Master201722[[#This Row],[Previously Committed Funds]]</f>
        <v>0</v>
      </c>
      <c r="K86" s="49"/>
      <c r="L86" s="49"/>
      <c r="M86" s="97">
        <f>Master201722[[#This Row],[Design $ (Add/Deduct)]]+Master201722[[#This Row],[Construction $ (Add/Ded)]]</f>
        <v>0</v>
      </c>
      <c r="N86" s="32">
        <v>2500000</v>
      </c>
      <c r="O86" s="8">
        <v>2018</v>
      </c>
      <c r="P86" s="10" t="s">
        <v>686</v>
      </c>
      <c r="Q86" s="8">
        <f t="shared" si="12"/>
        <v>60</v>
      </c>
      <c r="R86" s="8">
        <v>1</v>
      </c>
      <c r="S86" s="8">
        <f t="shared" si="15"/>
        <v>3</v>
      </c>
      <c r="T86" s="8" t="s">
        <v>37</v>
      </c>
      <c r="U86" s="8">
        <f t="shared" si="16"/>
        <v>3</v>
      </c>
      <c r="V86" s="8" t="s">
        <v>34</v>
      </c>
      <c r="W86" s="114">
        <v>0</v>
      </c>
      <c r="X86" s="8">
        <v>0</v>
      </c>
      <c r="Y86" s="8">
        <v>0</v>
      </c>
      <c r="Z86" s="8">
        <v>0</v>
      </c>
      <c r="AA86" s="8">
        <v>0</v>
      </c>
      <c r="AB86" s="8">
        <v>0</v>
      </c>
      <c r="AC86" s="8">
        <v>-2</v>
      </c>
      <c r="AD86" s="17" t="s">
        <v>29</v>
      </c>
      <c r="AE86" s="8">
        <f>VLOOKUP(Master201722[[#This Row],[Elevated Priority]],Epriority,2,)</f>
        <v>0</v>
      </c>
      <c r="AF86" s="8">
        <f>IF(Master201722[[#This Row],[Status]]="Active",Master201722[[#This Row],[Status_Score]],IF(C86="","",Q86+G86+S86+U86+AE86-5))</f>
        <v>61</v>
      </c>
      <c r="AG86" s="8"/>
      <c r="AH86" s="8">
        <v>2023</v>
      </c>
      <c r="AI86" s="8">
        <v>2024</v>
      </c>
      <c r="AJ86" s="10"/>
    </row>
    <row r="87" spans="1:36" ht="45" hidden="1" x14ac:dyDescent="0.25">
      <c r="A87" s="103">
        <f t="shared" si="14"/>
        <v>81</v>
      </c>
      <c r="B87" s="10" t="s">
        <v>65</v>
      </c>
      <c r="C87" s="10" t="s">
        <v>966</v>
      </c>
      <c r="D87" s="10" t="s">
        <v>967</v>
      </c>
      <c r="E87" s="10" t="s">
        <v>968</v>
      </c>
      <c r="F87" s="10" t="s">
        <v>29</v>
      </c>
      <c r="G87" s="105">
        <f t="shared" si="13"/>
        <v>0</v>
      </c>
      <c r="H87" s="49"/>
      <c r="I87" s="49"/>
      <c r="J87" s="49">
        <f>Master201722[[#This Row],[Initial Budget]]-Master201722[[#This Row],[Previously Committed Funds]]</f>
        <v>0</v>
      </c>
      <c r="K87" s="49"/>
      <c r="L87" s="49"/>
      <c r="M87" s="97">
        <f>Master201722[[#This Row],[Design $ (Add/Deduct)]]+Master201722[[#This Row],[Construction $ (Add/Ded)]]</f>
        <v>0</v>
      </c>
      <c r="N87" s="135">
        <v>350000</v>
      </c>
      <c r="O87" s="8">
        <v>2020</v>
      </c>
      <c r="P87" s="10" t="s">
        <v>688</v>
      </c>
      <c r="Q87" s="8">
        <f t="shared" si="12"/>
        <v>20</v>
      </c>
      <c r="R87" s="8">
        <v>5</v>
      </c>
      <c r="S87" s="8">
        <f t="shared" si="15"/>
        <v>15</v>
      </c>
      <c r="T87" s="17" t="s">
        <v>43</v>
      </c>
      <c r="U87" s="8">
        <f t="shared" si="16"/>
        <v>16</v>
      </c>
      <c r="V87" s="8" t="s">
        <v>30</v>
      </c>
      <c r="W87" s="8">
        <v>0</v>
      </c>
      <c r="X87" s="8">
        <v>0</v>
      </c>
      <c r="Y87" s="8">
        <v>0</v>
      </c>
      <c r="Z87" s="8">
        <v>0</v>
      </c>
      <c r="AA87" s="8">
        <v>0</v>
      </c>
      <c r="AB87" s="8">
        <v>0</v>
      </c>
      <c r="AC87" s="8">
        <v>0</v>
      </c>
      <c r="AD87" s="17" t="s">
        <v>29</v>
      </c>
      <c r="AE87" s="8">
        <f>VLOOKUP(Master201722[[#This Row],[Elevated Priority]],Epriority,2,)</f>
        <v>0</v>
      </c>
      <c r="AF87" s="8">
        <f>IF(Master201722[[#This Row],[Status]]="Active",Master201722[[#This Row],[Status_Score]],IF(C87="","",Q87+G87+S87+U87+AE87-5))</f>
        <v>46</v>
      </c>
      <c r="AG87" s="8"/>
      <c r="AH87" s="8"/>
      <c r="AI87" s="8"/>
      <c r="AJ87" s="10"/>
    </row>
    <row r="88" spans="1:36" ht="60" hidden="1" x14ac:dyDescent="0.25">
      <c r="A88" s="103">
        <f t="shared" si="14"/>
        <v>82</v>
      </c>
      <c r="B88" s="10" t="s">
        <v>67</v>
      </c>
      <c r="C88" s="10" t="s">
        <v>434</v>
      </c>
      <c r="D88" s="10" t="s">
        <v>435</v>
      </c>
      <c r="E88" s="10" t="s">
        <v>436</v>
      </c>
      <c r="F88" s="10" t="s">
        <v>29</v>
      </c>
      <c r="G88" s="10">
        <f t="shared" si="13"/>
        <v>0</v>
      </c>
      <c r="H88" s="49"/>
      <c r="I88" s="49"/>
      <c r="J88" s="49">
        <f>Master201722[[#This Row],[Initial Budget]]-Master201722[[#This Row],[Previously Committed Funds]]</f>
        <v>0</v>
      </c>
      <c r="K88" s="49"/>
      <c r="L88" s="49"/>
      <c r="M88" s="97">
        <f>Master201722[[#This Row],[Design $ (Add/Deduct)]]+Master201722[[#This Row],[Construction $ (Add/Ded)]]</f>
        <v>0</v>
      </c>
      <c r="N88" s="32">
        <v>65000</v>
      </c>
      <c r="O88" s="8">
        <v>2018</v>
      </c>
      <c r="P88" s="10" t="s">
        <v>687</v>
      </c>
      <c r="Q88" s="8">
        <f t="shared" ref="Q88:Q119" si="17">VLOOKUP(P88,Importance,2,FALSE)</f>
        <v>30</v>
      </c>
      <c r="R88" s="8">
        <v>2</v>
      </c>
      <c r="S88" s="8">
        <f t="shared" si="15"/>
        <v>6</v>
      </c>
      <c r="T88" s="8" t="s">
        <v>43</v>
      </c>
      <c r="U88" s="8">
        <f t="shared" si="16"/>
        <v>16</v>
      </c>
      <c r="V88" s="8" t="s">
        <v>30</v>
      </c>
      <c r="W88" s="8">
        <v>0</v>
      </c>
      <c r="X88" s="8">
        <v>0</v>
      </c>
      <c r="Y88" s="8">
        <v>0</v>
      </c>
      <c r="Z88" s="8">
        <v>0</v>
      </c>
      <c r="AA88" s="8">
        <v>0</v>
      </c>
      <c r="AB88" s="8">
        <v>0</v>
      </c>
      <c r="AC88" s="8">
        <v>0</v>
      </c>
      <c r="AD88" s="17" t="s">
        <v>29</v>
      </c>
      <c r="AE88" s="8">
        <f>VLOOKUP(Master201722[[#This Row],[Elevated Priority]],Epriority,2,)</f>
        <v>0</v>
      </c>
      <c r="AF88" s="8">
        <f>IF(Master201722[[#This Row],[Status]]="Active",Master201722[[#This Row],[Status_Score]],IF(C88="","",Q88+G88+S88+U88+AE88-5))</f>
        <v>47</v>
      </c>
      <c r="AG88" s="8"/>
      <c r="AH88" s="8"/>
      <c r="AI88" s="8"/>
      <c r="AJ88" s="10"/>
    </row>
    <row r="89" spans="1:36" ht="255" x14ac:dyDescent="0.25">
      <c r="A89" s="103">
        <f t="shared" si="14"/>
        <v>83</v>
      </c>
      <c r="B89" s="10" t="s">
        <v>73</v>
      </c>
      <c r="C89" s="10" t="s">
        <v>547</v>
      </c>
      <c r="D89" s="10" t="s">
        <v>548</v>
      </c>
      <c r="E89" s="10" t="s">
        <v>549</v>
      </c>
      <c r="F89" s="10" t="s">
        <v>29</v>
      </c>
      <c r="G89" s="10">
        <f t="shared" si="13"/>
        <v>0</v>
      </c>
      <c r="H89" s="49"/>
      <c r="I89" s="49"/>
      <c r="J89" s="49">
        <f>Master201722[[#This Row],[Initial Budget]]-Master201722[[#This Row],[Previously Committed Funds]]</f>
        <v>0</v>
      </c>
      <c r="K89" s="49"/>
      <c r="L89" s="49"/>
      <c r="M89" s="97">
        <f>Master201722[[#This Row],[Design $ (Add/Deduct)]]+Master201722[[#This Row],[Construction $ (Add/Ded)]]</f>
        <v>0</v>
      </c>
      <c r="N89" s="32">
        <v>65000</v>
      </c>
      <c r="O89" s="8">
        <v>2018</v>
      </c>
      <c r="P89" s="10" t="s">
        <v>686</v>
      </c>
      <c r="Q89" s="8">
        <f t="shared" si="17"/>
        <v>60</v>
      </c>
      <c r="R89" s="8">
        <v>2</v>
      </c>
      <c r="S89" s="8">
        <f t="shared" si="15"/>
        <v>6</v>
      </c>
      <c r="T89" s="8" t="s">
        <v>41</v>
      </c>
      <c r="U89" s="8">
        <f t="shared" si="16"/>
        <v>4</v>
      </c>
      <c r="V89" s="8" t="s">
        <v>34</v>
      </c>
      <c r="W89" s="114">
        <v>0</v>
      </c>
      <c r="X89" s="8">
        <v>-5</v>
      </c>
      <c r="Y89" s="8">
        <v>0</v>
      </c>
      <c r="Z89" s="8">
        <v>0</v>
      </c>
      <c r="AA89" s="8">
        <v>0</v>
      </c>
      <c r="AB89" s="8">
        <v>0</v>
      </c>
      <c r="AC89" s="8">
        <v>0</v>
      </c>
      <c r="AD89" s="17" t="s">
        <v>29</v>
      </c>
      <c r="AE89" s="8">
        <f>VLOOKUP(Master201722[[#This Row],[Elevated Priority]],Epriority,2,)</f>
        <v>0</v>
      </c>
      <c r="AF89" s="8">
        <f>IF(Master201722[[#This Row],[Status]]="Active",Master201722[[#This Row],[Status_Score]],IF(C89="","",Q89+G89+S89+U89+AE89-5))</f>
        <v>65</v>
      </c>
      <c r="AG89" s="8"/>
      <c r="AH89" s="8">
        <v>2021</v>
      </c>
      <c r="AI89" s="8">
        <v>2021</v>
      </c>
      <c r="AJ89" s="10"/>
    </row>
    <row r="90" spans="1:36" hidden="1" x14ac:dyDescent="0.25">
      <c r="A90" s="103">
        <f t="shared" si="14"/>
        <v>84</v>
      </c>
      <c r="B90" s="10" t="s">
        <v>94</v>
      </c>
      <c r="C90" s="10" t="s">
        <v>610</v>
      </c>
      <c r="E90" s="10" t="s">
        <v>879</v>
      </c>
      <c r="F90" s="10" t="s">
        <v>29</v>
      </c>
      <c r="G90" s="10">
        <f t="shared" si="13"/>
        <v>0</v>
      </c>
      <c r="H90" s="49"/>
      <c r="I90" s="49"/>
      <c r="J90" s="49">
        <f>Master201722[[#This Row],[Initial Budget]]-Master201722[[#This Row],[Previously Committed Funds]]</f>
        <v>0</v>
      </c>
      <c r="K90" s="49"/>
      <c r="L90" s="49"/>
      <c r="M90" s="97">
        <f>Master201722[[#This Row],[Design $ (Add/Deduct)]]+Master201722[[#This Row],[Construction $ (Add/Ded)]]</f>
        <v>0</v>
      </c>
      <c r="N90" s="32">
        <v>20000</v>
      </c>
      <c r="O90" s="17">
        <v>2019</v>
      </c>
      <c r="P90" s="10" t="s">
        <v>688</v>
      </c>
      <c r="Q90" s="8">
        <f t="shared" si="17"/>
        <v>20</v>
      </c>
      <c r="R90" s="8">
        <v>26</v>
      </c>
      <c r="S90" s="8">
        <f t="shared" si="15"/>
        <v>29</v>
      </c>
      <c r="T90" s="8" t="s">
        <v>41</v>
      </c>
      <c r="U90" s="8">
        <f t="shared" si="16"/>
        <v>4</v>
      </c>
      <c r="V90" s="8" t="s">
        <v>30</v>
      </c>
      <c r="W90" s="8">
        <v>0</v>
      </c>
      <c r="X90" s="8">
        <v>0</v>
      </c>
      <c r="Y90" s="8">
        <v>0</v>
      </c>
      <c r="Z90" s="8">
        <v>0</v>
      </c>
      <c r="AA90" s="8">
        <v>0</v>
      </c>
      <c r="AB90" s="8">
        <v>0</v>
      </c>
      <c r="AC90" s="8">
        <v>0</v>
      </c>
      <c r="AD90" s="17" t="s">
        <v>29</v>
      </c>
      <c r="AE90" s="8">
        <f>VLOOKUP(Master201722[[#This Row],[Elevated Priority]],Epriority,2,)</f>
        <v>0</v>
      </c>
      <c r="AF90" s="8">
        <f>IF(Master201722[[#This Row],[Status]]="Active",Master201722[[#This Row],[Status_Score]],IF(C90="","",Q90+G90+S90+U90+AE90-5))</f>
        <v>48</v>
      </c>
      <c r="AG90" s="8"/>
      <c r="AH90" s="8"/>
      <c r="AI90" s="8"/>
      <c r="AJ90" s="10"/>
    </row>
    <row r="91" spans="1:36" ht="30" hidden="1" x14ac:dyDescent="0.25">
      <c r="A91" s="103">
        <f t="shared" si="14"/>
        <v>85</v>
      </c>
      <c r="B91" s="10" t="s">
        <v>94</v>
      </c>
      <c r="C91" s="10" t="s">
        <v>235</v>
      </c>
      <c r="D91" s="10" t="s">
        <v>236</v>
      </c>
      <c r="E91" s="10" t="s">
        <v>879</v>
      </c>
      <c r="F91" s="10" t="s">
        <v>29</v>
      </c>
      <c r="G91" s="10">
        <f t="shared" si="13"/>
        <v>0</v>
      </c>
      <c r="H91" s="49"/>
      <c r="I91" s="49"/>
      <c r="J91" s="49">
        <f>Master201722[[#This Row],[Initial Budget]]-Master201722[[#This Row],[Previously Committed Funds]]</f>
        <v>0</v>
      </c>
      <c r="K91" s="49"/>
      <c r="L91" s="49"/>
      <c r="M91" s="97">
        <f>Master201722[[#This Row],[Design $ (Add/Deduct)]]+Master201722[[#This Row],[Construction $ (Add/Ded)]]</f>
        <v>0</v>
      </c>
      <c r="N91" s="32">
        <v>150000</v>
      </c>
      <c r="O91" s="8">
        <v>2018</v>
      </c>
      <c r="P91" s="10" t="s">
        <v>688</v>
      </c>
      <c r="Q91" s="8">
        <f t="shared" si="17"/>
        <v>20</v>
      </c>
      <c r="R91" s="8">
        <v>25</v>
      </c>
      <c r="S91" s="8">
        <f t="shared" si="15"/>
        <v>29</v>
      </c>
      <c r="T91" s="8" t="s">
        <v>41</v>
      </c>
      <c r="U91" s="8">
        <f t="shared" si="16"/>
        <v>4</v>
      </c>
      <c r="V91" s="8" t="s">
        <v>30</v>
      </c>
      <c r="W91" s="8">
        <v>0</v>
      </c>
      <c r="X91" s="8">
        <v>0</v>
      </c>
      <c r="Y91" s="8">
        <v>0</v>
      </c>
      <c r="Z91" s="8">
        <v>0</v>
      </c>
      <c r="AA91" s="8">
        <v>0</v>
      </c>
      <c r="AB91" s="8">
        <v>0</v>
      </c>
      <c r="AC91" s="8">
        <v>0</v>
      </c>
      <c r="AD91" s="17" t="s">
        <v>29</v>
      </c>
      <c r="AE91" s="8">
        <f>VLOOKUP(Master201722[[#This Row],[Elevated Priority]],Epriority,2,)</f>
        <v>0</v>
      </c>
      <c r="AF91" s="8">
        <f>IF(Master201722[[#This Row],[Status]]="Active",Master201722[[#This Row],[Status_Score]],IF(C91="","",Q91+G91+S91+U91+AE91-5))</f>
        <v>48</v>
      </c>
      <c r="AG91" s="8"/>
      <c r="AH91" s="8">
        <v>2021</v>
      </c>
      <c r="AI91" s="8">
        <v>2022</v>
      </c>
      <c r="AJ91" s="10"/>
    </row>
    <row r="92" spans="1:36" ht="180" x14ac:dyDescent="0.25">
      <c r="A92" s="103">
        <f t="shared" si="14"/>
        <v>86</v>
      </c>
      <c r="B92" s="10" t="s">
        <v>73</v>
      </c>
      <c r="C92" s="10" t="s">
        <v>825</v>
      </c>
      <c r="D92" s="10" t="s">
        <v>196</v>
      </c>
      <c r="E92" s="10" t="s">
        <v>826</v>
      </c>
      <c r="F92" s="10" t="s">
        <v>29</v>
      </c>
      <c r="G92" s="10">
        <f t="shared" si="13"/>
        <v>0</v>
      </c>
      <c r="H92" s="49"/>
      <c r="I92" s="49"/>
      <c r="J92" s="49">
        <f>Master201722[[#This Row],[Initial Budget]]-Master201722[[#This Row],[Previously Committed Funds]]</f>
        <v>0</v>
      </c>
      <c r="K92" s="49"/>
      <c r="L92" s="49"/>
      <c r="M92" s="97">
        <f>Master201722[[#This Row],[Design $ (Add/Deduct)]]+Master201722[[#This Row],[Construction $ (Add/Ded)]]</f>
        <v>0</v>
      </c>
      <c r="N92" s="32">
        <v>25000</v>
      </c>
      <c r="O92" s="8">
        <v>2018</v>
      </c>
      <c r="P92" s="10" t="s">
        <v>686</v>
      </c>
      <c r="Q92" s="8">
        <f t="shared" si="17"/>
        <v>60</v>
      </c>
      <c r="R92" s="8">
        <v>1</v>
      </c>
      <c r="S92" s="8">
        <f t="shared" si="15"/>
        <v>3</v>
      </c>
      <c r="T92" s="8" t="s">
        <v>37</v>
      </c>
      <c r="U92" s="8">
        <f t="shared" si="16"/>
        <v>3</v>
      </c>
      <c r="V92" s="8" t="s">
        <v>34</v>
      </c>
      <c r="W92" s="114">
        <v>0</v>
      </c>
      <c r="X92" s="8">
        <v>0</v>
      </c>
      <c r="Y92" s="8">
        <v>0</v>
      </c>
      <c r="Z92" s="8">
        <v>0</v>
      </c>
      <c r="AA92" s="8">
        <v>0</v>
      </c>
      <c r="AB92" s="8">
        <v>0</v>
      </c>
      <c r="AC92" s="8">
        <v>0</v>
      </c>
      <c r="AD92" s="17" t="s">
        <v>29</v>
      </c>
      <c r="AE92" s="8">
        <f>VLOOKUP(Master201722[[#This Row],[Elevated Priority]],Epriority,2,)</f>
        <v>0</v>
      </c>
      <c r="AF92" s="8">
        <f>IF(Master201722[[#This Row],[Status]]="Active",Master201722[[#This Row],[Status_Score]],IF(C92="","",Q92+G92+S92+U92+AE92-5))</f>
        <v>61</v>
      </c>
      <c r="AG92" s="8"/>
      <c r="AH92" s="8">
        <v>2023</v>
      </c>
      <c r="AI92" s="8">
        <v>2024</v>
      </c>
      <c r="AJ92" s="10"/>
    </row>
    <row r="93" spans="1:36" ht="60" x14ac:dyDescent="0.25">
      <c r="A93" s="103">
        <f t="shared" si="14"/>
        <v>87</v>
      </c>
      <c r="B93" s="74" t="s">
        <v>61</v>
      </c>
      <c r="C93" s="10" t="s">
        <v>632</v>
      </c>
      <c r="D93" s="10" t="s">
        <v>636</v>
      </c>
      <c r="E93" s="49" t="s">
        <v>633</v>
      </c>
      <c r="F93" s="10" t="s">
        <v>29</v>
      </c>
      <c r="G93" s="10">
        <f t="shared" si="13"/>
        <v>0</v>
      </c>
      <c r="H93" s="49"/>
      <c r="I93" s="49"/>
      <c r="J93" s="49">
        <f>Master201722[[#This Row],[Initial Budget]]-Master201722[[#This Row],[Previously Committed Funds]]</f>
        <v>0</v>
      </c>
      <c r="K93" s="49"/>
      <c r="L93" s="49"/>
      <c r="M93" s="97">
        <f>Master201722[[#This Row],[Design $ (Add/Deduct)]]+Master201722[[#This Row],[Construction $ (Add/Ded)]]</f>
        <v>0</v>
      </c>
      <c r="N93" s="32">
        <v>100000</v>
      </c>
      <c r="O93" s="8">
        <v>2019</v>
      </c>
      <c r="P93" s="10" t="s">
        <v>686</v>
      </c>
      <c r="Q93" s="8">
        <f t="shared" si="17"/>
        <v>60</v>
      </c>
      <c r="R93" s="8">
        <v>3</v>
      </c>
      <c r="S93" s="8">
        <f t="shared" si="15"/>
        <v>9</v>
      </c>
      <c r="T93" s="8" t="s">
        <v>41</v>
      </c>
      <c r="U93" s="8">
        <f t="shared" si="16"/>
        <v>4</v>
      </c>
      <c r="V93" s="8" t="s">
        <v>34</v>
      </c>
      <c r="W93" s="114">
        <v>-2</v>
      </c>
      <c r="X93" s="8">
        <v>0</v>
      </c>
      <c r="Y93" s="8">
        <v>0</v>
      </c>
      <c r="Z93" s="8">
        <v>-3</v>
      </c>
      <c r="AA93" s="8">
        <v>-2</v>
      </c>
      <c r="AB93" s="8">
        <v>0</v>
      </c>
      <c r="AC93" s="8">
        <v>0</v>
      </c>
      <c r="AD93" s="8" t="s">
        <v>29</v>
      </c>
      <c r="AE93" s="8">
        <f>VLOOKUP(Master201722[[#This Row],[Elevated Priority]],Epriority,2,)</f>
        <v>0</v>
      </c>
      <c r="AF93" s="8">
        <f>IF(Master201722[[#This Row],[Status]]="Active",Master201722[[#This Row],[Status_Score]],IF(C93="","",Q93+G93+S93+U93+AE93-5))</f>
        <v>68</v>
      </c>
      <c r="AG93" s="8"/>
      <c r="AH93" s="8"/>
      <c r="AI93" s="8"/>
      <c r="AJ93" s="10"/>
    </row>
    <row r="94" spans="1:36" ht="30" hidden="1" x14ac:dyDescent="0.25">
      <c r="A94" s="103">
        <f t="shared" si="14"/>
        <v>88</v>
      </c>
      <c r="B94" s="67" t="s">
        <v>94</v>
      </c>
      <c r="C94" s="67" t="s">
        <v>611</v>
      </c>
      <c r="D94" s="67" t="s">
        <v>612</v>
      </c>
      <c r="E94" s="67" t="s">
        <v>879</v>
      </c>
      <c r="F94" s="10" t="s">
        <v>29</v>
      </c>
      <c r="G94" s="10">
        <f t="shared" si="13"/>
        <v>0</v>
      </c>
      <c r="H94" s="49"/>
      <c r="I94" s="49"/>
      <c r="J94" s="49">
        <f>Master201722[[#This Row],[Initial Budget]]-Master201722[[#This Row],[Previously Committed Funds]]</f>
        <v>0</v>
      </c>
      <c r="K94" s="49"/>
      <c r="L94" s="49"/>
      <c r="M94" s="97">
        <f>Master201722[[#This Row],[Design $ (Add/Deduct)]]+Master201722[[#This Row],[Construction $ (Add/Ded)]]</f>
        <v>0</v>
      </c>
      <c r="N94" s="32">
        <v>250000</v>
      </c>
      <c r="O94" s="17">
        <v>2019</v>
      </c>
      <c r="P94" s="10" t="s">
        <v>688</v>
      </c>
      <c r="Q94" s="8">
        <f t="shared" si="17"/>
        <v>20</v>
      </c>
      <c r="R94" s="8">
        <v>27</v>
      </c>
      <c r="S94" s="8">
        <f t="shared" si="15"/>
        <v>30</v>
      </c>
      <c r="T94" s="8" t="s">
        <v>41</v>
      </c>
      <c r="U94" s="8">
        <f t="shared" si="16"/>
        <v>4</v>
      </c>
      <c r="V94" s="8" t="s">
        <v>30</v>
      </c>
      <c r="W94" s="8">
        <v>0</v>
      </c>
      <c r="X94" s="8">
        <v>0</v>
      </c>
      <c r="Y94" s="8">
        <v>0</v>
      </c>
      <c r="Z94" s="8">
        <v>0</v>
      </c>
      <c r="AA94" s="8">
        <v>0</v>
      </c>
      <c r="AB94" s="8">
        <v>0</v>
      </c>
      <c r="AC94" s="8">
        <v>0</v>
      </c>
      <c r="AD94" s="8" t="s">
        <v>29</v>
      </c>
      <c r="AE94" s="8">
        <f>VLOOKUP(Master201722[[#This Row],[Elevated Priority]],Epriority,2,)</f>
        <v>0</v>
      </c>
      <c r="AF94" s="8">
        <f>IF(Master201722[[#This Row],[Status]]="Active",Master201722[[#This Row],[Status_Score]],IF(C94="","",Q94+G94+S94+U94+AE94-5))</f>
        <v>49</v>
      </c>
      <c r="AG94" s="8"/>
      <c r="AH94" s="8"/>
      <c r="AI94" s="8"/>
      <c r="AJ94" s="10"/>
    </row>
    <row r="95" spans="1:36" ht="45" hidden="1" x14ac:dyDescent="0.25">
      <c r="A95" s="103">
        <f t="shared" si="14"/>
        <v>89</v>
      </c>
      <c r="B95" s="10" t="s">
        <v>94</v>
      </c>
      <c r="C95" s="10" t="s">
        <v>613</v>
      </c>
      <c r="D95" s="10" t="s">
        <v>898</v>
      </c>
      <c r="E95" s="10" t="s">
        <v>879</v>
      </c>
      <c r="F95" s="10" t="s">
        <v>29</v>
      </c>
      <c r="G95" s="10">
        <f t="shared" si="13"/>
        <v>0</v>
      </c>
      <c r="H95" s="49"/>
      <c r="I95" s="49"/>
      <c r="J95" s="49">
        <f>Master201722[[#This Row],[Initial Budget]]-Master201722[[#This Row],[Previously Committed Funds]]</f>
        <v>0</v>
      </c>
      <c r="K95" s="49"/>
      <c r="L95" s="49"/>
      <c r="M95" s="97">
        <f>Master201722[[#This Row],[Design $ (Add/Deduct)]]+Master201722[[#This Row],[Construction $ (Add/Ded)]]</f>
        <v>0</v>
      </c>
      <c r="N95" s="32">
        <v>500000</v>
      </c>
      <c r="O95" s="17">
        <v>2019</v>
      </c>
      <c r="P95" s="10" t="s">
        <v>688</v>
      </c>
      <c r="Q95" s="8">
        <f t="shared" si="17"/>
        <v>20</v>
      </c>
      <c r="R95" s="8">
        <v>28</v>
      </c>
      <c r="S95" s="8">
        <f t="shared" si="15"/>
        <v>30</v>
      </c>
      <c r="T95" s="8" t="s">
        <v>41</v>
      </c>
      <c r="U95" s="8">
        <f t="shared" si="16"/>
        <v>4</v>
      </c>
      <c r="V95" s="8" t="s">
        <v>30</v>
      </c>
      <c r="W95" s="8">
        <v>0</v>
      </c>
      <c r="X95" s="8">
        <v>0</v>
      </c>
      <c r="Y95" s="8">
        <v>0</v>
      </c>
      <c r="Z95" s="8">
        <v>0</v>
      </c>
      <c r="AA95" s="8">
        <v>0</v>
      </c>
      <c r="AB95" s="8">
        <v>0</v>
      </c>
      <c r="AC95" s="8">
        <v>0</v>
      </c>
      <c r="AD95" s="8" t="s">
        <v>29</v>
      </c>
      <c r="AE95" s="8">
        <f>VLOOKUP(Master201722[[#This Row],[Elevated Priority]],Epriority,2,)</f>
        <v>0</v>
      </c>
      <c r="AF95" s="8">
        <f>IF(Master201722[[#This Row],[Status]]="Active",Master201722[[#This Row],[Status_Score]],IF(C95="","",Q95+G95+S95+U95+AE95-5))</f>
        <v>49</v>
      </c>
      <c r="AG95" s="8"/>
      <c r="AH95" s="8">
        <v>2022</v>
      </c>
      <c r="AI95" s="8">
        <v>2023</v>
      </c>
      <c r="AJ95" s="10"/>
    </row>
    <row r="96" spans="1:36" ht="45" x14ac:dyDescent="0.25">
      <c r="A96" s="103">
        <f t="shared" si="14"/>
        <v>90</v>
      </c>
      <c r="B96" s="10" t="s">
        <v>61</v>
      </c>
      <c r="C96" s="10" t="s">
        <v>528</v>
      </c>
      <c r="D96" s="10" t="s">
        <v>529</v>
      </c>
      <c r="E96" s="10" t="s">
        <v>908</v>
      </c>
      <c r="F96" s="10" t="s">
        <v>29</v>
      </c>
      <c r="G96" s="10">
        <f t="shared" si="13"/>
        <v>0</v>
      </c>
      <c r="H96" s="49"/>
      <c r="I96" s="49"/>
      <c r="J96" s="49">
        <f>Master201722[[#This Row],[Initial Budget]]-Master201722[[#This Row],[Previously Committed Funds]]</f>
        <v>0</v>
      </c>
      <c r="K96" s="49"/>
      <c r="L96" s="49"/>
      <c r="M96" s="97">
        <f>Master201722[[#This Row],[Design $ (Add/Deduct)]]+Master201722[[#This Row],[Construction $ (Add/Ded)]]</f>
        <v>0</v>
      </c>
      <c r="N96" s="32">
        <v>4500000</v>
      </c>
      <c r="O96" s="8">
        <v>2018</v>
      </c>
      <c r="P96" s="10" t="s">
        <v>46</v>
      </c>
      <c r="Q96" s="8">
        <f t="shared" si="17"/>
        <v>50</v>
      </c>
      <c r="R96" s="8">
        <v>4</v>
      </c>
      <c r="S96" s="8">
        <f t="shared" si="15"/>
        <v>12</v>
      </c>
      <c r="T96" s="8" t="s">
        <v>41</v>
      </c>
      <c r="U96" s="8">
        <f t="shared" si="16"/>
        <v>4</v>
      </c>
      <c r="V96" s="8" t="s">
        <v>34</v>
      </c>
      <c r="W96" s="114">
        <v>-9</v>
      </c>
      <c r="X96" s="8">
        <v>0</v>
      </c>
      <c r="Y96" s="8">
        <v>-1</v>
      </c>
      <c r="Z96" s="8">
        <v>-3</v>
      </c>
      <c r="AA96" s="8">
        <v>-2</v>
      </c>
      <c r="AB96" s="8">
        <v>-5</v>
      </c>
      <c r="AC96" s="8">
        <v>0</v>
      </c>
      <c r="AD96" s="17" t="s">
        <v>29</v>
      </c>
      <c r="AE96" s="8">
        <f>VLOOKUP(Master201722[[#This Row],[Elevated Priority]],Epriority,2,)</f>
        <v>0</v>
      </c>
      <c r="AF96" s="8">
        <f>IF(Master201722[[#This Row],[Status]]="Active",Master201722[[#This Row],[Status_Score]],IF(C96="","",Q96+G96+S96+U96+AE96-5))</f>
        <v>61</v>
      </c>
      <c r="AG96" s="8"/>
      <c r="AH96" s="8">
        <v>2020</v>
      </c>
      <c r="AI96" s="8">
        <v>2021</v>
      </c>
      <c r="AJ96" s="10"/>
    </row>
    <row r="97" spans="1:36" ht="60" hidden="1" x14ac:dyDescent="0.25">
      <c r="A97" s="103">
        <f t="shared" si="14"/>
        <v>91</v>
      </c>
      <c r="B97" s="10" t="s">
        <v>91</v>
      </c>
      <c r="C97" s="10" t="s">
        <v>384</v>
      </c>
      <c r="D97" s="10" t="s">
        <v>899</v>
      </c>
      <c r="E97" s="10" t="s">
        <v>386</v>
      </c>
      <c r="F97" s="10" t="s">
        <v>29</v>
      </c>
      <c r="G97" s="10">
        <f t="shared" si="13"/>
        <v>0</v>
      </c>
      <c r="H97" s="49"/>
      <c r="I97" s="49"/>
      <c r="J97" s="49">
        <f>Master201722[[#This Row],[Initial Budget]]-Master201722[[#This Row],[Previously Committed Funds]]</f>
        <v>0</v>
      </c>
      <c r="K97" s="49"/>
      <c r="L97" s="49"/>
      <c r="M97" s="97">
        <f>Master201722[[#This Row],[Design $ (Add/Deduct)]]+Master201722[[#This Row],[Construction $ (Add/Ded)]]</f>
        <v>0</v>
      </c>
      <c r="N97" s="32">
        <v>150000</v>
      </c>
      <c r="O97" s="8">
        <v>2018</v>
      </c>
      <c r="P97" s="10" t="s">
        <v>687</v>
      </c>
      <c r="Q97" s="8">
        <f t="shared" si="17"/>
        <v>30</v>
      </c>
      <c r="R97" s="8">
        <v>3</v>
      </c>
      <c r="S97" s="8">
        <f t="shared" si="15"/>
        <v>9</v>
      </c>
      <c r="T97" s="8" t="s">
        <v>43</v>
      </c>
      <c r="U97" s="8">
        <f t="shared" si="16"/>
        <v>16</v>
      </c>
      <c r="V97" s="8" t="s">
        <v>30</v>
      </c>
      <c r="W97" s="8">
        <v>0</v>
      </c>
      <c r="X97" s="8">
        <v>0</v>
      </c>
      <c r="Y97" s="8">
        <v>0</v>
      </c>
      <c r="Z97" s="8">
        <v>0</v>
      </c>
      <c r="AA97" s="8">
        <v>0</v>
      </c>
      <c r="AB97" s="8">
        <v>0</v>
      </c>
      <c r="AC97" s="8">
        <v>0</v>
      </c>
      <c r="AD97" s="17" t="s">
        <v>29</v>
      </c>
      <c r="AE97" s="8">
        <f>VLOOKUP(Master201722[[#This Row],[Elevated Priority]],Epriority,2,)</f>
        <v>0</v>
      </c>
      <c r="AF97" s="8">
        <f>IF(Master201722[[#This Row],[Status]]="Active",Master201722[[#This Row],[Status_Score]],IF(C97="","",Q97+G97+S97+U97+AE97-5))</f>
        <v>50</v>
      </c>
      <c r="AG97" s="8"/>
      <c r="AH97" s="8">
        <v>2021</v>
      </c>
      <c r="AI97" s="8">
        <v>2022</v>
      </c>
      <c r="AJ97" s="10"/>
    </row>
    <row r="98" spans="1:36" ht="30" x14ac:dyDescent="0.25">
      <c r="A98" s="103">
        <f t="shared" si="14"/>
        <v>92</v>
      </c>
      <c r="B98" s="10" t="s">
        <v>220</v>
      </c>
      <c r="C98" s="10" t="s">
        <v>772</v>
      </c>
      <c r="D98" s="43" t="s">
        <v>773</v>
      </c>
      <c r="E98" s="43" t="s">
        <v>838</v>
      </c>
      <c r="F98" s="10" t="s">
        <v>29</v>
      </c>
      <c r="G98" s="10">
        <f t="shared" si="13"/>
        <v>0</v>
      </c>
      <c r="H98" s="49"/>
      <c r="I98" s="49"/>
      <c r="J98" s="49">
        <f>Master201722[[#This Row],[Initial Budget]]-Master201722[[#This Row],[Previously Committed Funds]]</f>
        <v>0</v>
      </c>
      <c r="K98" s="49"/>
      <c r="L98" s="49"/>
      <c r="M98" s="97">
        <f>Master201722[[#This Row],[Design $ (Add/Deduct)]]+Master201722[[#This Row],[Construction $ (Add/Ded)]]</f>
        <v>0</v>
      </c>
      <c r="N98" s="32" t="s">
        <v>224</v>
      </c>
      <c r="O98" s="8">
        <v>2018</v>
      </c>
      <c r="P98" s="10" t="s">
        <v>686</v>
      </c>
      <c r="Q98" s="8">
        <f t="shared" si="17"/>
        <v>60</v>
      </c>
      <c r="R98" s="8">
        <v>2</v>
      </c>
      <c r="S98" s="8">
        <f t="shared" si="15"/>
        <v>6</v>
      </c>
      <c r="T98" s="8" t="s">
        <v>41</v>
      </c>
      <c r="U98" s="8">
        <f t="shared" si="16"/>
        <v>4</v>
      </c>
      <c r="V98" s="8" t="s">
        <v>34</v>
      </c>
      <c r="W98" s="114">
        <v>0</v>
      </c>
      <c r="X98" s="8">
        <v>0</v>
      </c>
      <c r="Y98" s="8">
        <v>0</v>
      </c>
      <c r="Z98" s="8">
        <v>0</v>
      </c>
      <c r="AA98" s="8">
        <v>0</v>
      </c>
      <c r="AB98" s="8">
        <v>0</v>
      </c>
      <c r="AC98" s="8">
        <v>0</v>
      </c>
      <c r="AD98" s="17" t="s">
        <v>29</v>
      </c>
      <c r="AE98" s="8">
        <f>VLOOKUP(Master201722[[#This Row],[Elevated Priority]],Epriority,2,)</f>
        <v>0</v>
      </c>
      <c r="AF98" s="8">
        <f>IF(Master201722[[#This Row],[Status]]="Active",Master201722[[#This Row],[Status_Score]],IF(C98="","",Q98+G98+S98+U98+AE98-5))</f>
        <v>65</v>
      </c>
      <c r="AG98" s="8"/>
      <c r="AH98" s="8">
        <v>2022</v>
      </c>
      <c r="AI98" s="8">
        <v>2023</v>
      </c>
      <c r="AJ98" s="10" t="s">
        <v>942</v>
      </c>
    </row>
    <row r="99" spans="1:36" ht="30" x14ac:dyDescent="0.25">
      <c r="A99" s="103">
        <f t="shared" si="14"/>
        <v>93</v>
      </c>
      <c r="B99" s="10" t="s">
        <v>70</v>
      </c>
      <c r="C99" s="10" t="s">
        <v>693</v>
      </c>
      <c r="D99" s="10" t="s">
        <v>699</v>
      </c>
      <c r="E99" s="10"/>
      <c r="F99" s="10" t="s">
        <v>29</v>
      </c>
      <c r="G99" s="10">
        <f t="shared" si="13"/>
        <v>0</v>
      </c>
      <c r="H99" s="49"/>
      <c r="I99" s="49"/>
      <c r="J99" s="49">
        <f>Master201722[[#This Row],[Initial Budget]]-Master201722[[#This Row],[Previously Committed Funds]]</f>
        <v>0</v>
      </c>
      <c r="K99" s="49"/>
      <c r="L99" s="49"/>
      <c r="M99" s="97">
        <f>Master201722[[#This Row],[Design $ (Add/Deduct)]]+Master201722[[#This Row],[Construction $ (Add/Ded)]]</f>
        <v>0</v>
      </c>
      <c r="N99" s="32">
        <v>7000000</v>
      </c>
      <c r="O99" s="8">
        <v>2019</v>
      </c>
      <c r="P99" s="10" t="s">
        <v>46</v>
      </c>
      <c r="Q99" s="8">
        <f t="shared" si="17"/>
        <v>50</v>
      </c>
      <c r="R99" s="8">
        <v>3</v>
      </c>
      <c r="S99" s="8">
        <f t="shared" si="15"/>
        <v>9</v>
      </c>
      <c r="T99" s="8" t="s">
        <v>43</v>
      </c>
      <c r="V99" s="8" t="s">
        <v>34</v>
      </c>
      <c r="W99" s="114">
        <v>0</v>
      </c>
      <c r="X99" s="8">
        <v>0</v>
      </c>
      <c r="Y99" s="8">
        <v>-3</v>
      </c>
      <c r="Z99" s="8">
        <v>-3</v>
      </c>
      <c r="AA99" s="8">
        <v>-2</v>
      </c>
      <c r="AB99" s="8">
        <v>0</v>
      </c>
      <c r="AC99" s="8">
        <v>0</v>
      </c>
      <c r="AD99" s="17" t="s">
        <v>29</v>
      </c>
      <c r="AE99" s="8">
        <f>VLOOKUP(Master201722[[#This Row],[Elevated Priority]],Epriority,2,)</f>
        <v>0</v>
      </c>
      <c r="AF99" s="8">
        <f>IF(Master201722[[#This Row],[Status]]="Active",Master201722[[#This Row],[Status_Score]],IF(C99="","",Q99+G99+S99+U99+AE99-5))</f>
        <v>54</v>
      </c>
      <c r="AG99" s="8"/>
      <c r="AH99" s="8">
        <v>2021</v>
      </c>
      <c r="AI99" s="8">
        <v>2022</v>
      </c>
      <c r="AJ99" s="10"/>
    </row>
    <row r="100" spans="1:36" ht="45" hidden="1" x14ac:dyDescent="0.25">
      <c r="A100" s="103">
        <f t="shared" si="14"/>
        <v>94</v>
      </c>
      <c r="B100" s="10" t="s">
        <v>91</v>
      </c>
      <c r="C100" s="10" t="s">
        <v>393</v>
      </c>
      <c r="D100" s="10" t="s">
        <v>394</v>
      </c>
      <c r="E100" s="10" t="s">
        <v>395</v>
      </c>
      <c r="F100" s="10" t="s">
        <v>29</v>
      </c>
      <c r="G100" s="10">
        <f t="shared" si="13"/>
        <v>0</v>
      </c>
      <c r="H100" s="49"/>
      <c r="I100" s="49"/>
      <c r="J100" s="49">
        <f>Master201722[[#This Row],[Initial Budget]]-Master201722[[#This Row],[Previously Committed Funds]]</f>
        <v>0</v>
      </c>
      <c r="K100" s="49"/>
      <c r="L100" s="49"/>
      <c r="M100" s="97">
        <f>Master201722[[#This Row],[Design $ (Add/Deduct)]]+Master201722[[#This Row],[Construction $ (Add/Ded)]]</f>
        <v>0</v>
      </c>
      <c r="N100" s="32">
        <v>85000</v>
      </c>
      <c r="O100" s="8">
        <v>2018</v>
      </c>
      <c r="P100" s="10" t="s">
        <v>688</v>
      </c>
      <c r="Q100" s="8">
        <f t="shared" si="17"/>
        <v>20</v>
      </c>
      <c r="R100" s="8">
        <v>7</v>
      </c>
      <c r="S100" s="8">
        <f t="shared" si="15"/>
        <v>20</v>
      </c>
      <c r="T100" s="8" t="s">
        <v>43</v>
      </c>
      <c r="U100" s="8">
        <f t="shared" ref="U100:U110" si="18">VLOOKUP(T100,Urgency,2,FALSE)</f>
        <v>16</v>
      </c>
      <c r="V100" s="8" t="s">
        <v>30</v>
      </c>
      <c r="W100" s="8">
        <v>0</v>
      </c>
      <c r="X100" s="8">
        <v>0</v>
      </c>
      <c r="Y100" s="8">
        <v>0</v>
      </c>
      <c r="Z100" s="8">
        <v>0</v>
      </c>
      <c r="AA100" s="8">
        <v>0</v>
      </c>
      <c r="AB100" s="8">
        <v>0</v>
      </c>
      <c r="AC100" s="8">
        <v>0</v>
      </c>
      <c r="AD100" s="17" t="s">
        <v>29</v>
      </c>
      <c r="AE100" s="8">
        <f>VLOOKUP(Master201722[[#This Row],[Elevated Priority]],Epriority,2,)</f>
        <v>0</v>
      </c>
      <c r="AF100" s="8">
        <f>IF(Master201722[[#This Row],[Status]]="Active",Master201722[[#This Row],[Status_Score]],IF(C100="","",Q100+G100+S100+U100+AE100-5))</f>
        <v>51</v>
      </c>
      <c r="AG100" s="8"/>
      <c r="AH100" s="8">
        <v>2023</v>
      </c>
      <c r="AI100" s="8">
        <v>2024</v>
      </c>
      <c r="AJ100" s="10"/>
    </row>
    <row r="101" spans="1:36" ht="105" x14ac:dyDescent="0.25">
      <c r="A101" s="103">
        <f t="shared" si="14"/>
        <v>95</v>
      </c>
      <c r="B101" s="10" t="s">
        <v>143</v>
      </c>
      <c r="C101" s="10" t="s">
        <v>144</v>
      </c>
      <c r="D101" s="10" t="s">
        <v>145</v>
      </c>
      <c r="E101" s="10" t="s">
        <v>146</v>
      </c>
      <c r="F101" s="10" t="s">
        <v>29</v>
      </c>
      <c r="G101" s="10">
        <f t="shared" si="13"/>
        <v>0</v>
      </c>
      <c r="H101" s="49"/>
      <c r="I101" s="49"/>
      <c r="J101" s="49">
        <f>Master201722[[#This Row],[Initial Budget]]-Master201722[[#This Row],[Previously Committed Funds]]</f>
        <v>0</v>
      </c>
      <c r="K101" s="49"/>
      <c r="L101" s="49"/>
      <c r="M101" s="97">
        <f>Master201722[[#This Row],[Design $ (Add/Deduct)]]+Master201722[[#This Row],[Construction $ (Add/Ded)]]</f>
        <v>0</v>
      </c>
      <c r="N101" s="49">
        <v>50000</v>
      </c>
      <c r="O101" s="8">
        <v>2018</v>
      </c>
      <c r="P101" s="10" t="s">
        <v>686</v>
      </c>
      <c r="Q101" s="8">
        <f t="shared" si="17"/>
        <v>60</v>
      </c>
      <c r="R101" s="17">
        <v>3</v>
      </c>
      <c r="S101" s="8">
        <f t="shared" si="15"/>
        <v>9</v>
      </c>
      <c r="T101" s="17" t="s">
        <v>41</v>
      </c>
      <c r="U101" s="8">
        <f t="shared" si="18"/>
        <v>4</v>
      </c>
      <c r="V101" s="8" t="s">
        <v>34</v>
      </c>
      <c r="W101" s="114">
        <v>0</v>
      </c>
      <c r="X101" s="8">
        <v>0</v>
      </c>
      <c r="Y101" s="8">
        <v>0</v>
      </c>
      <c r="Z101" s="8">
        <v>0</v>
      </c>
      <c r="AA101" s="8">
        <v>0</v>
      </c>
      <c r="AB101" s="8">
        <v>0</v>
      </c>
      <c r="AC101" s="8">
        <v>-1</v>
      </c>
      <c r="AD101" s="17" t="s">
        <v>29</v>
      </c>
      <c r="AE101" s="8">
        <f>VLOOKUP(Master201722[[#This Row],[Elevated Priority]],Epriority,2,)</f>
        <v>0</v>
      </c>
      <c r="AF101" s="8">
        <f>IF(Master201722[[#This Row],[Status]]="Active",Master201722[[#This Row],[Status_Score]],IF(C101="","",Q101+G101+S101+U101+AE101-5))</f>
        <v>68</v>
      </c>
      <c r="AG101" s="8"/>
      <c r="AH101" s="8">
        <v>2022</v>
      </c>
      <c r="AI101" s="8">
        <v>2023</v>
      </c>
      <c r="AJ101" s="10" t="s">
        <v>942</v>
      </c>
    </row>
    <row r="102" spans="1:36" ht="120" hidden="1" x14ac:dyDescent="0.25">
      <c r="A102" s="103">
        <f t="shared" si="14"/>
        <v>96</v>
      </c>
      <c r="B102" s="125" t="s">
        <v>67</v>
      </c>
      <c r="C102" s="67" t="s">
        <v>791</v>
      </c>
      <c r="D102" s="67" t="s">
        <v>792</v>
      </c>
      <c r="E102" s="67" t="s">
        <v>900</v>
      </c>
      <c r="F102" s="10" t="s">
        <v>29</v>
      </c>
      <c r="G102" s="10">
        <f t="shared" si="13"/>
        <v>0</v>
      </c>
      <c r="H102" s="49"/>
      <c r="I102" s="49"/>
      <c r="J102" s="49">
        <f>Master201722[[#This Row],[Initial Budget]]-Master201722[[#This Row],[Previously Committed Funds]]</f>
        <v>0</v>
      </c>
      <c r="K102" s="49">
        <v>45000</v>
      </c>
      <c r="L102" s="49"/>
      <c r="M102" s="97">
        <f>Master201722[[#This Row],[Design $ (Add/Deduct)]]+Master201722[[#This Row],[Construction $ (Add/Ded)]]</f>
        <v>45000</v>
      </c>
      <c r="N102" s="32">
        <v>235000</v>
      </c>
      <c r="O102" s="8">
        <v>2020</v>
      </c>
      <c r="P102" s="10" t="s">
        <v>688</v>
      </c>
      <c r="Q102" s="8">
        <f t="shared" si="17"/>
        <v>20</v>
      </c>
      <c r="R102" s="8">
        <v>10</v>
      </c>
      <c r="S102" s="8">
        <f t="shared" si="15"/>
        <v>21</v>
      </c>
      <c r="T102" s="8" t="s">
        <v>43</v>
      </c>
      <c r="U102" s="8">
        <f t="shared" si="18"/>
        <v>16</v>
      </c>
      <c r="V102" s="8" t="s">
        <v>30</v>
      </c>
      <c r="W102" s="8">
        <v>0</v>
      </c>
      <c r="X102" s="8">
        <v>0</v>
      </c>
      <c r="Y102" s="8">
        <v>0</v>
      </c>
      <c r="Z102" s="8">
        <v>0</v>
      </c>
      <c r="AA102" s="8">
        <v>0</v>
      </c>
      <c r="AB102" s="8">
        <v>0</v>
      </c>
      <c r="AC102" s="8">
        <v>0</v>
      </c>
      <c r="AD102" s="17" t="s">
        <v>29</v>
      </c>
      <c r="AE102" s="8">
        <f>VLOOKUP(Master201722[[#This Row],[Elevated Priority]],Epriority,2,)</f>
        <v>0</v>
      </c>
      <c r="AF102" s="8">
        <f>IF(Master201722[[#This Row],[Status]]="Active",Master201722[[#This Row],[Status_Score]],IF(C102="","",Q102+G102+S102+U102+AE102-5))</f>
        <v>52</v>
      </c>
      <c r="AG102" s="8"/>
      <c r="AH102" s="8"/>
      <c r="AI102" s="8"/>
      <c r="AJ102" s="10"/>
    </row>
    <row r="103" spans="1:36" ht="45" hidden="1" x14ac:dyDescent="0.25">
      <c r="A103" s="103">
        <f t="shared" si="14"/>
        <v>97</v>
      </c>
      <c r="B103" s="125" t="s">
        <v>67</v>
      </c>
      <c r="C103" s="10" t="s">
        <v>778</v>
      </c>
      <c r="D103" s="10" t="s">
        <v>801</v>
      </c>
      <c r="E103" s="10" t="s">
        <v>901</v>
      </c>
      <c r="F103" s="10" t="s">
        <v>29</v>
      </c>
      <c r="G103" s="10">
        <f t="shared" si="13"/>
        <v>0</v>
      </c>
      <c r="H103" s="49"/>
      <c r="I103" s="49"/>
      <c r="J103" s="49">
        <f>Master201722[[#This Row],[Initial Budget]]-Master201722[[#This Row],[Previously Committed Funds]]</f>
        <v>0</v>
      </c>
      <c r="K103" s="49"/>
      <c r="L103" s="49"/>
      <c r="M103" s="97"/>
      <c r="N103" s="32">
        <v>100000</v>
      </c>
      <c r="O103" s="8">
        <v>2020</v>
      </c>
      <c r="P103" s="10" t="s">
        <v>688</v>
      </c>
      <c r="Q103" s="8">
        <f t="shared" si="17"/>
        <v>20</v>
      </c>
      <c r="R103" s="8">
        <v>10</v>
      </c>
      <c r="S103" s="8">
        <f t="shared" si="15"/>
        <v>21</v>
      </c>
      <c r="T103" s="8" t="s">
        <v>43</v>
      </c>
      <c r="U103" s="8">
        <f t="shared" si="18"/>
        <v>16</v>
      </c>
      <c r="V103" s="8" t="s">
        <v>30</v>
      </c>
      <c r="W103" s="8">
        <v>0</v>
      </c>
      <c r="X103" s="8">
        <v>0</v>
      </c>
      <c r="Y103" s="8">
        <v>0</v>
      </c>
      <c r="Z103" s="8">
        <v>0</v>
      </c>
      <c r="AA103" s="8">
        <v>0</v>
      </c>
      <c r="AB103" s="8">
        <v>0</v>
      </c>
      <c r="AC103" s="8">
        <v>0</v>
      </c>
      <c r="AD103" s="17" t="s">
        <v>29</v>
      </c>
      <c r="AE103" s="8">
        <f>VLOOKUP(Master201722[[#This Row],[Elevated Priority]],Epriority,2,)</f>
        <v>0</v>
      </c>
      <c r="AF103" s="8">
        <f>IF(Master201722[[#This Row],[Status]]="Active",Master201722[[#This Row],[Status_Score]],IF(C103="","",Q103+G103+S103+U103+AE103-5))</f>
        <v>52</v>
      </c>
      <c r="AG103" s="8"/>
      <c r="AH103" s="8"/>
      <c r="AI103" s="8"/>
      <c r="AJ103" s="10"/>
    </row>
    <row r="104" spans="1:36" ht="30" hidden="1" x14ac:dyDescent="0.25">
      <c r="A104" s="103">
        <f t="shared" si="14"/>
        <v>98</v>
      </c>
      <c r="B104" s="10" t="s">
        <v>94</v>
      </c>
      <c r="C104" s="10" t="s">
        <v>270</v>
      </c>
      <c r="D104" s="10" t="s">
        <v>271</v>
      </c>
      <c r="E104" s="10" t="s">
        <v>902</v>
      </c>
      <c r="F104" s="10" t="s">
        <v>29</v>
      </c>
      <c r="G104" s="10">
        <f t="shared" si="13"/>
        <v>0</v>
      </c>
      <c r="H104" s="49"/>
      <c r="I104" s="49"/>
      <c r="J104" s="49">
        <f>Master201722[[#This Row],[Initial Budget]]-Master201722[[#This Row],[Previously Committed Funds]]</f>
        <v>0</v>
      </c>
      <c r="K104" s="49"/>
      <c r="L104" s="49"/>
      <c r="M104" s="97">
        <f>Master201722[[#This Row],[Design $ (Add/Deduct)]]+Master201722[[#This Row],[Construction $ (Add/Ded)]]</f>
        <v>0</v>
      </c>
      <c r="N104" s="32">
        <v>5000</v>
      </c>
      <c r="O104" s="8">
        <v>2018</v>
      </c>
      <c r="P104" s="10" t="s">
        <v>688</v>
      </c>
      <c r="Q104" s="8">
        <f t="shared" si="17"/>
        <v>20</v>
      </c>
      <c r="R104" s="8">
        <v>34</v>
      </c>
      <c r="S104" s="8">
        <f t="shared" si="15"/>
        <v>33</v>
      </c>
      <c r="T104" s="8" t="s">
        <v>41</v>
      </c>
      <c r="U104" s="8">
        <f t="shared" si="18"/>
        <v>4</v>
      </c>
      <c r="V104" s="8" t="s">
        <v>30</v>
      </c>
      <c r="W104" s="8">
        <v>0</v>
      </c>
      <c r="X104" s="8">
        <v>0</v>
      </c>
      <c r="Y104" s="8">
        <v>0</v>
      </c>
      <c r="Z104" s="8">
        <v>0</v>
      </c>
      <c r="AA104" s="8">
        <v>0</v>
      </c>
      <c r="AB104" s="8">
        <v>0</v>
      </c>
      <c r="AC104" s="8">
        <v>0</v>
      </c>
      <c r="AD104" s="17" t="s">
        <v>29</v>
      </c>
      <c r="AE104" s="8">
        <f>VLOOKUP(Master201722[[#This Row],[Elevated Priority]],Epriority,2,)</f>
        <v>0</v>
      </c>
      <c r="AF104" s="8">
        <f>IF(Master201722[[#This Row],[Status]]="Active",Master201722[[#This Row],[Status_Score]],IF(C104="","",Q104+G104+S104+U104+AE104-5))</f>
        <v>52</v>
      </c>
      <c r="AG104" s="8"/>
      <c r="AH104" s="8">
        <v>2023</v>
      </c>
      <c r="AI104" s="8">
        <v>2024</v>
      </c>
      <c r="AJ104" s="10"/>
    </row>
    <row r="105" spans="1:36" ht="45" hidden="1" x14ac:dyDescent="0.25">
      <c r="A105" s="103">
        <f t="shared" si="14"/>
        <v>99</v>
      </c>
      <c r="B105" s="10" t="s">
        <v>70</v>
      </c>
      <c r="C105" s="10" t="s">
        <v>840</v>
      </c>
      <c r="D105" s="10" t="s">
        <v>841</v>
      </c>
      <c r="E105" s="10" t="s">
        <v>903</v>
      </c>
      <c r="F105" s="10" t="s">
        <v>29</v>
      </c>
      <c r="G105" s="10">
        <f t="shared" si="13"/>
        <v>0</v>
      </c>
      <c r="H105" s="49"/>
      <c r="I105" s="49"/>
      <c r="J105" s="49">
        <f>Master201722[[#This Row],[Initial Budget]]-Master201722[[#This Row],[Previously Committed Funds]]</f>
        <v>0</v>
      </c>
      <c r="K105" s="49"/>
      <c r="L105" s="49"/>
      <c r="M105" s="97">
        <f>Master201722[[#This Row],[Design $ (Add/Deduct)]]+Master201722[[#This Row],[Construction $ (Add/Ded)]]</f>
        <v>0</v>
      </c>
      <c r="N105" s="32">
        <v>50000</v>
      </c>
      <c r="O105" s="8">
        <v>2018</v>
      </c>
      <c r="P105" s="10" t="s">
        <v>687</v>
      </c>
      <c r="Q105" s="8">
        <f t="shared" si="17"/>
        <v>30</v>
      </c>
      <c r="R105" s="8">
        <v>4</v>
      </c>
      <c r="S105" s="8">
        <f t="shared" si="15"/>
        <v>12</v>
      </c>
      <c r="T105" s="8" t="s">
        <v>43</v>
      </c>
      <c r="U105" s="8">
        <f t="shared" si="18"/>
        <v>16</v>
      </c>
      <c r="V105" s="8" t="s">
        <v>30</v>
      </c>
      <c r="W105" s="8">
        <v>0</v>
      </c>
      <c r="X105" s="8">
        <v>0</v>
      </c>
      <c r="Y105" s="8">
        <v>0</v>
      </c>
      <c r="Z105" s="8">
        <v>0</v>
      </c>
      <c r="AA105" s="8">
        <v>0</v>
      </c>
      <c r="AB105" s="8">
        <v>0</v>
      </c>
      <c r="AC105" s="8">
        <v>0</v>
      </c>
      <c r="AD105" s="17" t="s">
        <v>29</v>
      </c>
      <c r="AE105" s="8">
        <f>VLOOKUP(Master201722[[#This Row],[Elevated Priority]],Epriority,2,)</f>
        <v>0</v>
      </c>
      <c r="AF105" s="8">
        <f>IF(Master201722[[#This Row],[Status]]="Active",Master201722[[#This Row],[Status_Score]],IF(C105="","",Q105+G105+S105+U105+AE105-5))</f>
        <v>53</v>
      </c>
      <c r="AG105" s="8"/>
      <c r="AH105" s="8">
        <v>2021</v>
      </c>
      <c r="AI105" s="8">
        <v>2022</v>
      </c>
      <c r="AJ105" s="10"/>
    </row>
    <row r="106" spans="1:36" ht="210" hidden="1" x14ac:dyDescent="0.25">
      <c r="A106" s="103">
        <f t="shared" si="14"/>
        <v>100</v>
      </c>
      <c r="B106" s="10" t="s">
        <v>159</v>
      </c>
      <c r="C106" s="10" t="s">
        <v>416</v>
      </c>
      <c r="D106" s="10" t="s">
        <v>417</v>
      </c>
      <c r="E106" s="10" t="s">
        <v>418</v>
      </c>
      <c r="F106" s="10" t="s">
        <v>29</v>
      </c>
      <c r="G106" s="10">
        <f t="shared" si="13"/>
        <v>0</v>
      </c>
      <c r="H106" s="49"/>
      <c r="I106" s="49"/>
      <c r="J106" s="49">
        <f>Master201722[[#This Row],[Initial Budget]]-Master201722[[#This Row],[Previously Committed Funds]]</f>
        <v>0</v>
      </c>
      <c r="K106" s="49"/>
      <c r="L106" s="49"/>
      <c r="M106" s="97">
        <f>Master201722[[#This Row],[Design $ (Add/Deduct)]]+Master201722[[#This Row],[Construction $ (Add/Ded)]]</f>
        <v>0</v>
      </c>
      <c r="N106" s="32">
        <v>45000</v>
      </c>
      <c r="O106" s="8">
        <v>2018</v>
      </c>
      <c r="P106" s="10" t="s">
        <v>687</v>
      </c>
      <c r="Q106" s="8">
        <f t="shared" si="17"/>
        <v>30</v>
      </c>
      <c r="R106" s="8">
        <v>4</v>
      </c>
      <c r="S106" s="8">
        <f t="shared" si="15"/>
        <v>12</v>
      </c>
      <c r="T106" s="8" t="s">
        <v>43</v>
      </c>
      <c r="U106" s="8">
        <f t="shared" si="18"/>
        <v>16</v>
      </c>
      <c r="V106" s="8" t="s">
        <v>30</v>
      </c>
      <c r="W106" s="8">
        <v>0</v>
      </c>
      <c r="X106" s="8">
        <v>0</v>
      </c>
      <c r="Y106" s="8">
        <v>0</v>
      </c>
      <c r="Z106" s="8">
        <v>0</v>
      </c>
      <c r="AA106" s="8">
        <v>0</v>
      </c>
      <c r="AB106" s="8">
        <v>0</v>
      </c>
      <c r="AC106" s="8">
        <v>0</v>
      </c>
      <c r="AD106" s="17" t="s">
        <v>29</v>
      </c>
      <c r="AE106" s="8">
        <f>VLOOKUP(Master201722[[#This Row],[Elevated Priority]],Epriority,2,)</f>
        <v>0</v>
      </c>
      <c r="AF106" s="8">
        <f>IF(Master201722[[#This Row],[Status]]="Active",Master201722[[#This Row],[Status_Score]],IF(C106="","",Q106+G106+S106+U106+AE106-5))</f>
        <v>53</v>
      </c>
      <c r="AG106" s="8"/>
      <c r="AH106" s="8">
        <v>2021</v>
      </c>
      <c r="AI106" s="8">
        <v>2022</v>
      </c>
      <c r="AJ106" s="10"/>
    </row>
    <row r="107" spans="1:36" ht="45" x14ac:dyDescent="0.25">
      <c r="A107" s="103">
        <f t="shared" si="14"/>
        <v>101</v>
      </c>
      <c r="B107" s="10" t="s">
        <v>61</v>
      </c>
      <c r="C107" s="10" t="s">
        <v>541</v>
      </c>
      <c r="D107" s="10" t="s">
        <v>542</v>
      </c>
      <c r="E107" s="10" t="s">
        <v>543</v>
      </c>
      <c r="F107" s="10" t="s">
        <v>29</v>
      </c>
      <c r="G107" s="10">
        <f t="shared" si="13"/>
        <v>0</v>
      </c>
      <c r="H107" s="49"/>
      <c r="I107" s="49"/>
      <c r="J107" s="49">
        <f>Master201722[[#This Row],[Initial Budget]]-Master201722[[#This Row],[Previously Committed Funds]]</f>
        <v>0</v>
      </c>
      <c r="K107" s="49"/>
      <c r="L107" s="49"/>
      <c r="M107" s="97">
        <f>Master201722[[#This Row],[Design $ (Add/Deduct)]]+Master201722[[#This Row],[Construction $ (Add/Ded)]]</f>
        <v>0</v>
      </c>
      <c r="N107" s="32">
        <v>10000000</v>
      </c>
      <c r="O107" s="8">
        <v>2018</v>
      </c>
      <c r="P107" s="10" t="s">
        <v>46</v>
      </c>
      <c r="Q107" s="8">
        <f t="shared" si="17"/>
        <v>50</v>
      </c>
      <c r="R107" s="8">
        <v>4</v>
      </c>
      <c r="S107" s="8">
        <f t="shared" si="15"/>
        <v>12</v>
      </c>
      <c r="T107" s="8" t="s">
        <v>43</v>
      </c>
      <c r="U107" s="8">
        <f t="shared" si="18"/>
        <v>16</v>
      </c>
      <c r="V107" s="8" t="s">
        <v>34</v>
      </c>
      <c r="W107" s="114">
        <v>-9</v>
      </c>
      <c r="X107" s="8">
        <v>0</v>
      </c>
      <c r="Y107" s="8">
        <v>0</v>
      </c>
      <c r="Z107" s="8">
        <v>-3</v>
      </c>
      <c r="AA107" s="8">
        <v>-2</v>
      </c>
      <c r="AB107" s="8">
        <v>-9</v>
      </c>
      <c r="AC107" s="8">
        <v>-3</v>
      </c>
      <c r="AD107" s="17" t="s">
        <v>29</v>
      </c>
      <c r="AE107" s="8">
        <f>VLOOKUP(Master201722[[#This Row],[Elevated Priority]],Epriority,2,)</f>
        <v>0</v>
      </c>
      <c r="AF107" s="8">
        <f>IF(Master201722[[#This Row],[Status]]="Active",Master201722[[#This Row],[Status_Score]],IF(C107="","",Q107+G107+S107+U107+AE107-5))</f>
        <v>73</v>
      </c>
      <c r="AG107" s="8"/>
      <c r="AH107" s="8">
        <v>2020</v>
      </c>
      <c r="AI107" s="8">
        <v>2024</v>
      </c>
      <c r="AJ107" s="10"/>
    </row>
    <row r="108" spans="1:36" ht="60" x14ac:dyDescent="0.25">
      <c r="A108" s="103">
        <f t="shared" si="14"/>
        <v>102</v>
      </c>
      <c r="B108" s="10" t="s">
        <v>71</v>
      </c>
      <c r="C108" s="10" t="s">
        <v>943</v>
      </c>
      <c r="D108" s="10" t="s">
        <v>946</v>
      </c>
      <c r="E108" s="10" t="s">
        <v>944</v>
      </c>
      <c r="F108" s="10" t="s">
        <v>29</v>
      </c>
      <c r="G108" s="10">
        <f t="shared" si="13"/>
        <v>0</v>
      </c>
      <c r="H108" s="49"/>
      <c r="I108" s="49"/>
      <c r="J108" s="49">
        <f>Master201722[[#This Row],[Initial Budget]]-Master201722[[#This Row],[Previously Committed Funds]]</f>
        <v>0</v>
      </c>
      <c r="K108" s="49"/>
      <c r="L108" s="49"/>
      <c r="M108" s="97">
        <f>Master201722[[#This Row],[Design $ (Add/Deduct)]]+Master201722[[#This Row],[Construction $ (Add/Ded)]]</f>
        <v>0</v>
      </c>
      <c r="N108" s="32">
        <v>8000000</v>
      </c>
      <c r="O108" s="8">
        <v>2018</v>
      </c>
      <c r="P108" s="10" t="s">
        <v>46</v>
      </c>
      <c r="Q108" s="8">
        <f t="shared" si="17"/>
        <v>50</v>
      </c>
      <c r="R108" s="8">
        <v>2</v>
      </c>
      <c r="S108" s="8">
        <f t="shared" si="15"/>
        <v>6</v>
      </c>
      <c r="T108" s="8" t="s">
        <v>37</v>
      </c>
      <c r="U108" s="8">
        <f t="shared" si="18"/>
        <v>3</v>
      </c>
      <c r="V108" s="8" t="s">
        <v>34</v>
      </c>
      <c r="W108" s="114">
        <v>-1</v>
      </c>
      <c r="X108" s="8">
        <v>0</v>
      </c>
      <c r="Y108" s="8">
        <v>0</v>
      </c>
      <c r="Z108" s="8">
        <v>0</v>
      </c>
      <c r="AA108" s="8">
        <v>-2</v>
      </c>
      <c r="AB108" s="8">
        <v>0</v>
      </c>
      <c r="AC108" s="8">
        <v>-3</v>
      </c>
      <c r="AD108" s="17" t="s">
        <v>29</v>
      </c>
      <c r="AE108" s="8">
        <f>VLOOKUP(Master201722[[#This Row],[Elevated Priority]],Epriority,2,)</f>
        <v>0</v>
      </c>
      <c r="AF108" s="8">
        <f>IF(Master201722[[#This Row],[Status]]="Active",Master201722[[#This Row],[Status_Score]],IF(C108="","",Q108+G108+S108+U108+AE108-5))</f>
        <v>54</v>
      </c>
      <c r="AG108" s="8"/>
      <c r="AH108" s="8">
        <v>2022</v>
      </c>
      <c r="AI108" s="8">
        <v>2024</v>
      </c>
      <c r="AJ108" s="10"/>
    </row>
    <row r="109" spans="1:36" hidden="1" x14ac:dyDescent="0.25">
      <c r="A109" s="103">
        <f t="shared" si="14"/>
        <v>103</v>
      </c>
      <c r="B109" s="10" t="s">
        <v>61</v>
      </c>
      <c r="C109" s="10" t="s">
        <v>795</v>
      </c>
      <c r="D109" s="10" t="s">
        <v>442</v>
      </c>
      <c r="E109" s="10" t="s">
        <v>443</v>
      </c>
      <c r="F109" s="10" t="s">
        <v>29</v>
      </c>
      <c r="G109" s="10">
        <f t="shared" si="13"/>
        <v>0</v>
      </c>
      <c r="H109" s="49"/>
      <c r="I109" s="49"/>
      <c r="J109" s="49">
        <f>Master201722[[#This Row],[Initial Budget]]-Master201722[[#This Row],[Previously Committed Funds]]</f>
        <v>0</v>
      </c>
      <c r="K109" s="49"/>
      <c r="L109" s="49"/>
      <c r="M109" s="97">
        <f>Master201722[[#This Row],[Design $ (Add/Deduct)]]+Master201722[[#This Row],[Construction $ (Add/Ded)]]</f>
        <v>0</v>
      </c>
      <c r="N109" s="32">
        <v>100000</v>
      </c>
      <c r="O109" s="8">
        <v>2018</v>
      </c>
      <c r="P109" s="10" t="s">
        <v>687</v>
      </c>
      <c r="Q109" s="8">
        <f t="shared" si="17"/>
        <v>30</v>
      </c>
      <c r="R109" s="8">
        <v>5</v>
      </c>
      <c r="S109" s="8">
        <f t="shared" si="15"/>
        <v>15</v>
      </c>
      <c r="T109" s="8" t="s">
        <v>43</v>
      </c>
      <c r="U109" s="8">
        <f t="shared" si="18"/>
        <v>16</v>
      </c>
      <c r="V109" s="8" t="s">
        <v>30</v>
      </c>
      <c r="W109" s="8">
        <v>0</v>
      </c>
      <c r="X109" s="8">
        <v>0</v>
      </c>
      <c r="Y109" s="8">
        <v>0</v>
      </c>
      <c r="Z109" s="8">
        <v>0</v>
      </c>
      <c r="AA109" s="8">
        <v>0</v>
      </c>
      <c r="AB109" s="8">
        <v>0</v>
      </c>
      <c r="AC109" s="8">
        <v>0</v>
      </c>
      <c r="AD109" s="17" t="s">
        <v>29</v>
      </c>
      <c r="AE109" s="8">
        <f>VLOOKUP(Master201722[[#This Row],[Elevated Priority]],Epriority,2,)</f>
        <v>0</v>
      </c>
      <c r="AF109" s="8">
        <f>IF(Master201722[[#This Row],[Status]]="Active",Master201722[[#This Row],[Status_Score]],IF(C109="","",Q109+G109+S109+U109+AE109-5))</f>
        <v>56</v>
      </c>
      <c r="AG109" s="8"/>
      <c r="AH109" s="8"/>
      <c r="AI109" s="8"/>
      <c r="AJ109" s="10"/>
    </row>
    <row r="110" spans="1:36" ht="90" x14ac:dyDescent="0.25">
      <c r="A110" s="103">
        <f t="shared" si="14"/>
        <v>104</v>
      </c>
      <c r="B110" s="10" t="s">
        <v>71</v>
      </c>
      <c r="C110" s="10" t="s">
        <v>455</v>
      </c>
      <c r="D110" s="10" t="s">
        <v>904</v>
      </c>
      <c r="E110" s="10" t="s">
        <v>905</v>
      </c>
      <c r="F110" s="10" t="s">
        <v>29</v>
      </c>
      <c r="G110" s="10">
        <f t="shared" si="13"/>
        <v>0</v>
      </c>
      <c r="H110" s="49"/>
      <c r="I110" s="49"/>
      <c r="J110" s="49">
        <f>Master201722[[#This Row],[Initial Budget]]-Master201722[[#This Row],[Previously Committed Funds]]</f>
        <v>0</v>
      </c>
      <c r="K110" s="49"/>
      <c r="L110" s="49"/>
      <c r="M110" s="97">
        <f>Master201722[[#This Row],[Design $ (Add/Deduct)]]+Master201722[[#This Row],[Construction $ (Add/Ded)]]</f>
        <v>0</v>
      </c>
      <c r="N110" s="32">
        <v>8000000</v>
      </c>
      <c r="O110" s="8">
        <v>2018</v>
      </c>
      <c r="P110" s="10" t="s">
        <v>46</v>
      </c>
      <c r="Q110" s="8">
        <f t="shared" si="17"/>
        <v>50</v>
      </c>
      <c r="R110" s="8">
        <v>1</v>
      </c>
      <c r="S110" s="8">
        <f t="shared" si="15"/>
        <v>3</v>
      </c>
      <c r="T110" s="8" t="s">
        <v>37</v>
      </c>
      <c r="U110" s="8">
        <f t="shared" si="18"/>
        <v>3</v>
      </c>
      <c r="V110" s="8" t="s">
        <v>34</v>
      </c>
      <c r="W110" s="114">
        <v>0</v>
      </c>
      <c r="X110" s="8">
        <v>0</v>
      </c>
      <c r="Y110" s="8">
        <v>0</v>
      </c>
      <c r="Z110" s="8">
        <v>0</v>
      </c>
      <c r="AA110" s="8">
        <v>-2</v>
      </c>
      <c r="AB110" s="8">
        <v>-1</v>
      </c>
      <c r="AC110" s="8">
        <v>0</v>
      </c>
      <c r="AD110" s="17" t="s">
        <v>29</v>
      </c>
      <c r="AE110" s="8">
        <f>VLOOKUP(Master201722[[#This Row],[Elevated Priority]],Epriority,2,)</f>
        <v>0</v>
      </c>
      <c r="AF110" s="8">
        <f>IF(Master201722[[#This Row],[Status]]="Active",Master201722[[#This Row],[Status_Score]],IF(C110="","",Q110+G110+S110+U110+AE110-5))</f>
        <v>51</v>
      </c>
      <c r="AG110" s="8"/>
      <c r="AH110" s="8">
        <v>2022</v>
      </c>
      <c r="AI110" s="8">
        <v>2024</v>
      </c>
      <c r="AJ110" s="10" t="s">
        <v>982</v>
      </c>
    </row>
    <row r="111" spans="1:36" ht="30" x14ac:dyDescent="0.25">
      <c r="A111" s="103">
        <f t="shared" si="14"/>
        <v>105</v>
      </c>
      <c r="B111" s="10" t="s">
        <v>70</v>
      </c>
      <c r="C111" s="10" t="s">
        <v>694</v>
      </c>
      <c r="D111" s="10" t="s">
        <v>700</v>
      </c>
      <c r="E111" s="10"/>
      <c r="F111" s="10" t="s">
        <v>29</v>
      </c>
      <c r="G111" s="10">
        <f t="shared" ref="G111:G142" si="19">VLOOKUP(F111,Status_Score,2,FALSE)</f>
        <v>0</v>
      </c>
      <c r="H111" s="49"/>
      <c r="I111" s="49"/>
      <c r="J111" s="49">
        <f>Master201722[[#This Row],[Initial Budget]]-Master201722[[#This Row],[Previously Committed Funds]]</f>
        <v>0</v>
      </c>
      <c r="K111" s="49"/>
      <c r="L111" s="49"/>
      <c r="M111" s="97">
        <f>Master201722[[#This Row],[Design $ (Add/Deduct)]]+Master201722[[#This Row],[Construction $ (Add/Ded)]]</f>
        <v>0</v>
      </c>
      <c r="N111" s="32">
        <v>5000000</v>
      </c>
      <c r="O111" s="8">
        <v>2019</v>
      </c>
      <c r="P111" s="10" t="s">
        <v>46</v>
      </c>
      <c r="Q111" s="8">
        <f t="shared" si="17"/>
        <v>50</v>
      </c>
      <c r="R111" s="8">
        <v>4</v>
      </c>
      <c r="S111" s="8">
        <f t="shared" si="15"/>
        <v>12</v>
      </c>
      <c r="T111" s="8" t="s">
        <v>43</v>
      </c>
      <c r="V111" s="8" t="s">
        <v>34</v>
      </c>
      <c r="W111" s="114">
        <v>0</v>
      </c>
      <c r="X111" s="8">
        <v>0</v>
      </c>
      <c r="Y111" s="8">
        <v>-3</v>
      </c>
      <c r="Z111" s="8">
        <v>-3</v>
      </c>
      <c r="AA111" s="8">
        <v>-2</v>
      </c>
      <c r="AB111" s="8">
        <v>0</v>
      </c>
      <c r="AC111" s="8">
        <v>0</v>
      </c>
      <c r="AD111" s="17" t="s">
        <v>29</v>
      </c>
      <c r="AE111" s="8">
        <f>VLOOKUP(Master201722[[#This Row],[Elevated Priority]],Epriority,2,)</f>
        <v>0</v>
      </c>
      <c r="AF111" s="8">
        <f>IF(Master201722[[#This Row],[Status]]="Active",Master201722[[#This Row],[Status_Score]],IF(C111="","",Q111+G111+S111+U111+AE111-5))</f>
        <v>57</v>
      </c>
      <c r="AG111" s="8"/>
      <c r="AH111" s="8">
        <v>2022</v>
      </c>
      <c r="AI111" s="8">
        <v>2023</v>
      </c>
      <c r="AJ111" s="10"/>
    </row>
    <row r="112" spans="1:36" ht="30" hidden="1" x14ac:dyDescent="0.25">
      <c r="A112" s="103">
        <f t="shared" si="14"/>
        <v>106</v>
      </c>
      <c r="B112" s="10" t="s">
        <v>70</v>
      </c>
      <c r="C112" s="10" t="s">
        <v>366</v>
      </c>
      <c r="D112" s="10" t="s">
        <v>367</v>
      </c>
      <c r="E112" s="10" t="s">
        <v>368</v>
      </c>
      <c r="F112" s="10" t="s">
        <v>29</v>
      </c>
      <c r="G112" s="10">
        <f t="shared" si="19"/>
        <v>0</v>
      </c>
      <c r="H112" s="49"/>
      <c r="I112" s="49"/>
      <c r="J112" s="49">
        <f>Master201722[[#This Row],[Initial Budget]]-Master201722[[#This Row],[Previously Committed Funds]]</f>
        <v>0</v>
      </c>
      <c r="K112" s="49"/>
      <c r="L112" s="49"/>
      <c r="M112" s="97">
        <f>Master201722[[#This Row],[Design $ (Add/Deduct)]]+Master201722[[#This Row],[Construction $ (Add/Ded)]]</f>
        <v>0</v>
      </c>
      <c r="N112" s="32">
        <v>5000</v>
      </c>
      <c r="O112" s="8">
        <v>2018</v>
      </c>
      <c r="P112" s="10" t="s">
        <v>686</v>
      </c>
      <c r="Q112" s="8">
        <f t="shared" si="17"/>
        <v>60</v>
      </c>
      <c r="R112" s="8">
        <v>3</v>
      </c>
      <c r="S112" s="8">
        <f t="shared" si="15"/>
        <v>9</v>
      </c>
      <c r="T112" s="8" t="s">
        <v>41</v>
      </c>
      <c r="U112" s="8">
        <f>VLOOKUP(T112,Urgency,2,FALSE)</f>
        <v>4</v>
      </c>
      <c r="V112" s="8" t="s">
        <v>30</v>
      </c>
      <c r="W112" s="8">
        <v>0</v>
      </c>
      <c r="X112" s="8">
        <v>0</v>
      </c>
      <c r="Y112" s="8">
        <v>0</v>
      </c>
      <c r="Z112" s="8">
        <v>0</v>
      </c>
      <c r="AA112" s="8">
        <v>0</v>
      </c>
      <c r="AB112" s="8">
        <v>0</v>
      </c>
      <c r="AC112" s="8">
        <v>0</v>
      </c>
      <c r="AD112" s="17" t="s">
        <v>29</v>
      </c>
      <c r="AE112" s="8">
        <f>VLOOKUP(Master201722[[#This Row],[Elevated Priority]],Epriority,2,)</f>
        <v>0</v>
      </c>
      <c r="AF112" s="8">
        <f>IF(Master201722[[#This Row],[Status]]="Active",Master201722[[#This Row],[Status_Score]],IF(C112="","",Q112+G112+S112+U112+AE112-5))</f>
        <v>68</v>
      </c>
      <c r="AG112" s="8"/>
      <c r="AH112" s="8">
        <v>2023</v>
      </c>
      <c r="AI112" s="8">
        <v>2024</v>
      </c>
      <c r="AJ112" s="10"/>
    </row>
    <row r="113" spans="1:36" ht="60" x14ac:dyDescent="0.25">
      <c r="A113" s="103">
        <f t="shared" si="14"/>
        <v>107</v>
      </c>
      <c r="B113" s="125" t="s">
        <v>79</v>
      </c>
      <c r="C113" s="1" t="s">
        <v>783</v>
      </c>
      <c r="D113" s="10" t="s">
        <v>785</v>
      </c>
      <c r="E113" s="10" t="s">
        <v>804</v>
      </c>
      <c r="F113" s="10" t="s">
        <v>29</v>
      </c>
      <c r="G113" s="10">
        <f t="shared" si="19"/>
        <v>0</v>
      </c>
      <c r="H113" s="49"/>
      <c r="I113" s="49"/>
      <c r="J113" s="49">
        <f>Master201722[[#This Row],[Initial Budget]]-Master201722[[#This Row],[Previously Committed Funds]]</f>
        <v>0</v>
      </c>
      <c r="K113" s="49"/>
      <c r="L113" s="49"/>
      <c r="M113" s="97">
        <f>Master201722[[#This Row],[Design $ (Add/Deduct)]]+Master201722[[#This Row],[Construction $ (Add/Ded)]]</f>
        <v>0</v>
      </c>
      <c r="N113" s="32">
        <v>100000</v>
      </c>
      <c r="O113" s="8">
        <v>2017</v>
      </c>
      <c r="P113" s="10" t="s">
        <v>686</v>
      </c>
      <c r="Q113" s="8">
        <f t="shared" si="17"/>
        <v>60</v>
      </c>
      <c r="R113" s="8">
        <v>1</v>
      </c>
      <c r="S113" s="8">
        <f t="shared" si="15"/>
        <v>3</v>
      </c>
      <c r="T113" s="8" t="s">
        <v>43</v>
      </c>
      <c r="U113" s="8">
        <f>VLOOKUP(T113,Urgency,2,FALSE)</f>
        <v>16</v>
      </c>
      <c r="V113" s="8" t="s">
        <v>34</v>
      </c>
      <c r="W113" s="114">
        <v>0</v>
      </c>
      <c r="X113" s="8">
        <v>0</v>
      </c>
      <c r="Y113" s="8">
        <v>0</v>
      </c>
      <c r="Z113" s="8">
        <v>0</v>
      </c>
      <c r="AA113" s="8">
        <v>0</v>
      </c>
      <c r="AB113" s="8">
        <v>0</v>
      </c>
      <c r="AC113" s="8">
        <v>-3</v>
      </c>
      <c r="AD113" s="17" t="s">
        <v>29</v>
      </c>
      <c r="AE113" s="8">
        <f>VLOOKUP(Master201722[[#This Row],[Elevated Priority]],Epriority,2,)</f>
        <v>0</v>
      </c>
      <c r="AF113" s="8">
        <f>IF(Master201722[[#This Row],[Status]]="Active",Master201722[[#This Row],[Status_Score]],IF(C113="","",Q113+G113+S113+U113+AE113-5))</f>
        <v>74</v>
      </c>
      <c r="AG113" s="8"/>
      <c r="AH113" s="8"/>
      <c r="AI113" s="8"/>
      <c r="AJ113" s="10"/>
    </row>
    <row r="114" spans="1:36" ht="30" x14ac:dyDescent="0.25">
      <c r="A114" s="103">
        <f t="shared" si="14"/>
        <v>108</v>
      </c>
      <c r="B114" s="10" t="s">
        <v>152</v>
      </c>
      <c r="C114" s="10" t="s">
        <v>926</v>
      </c>
      <c r="D114" s="10" t="s">
        <v>927</v>
      </c>
      <c r="E114" s="10" t="s">
        <v>928</v>
      </c>
      <c r="F114" s="10" t="s">
        <v>29</v>
      </c>
      <c r="G114" s="105">
        <f t="shared" si="19"/>
        <v>0</v>
      </c>
      <c r="H114" s="49"/>
      <c r="I114" s="49"/>
      <c r="J114" s="49">
        <f>Master201722[[#This Row],[Initial Budget]]-Master201722[[#This Row],[Previously Committed Funds]]</f>
        <v>0</v>
      </c>
      <c r="K114" s="49"/>
      <c r="L114" s="49"/>
      <c r="M114" s="97">
        <f>Master201722[[#This Row],[Design $ (Add/Deduct)]]+Master201722[[#This Row],[Construction $ (Add/Ded)]]</f>
        <v>0</v>
      </c>
      <c r="N114" s="32">
        <v>5000000</v>
      </c>
      <c r="O114" s="8">
        <v>2020</v>
      </c>
      <c r="P114" s="10" t="s">
        <v>46</v>
      </c>
      <c r="Q114" s="8">
        <f t="shared" si="17"/>
        <v>50</v>
      </c>
      <c r="R114" s="8">
        <v>1</v>
      </c>
      <c r="S114" s="8">
        <f t="shared" si="15"/>
        <v>3</v>
      </c>
      <c r="T114" s="8" t="s">
        <v>43</v>
      </c>
      <c r="U114" s="8">
        <f>VLOOKUP(T114,Urgency,2,FALSE)</f>
        <v>16</v>
      </c>
      <c r="V114" s="8" t="s">
        <v>34</v>
      </c>
      <c r="W114" s="114">
        <v>-5</v>
      </c>
      <c r="X114" s="8">
        <v>0</v>
      </c>
      <c r="Y114" s="8">
        <v>-3</v>
      </c>
      <c r="Z114" s="8">
        <v>-3</v>
      </c>
      <c r="AA114" s="8">
        <v>-2</v>
      </c>
      <c r="AB114" s="8">
        <v>0</v>
      </c>
      <c r="AC114" s="8">
        <v>0</v>
      </c>
      <c r="AD114" s="17" t="s">
        <v>29</v>
      </c>
      <c r="AE114" s="8">
        <f>VLOOKUP(Master201722[[#This Row],[Elevated Priority]],Epriority,2,)</f>
        <v>0</v>
      </c>
      <c r="AF114" s="8">
        <f>IF(Master201722[[#This Row],[Status]]="Active",Master201722[[#This Row],[Status_Score]],IF(C114="","",Q114+G114+S114+U114+AE114-5))</f>
        <v>64</v>
      </c>
      <c r="AG114" s="8"/>
      <c r="AH114" s="8">
        <v>2021</v>
      </c>
      <c r="AI114" s="8">
        <v>2023</v>
      </c>
      <c r="AJ114" s="10" t="s">
        <v>983</v>
      </c>
    </row>
    <row r="115" spans="1:36" ht="30" x14ac:dyDescent="0.25">
      <c r="A115" s="103">
        <f t="shared" si="14"/>
        <v>109</v>
      </c>
      <c r="B115" s="10" t="s">
        <v>70</v>
      </c>
      <c r="C115" s="10" t="s">
        <v>695</v>
      </c>
      <c r="D115" s="10" t="s">
        <v>701</v>
      </c>
      <c r="E115" s="10"/>
      <c r="F115" s="10" t="s">
        <v>29</v>
      </c>
      <c r="G115" s="10">
        <f t="shared" si="19"/>
        <v>0</v>
      </c>
      <c r="H115" s="49"/>
      <c r="I115" s="49"/>
      <c r="J115" s="49">
        <f>Master201722[[#This Row],[Initial Budget]]-Master201722[[#This Row],[Previously Committed Funds]]</f>
        <v>0</v>
      </c>
      <c r="K115" s="49"/>
      <c r="L115" s="49"/>
      <c r="M115" s="97">
        <f>Master201722[[#This Row],[Design $ (Add/Deduct)]]+Master201722[[#This Row],[Construction $ (Add/Ded)]]</f>
        <v>0</v>
      </c>
      <c r="N115" s="32">
        <v>5000000</v>
      </c>
      <c r="O115" s="8">
        <v>2019</v>
      </c>
      <c r="P115" s="10" t="s">
        <v>46</v>
      </c>
      <c r="Q115" s="8">
        <f t="shared" si="17"/>
        <v>50</v>
      </c>
      <c r="R115" s="8">
        <v>5</v>
      </c>
      <c r="S115" s="8">
        <f t="shared" si="15"/>
        <v>15</v>
      </c>
      <c r="T115" s="8" t="s">
        <v>45</v>
      </c>
      <c r="V115" s="8" t="s">
        <v>34</v>
      </c>
      <c r="W115" s="114">
        <v>0</v>
      </c>
      <c r="X115" s="8">
        <v>0</v>
      </c>
      <c r="Y115" s="8">
        <v>-3</v>
      </c>
      <c r="Z115" s="8">
        <v>-3</v>
      </c>
      <c r="AA115" s="8">
        <v>-2</v>
      </c>
      <c r="AB115" s="8">
        <v>0</v>
      </c>
      <c r="AC115" s="8">
        <v>0</v>
      </c>
      <c r="AD115" s="17" t="s">
        <v>29</v>
      </c>
      <c r="AE115" s="8">
        <f>VLOOKUP(Master201722[[#This Row],[Elevated Priority]],Epriority,2,)</f>
        <v>0</v>
      </c>
      <c r="AF115" s="8">
        <f>IF(Master201722[[#This Row],[Status]]="Active",Master201722[[#This Row],[Status_Score]],IF(C115="","",Q115+G115+S115+U115+AE115-5))</f>
        <v>60</v>
      </c>
      <c r="AG115" s="8"/>
      <c r="AH115" s="8">
        <v>2023</v>
      </c>
      <c r="AI115" s="8">
        <v>2024</v>
      </c>
      <c r="AJ115" s="10"/>
    </row>
    <row r="116" spans="1:36" ht="89.25" hidden="1" customHeight="1" x14ac:dyDescent="0.25">
      <c r="A116" s="103">
        <f t="shared" si="14"/>
        <v>110</v>
      </c>
      <c r="B116" s="10" t="s">
        <v>214</v>
      </c>
      <c r="C116" s="10" t="s">
        <v>447</v>
      </c>
      <c r="D116" s="10" t="s">
        <v>448</v>
      </c>
      <c r="E116" s="10" t="s">
        <v>449</v>
      </c>
      <c r="F116" s="10" t="s">
        <v>29</v>
      </c>
      <c r="G116" s="10">
        <f t="shared" si="19"/>
        <v>0</v>
      </c>
      <c r="H116" s="49"/>
      <c r="I116" s="49"/>
      <c r="J116" s="49">
        <f>Master201722[[#This Row],[Initial Budget]]-Master201722[[#This Row],[Previously Committed Funds]]</f>
        <v>0</v>
      </c>
      <c r="K116" s="49"/>
      <c r="L116" s="49"/>
      <c r="M116" s="97">
        <f>Master201722[[#This Row],[Design $ (Add/Deduct)]]+Master201722[[#This Row],[Construction $ (Add/Ded)]]</f>
        <v>0</v>
      </c>
      <c r="N116" s="32">
        <v>200000</v>
      </c>
      <c r="O116" s="8">
        <v>2018</v>
      </c>
      <c r="P116" s="10" t="s">
        <v>687</v>
      </c>
      <c r="Q116" s="8">
        <f t="shared" si="17"/>
        <v>30</v>
      </c>
      <c r="R116" s="8">
        <v>6</v>
      </c>
      <c r="S116" s="8">
        <f t="shared" si="15"/>
        <v>18</v>
      </c>
      <c r="T116" s="8" t="s">
        <v>43</v>
      </c>
      <c r="U116" s="8">
        <f t="shared" ref="U116:U130" si="20">VLOOKUP(T116,Urgency,2,FALSE)</f>
        <v>16</v>
      </c>
      <c r="V116" s="8" t="s">
        <v>30</v>
      </c>
      <c r="W116" s="8">
        <v>0</v>
      </c>
      <c r="X116" s="8">
        <v>0</v>
      </c>
      <c r="Y116" s="8">
        <v>0</v>
      </c>
      <c r="Z116" s="8">
        <v>0</v>
      </c>
      <c r="AA116" s="8">
        <v>0</v>
      </c>
      <c r="AB116" s="8">
        <v>0</v>
      </c>
      <c r="AC116" s="8">
        <v>0</v>
      </c>
      <c r="AD116" s="17" t="s">
        <v>29</v>
      </c>
      <c r="AE116" s="8">
        <f>VLOOKUP(Master201722[[#This Row],[Elevated Priority]],Epriority,2,)</f>
        <v>0</v>
      </c>
      <c r="AF116" s="8">
        <f>IF(Master201722[[#This Row],[Status]]="Active",Master201722[[#This Row],[Status_Score]],IF(C116="","",Q116+G116+S116+U116+AE116-5))</f>
        <v>59</v>
      </c>
      <c r="AG116" s="8"/>
      <c r="AH116" s="8"/>
      <c r="AI116" s="8"/>
      <c r="AJ116" s="10"/>
    </row>
    <row r="117" spans="1:36" ht="30" hidden="1" x14ac:dyDescent="0.25">
      <c r="A117" s="103">
        <f t="shared" si="14"/>
        <v>111</v>
      </c>
      <c r="B117" s="10" t="s">
        <v>91</v>
      </c>
      <c r="C117" s="48" t="s">
        <v>453</v>
      </c>
      <c r="D117" s="10" t="s">
        <v>454</v>
      </c>
      <c r="E117" s="10"/>
      <c r="F117" s="10" t="s">
        <v>29</v>
      </c>
      <c r="G117" s="10">
        <f t="shared" si="19"/>
        <v>0</v>
      </c>
      <c r="H117" s="49"/>
      <c r="I117" s="49"/>
      <c r="J117" s="49">
        <f>Master201722[[#This Row],[Initial Budget]]-Master201722[[#This Row],[Previously Committed Funds]]</f>
        <v>0</v>
      </c>
      <c r="K117" s="49"/>
      <c r="L117" s="49"/>
      <c r="M117" s="97">
        <f>Master201722[[#This Row],[Design $ (Add/Deduct)]]+Master201722[[#This Row],[Construction $ (Add/Ded)]]</f>
        <v>0</v>
      </c>
      <c r="N117" s="32">
        <v>60000</v>
      </c>
      <c r="O117" s="8">
        <v>2018</v>
      </c>
      <c r="P117" s="10" t="s">
        <v>687</v>
      </c>
      <c r="Q117" s="8">
        <f t="shared" si="17"/>
        <v>30</v>
      </c>
      <c r="R117" s="8">
        <v>8</v>
      </c>
      <c r="S117" s="8">
        <f t="shared" ref="S117:S148" si="21">VLOOKUP(R117,Department,2,FALSE)</f>
        <v>20</v>
      </c>
      <c r="T117" s="8" t="s">
        <v>43</v>
      </c>
      <c r="U117" s="8">
        <f t="shared" si="20"/>
        <v>16</v>
      </c>
      <c r="V117" s="8" t="s">
        <v>30</v>
      </c>
      <c r="W117" s="8">
        <v>0</v>
      </c>
      <c r="X117" s="8">
        <v>0</v>
      </c>
      <c r="Y117" s="8">
        <v>0</v>
      </c>
      <c r="Z117" s="8">
        <v>0</v>
      </c>
      <c r="AA117" s="8">
        <v>0</v>
      </c>
      <c r="AB117" s="8">
        <v>0</v>
      </c>
      <c r="AC117" s="8">
        <v>0</v>
      </c>
      <c r="AD117" s="17" t="s">
        <v>29</v>
      </c>
      <c r="AE117" s="8">
        <f>VLOOKUP(Master201722[[#This Row],[Elevated Priority]],Epriority,2,)</f>
        <v>0</v>
      </c>
      <c r="AF117" s="8">
        <f>IF(Master201722[[#This Row],[Status]]="Active",Master201722[[#This Row],[Status_Score]],IF(C117="","",Q117+G117+S117+U117+AE117-5))</f>
        <v>61</v>
      </c>
      <c r="AG117" s="8"/>
      <c r="AH117" s="8">
        <v>2023</v>
      </c>
      <c r="AI117" s="8">
        <v>2024</v>
      </c>
      <c r="AJ117" s="10"/>
    </row>
    <row r="118" spans="1:36" ht="107.25" customHeight="1" x14ac:dyDescent="0.25">
      <c r="A118" s="103">
        <f t="shared" si="14"/>
        <v>112</v>
      </c>
      <c r="B118" s="10" t="s">
        <v>143</v>
      </c>
      <c r="C118" s="10" t="s">
        <v>166</v>
      </c>
      <c r="D118" s="10" t="s">
        <v>167</v>
      </c>
      <c r="E118" s="10" t="s">
        <v>763</v>
      </c>
      <c r="F118" s="10" t="s">
        <v>29</v>
      </c>
      <c r="G118" s="10">
        <f t="shared" si="19"/>
        <v>0</v>
      </c>
      <c r="H118" s="49"/>
      <c r="I118" s="49"/>
      <c r="J118" s="49">
        <f>Master201722[[#This Row],[Initial Budget]]-Master201722[[#This Row],[Previously Committed Funds]]</f>
        <v>0</v>
      </c>
      <c r="K118" s="49"/>
      <c r="L118" s="49"/>
      <c r="M118" s="97">
        <f>Master201722[[#This Row],[Design $ (Add/Deduct)]]+Master201722[[#This Row],[Construction $ (Add/Ded)]]</f>
        <v>0</v>
      </c>
      <c r="N118" s="49">
        <v>40000</v>
      </c>
      <c r="O118" s="8">
        <v>2018</v>
      </c>
      <c r="P118" s="10" t="s">
        <v>686</v>
      </c>
      <c r="Q118" s="8">
        <f t="shared" si="17"/>
        <v>60</v>
      </c>
      <c r="R118" s="17">
        <v>5</v>
      </c>
      <c r="S118" s="8">
        <f t="shared" si="21"/>
        <v>15</v>
      </c>
      <c r="T118" s="17" t="s">
        <v>41</v>
      </c>
      <c r="U118" s="8">
        <f t="shared" si="20"/>
        <v>4</v>
      </c>
      <c r="V118" s="8" t="s">
        <v>34</v>
      </c>
      <c r="W118" s="114">
        <v>0</v>
      </c>
      <c r="X118" s="8">
        <v>0</v>
      </c>
      <c r="Y118" s="8">
        <v>0</v>
      </c>
      <c r="Z118" s="8">
        <v>0</v>
      </c>
      <c r="AA118" s="8">
        <v>0</v>
      </c>
      <c r="AB118" s="8">
        <v>0</v>
      </c>
      <c r="AC118" s="8">
        <v>-1</v>
      </c>
      <c r="AD118" s="17" t="s">
        <v>29</v>
      </c>
      <c r="AE118" s="8">
        <f>VLOOKUP(Master201722[[#This Row],[Elevated Priority]],Epriority,2,)</f>
        <v>0</v>
      </c>
      <c r="AF118" s="8">
        <f>IF(Master201722[[#This Row],[Status]]="Active",Master201722[[#This Row],[Status_Score]],IF(C118="","",Q118+G118+S118+U118+AE118-5))</f>
        <v>74</v>
      </c>
      <c r="AG118" s="8"/>
      <c r="AH118" s="8"/>
      <c r="AI118" s="8"/>
      <c r="AJ118" s="10"/>
    </row>
    <row r="119" spans="1:36" ht="30" x14ac:dyDescent="0.25">
      <c r="A119" s="103">
        <f t="shared" si="14"/>
        <v>113</v>
      </c>
      <c r="B119" s="10" t="s">
        <v>61</v>
      </c>
      <c r="C119" s="10" t="s">
        <v>473</v>
      </c>
      <c r="D119" s="10" t="s">
        <v>474</v>
      </c>
      <c r="E119" s="10" t="s">
        <v>475</v>
      </c>
      <c r="F119" s="10" t="s">
        <v>29</v>
      </c>
      <c r="G119" s="10">
        <f t="shared" si="19"/>
        <v>0</v>
      </c>
      <c r="H119" s="49"/>
      <c r="I119" s="49"/>
      <c r="J119" s="49">
        <f>Master201722[[#This Row],[Initial Budget]]-Master201722[[#This Row],[Previously Committed Funds]]</f>
        <v>0</v>
      </c>
      <c r="K119" s="49"/>
      <c r="L119" s="49"/>
      <c r="M119" s="97">
        <f>Master201722[[#This Row],[Design $ (Add/Deduct)]]+Master201722[[#This Row],[Construction $ (Add/Ded)]]</f>
        <v>0</v>
      </c>
      <c r="N119" s="32">
        <v>150000</v>
      </c>
      <c r="O119" s="8">
        <v>2018</v>
      </c>
      <c r="P119" s="10" t="s">
        <v>686</v>
      </c>
      <c r="Q119" s="8">
        <f t="shared" si="17"/>
        <v>60</v>
      </c>
      <c r="R119" s="8">
        <v>4</v>
      </c>
      <c r="S119" s="8">
        <f t="shared" si="21"/>
        <v>12</v>
      </c>
      <c r="T119" s="8" t="s">
        <v>43</v>
      </c>
      <c r="U119" s="8">
        <f t="shared" si="20"/>
        <v>16</v>
      </c>
      <c r="V119" s="8" t="s">
        <v>34</v>
      </c>
      <c r="W119" s="114">
        <v>0</v>
      </c>
      <c r="X119" s="8">
        <v>0</v>
      </c>
      <c r="Y119" s="8">
        <v>0</v>
      </c>
      <c r="Z119" s="8">
        <v>0</v>
      </c>
      <c r="AA119" s="8">
        <v>0</v>
      </c>
      <c r="AB119" s="8">
        <v>-5</v>
      </c>
      <c r="AC119" s="8">
        <v>-3</v>
      </c>
      <c r="AD119" s="17" t="s">
        <v>29</v>
      </c>
      <c r="AE119" s="8">
        <f>VLOOKUP(Master201722[[#This Row],[Elevated Priority]],Epriority,2,)</f>
        <v>0</v>
      </c>
      <c r="AF119" s="8">
        <f>IF(Master201722[[#This Row],[Status]]="Active",Master201722[[#This Row],[Status_Score]],IF(C119="","",Q119+G119+S119+U119+AE119-5))</f>
        <v>83</v>
      </c>
      <c r="AG119" s="8"/>
      <c r="AH119" s="8"/>
      <c r="AI119" s="8"/>
      <c r="AJ119" s="10" t="s">
        <v>984</v>
      </c>
    </row>
    <row r="120" spans="1:36" ht="90" hidden="1" x14ac:dyDescent="0.25">
      <c r="A120" s="103">
        <f t="shared" si="14"/>
        <v>114</v>
      </c>
      <c r="B120" s="125" t="s">
        <v>91</v>
      </c>
      <c r="C120" s="67" t="s">
        <v>806</v>
      </c>
      <c r="D120" s="67" t="s">
        <v>793</v>
      </c>
      <c r="E120" s="67" t="s">
        <v>807</v>
      </c>
      <c r="F120" s="10" t="s">
        <v>29</v>
      </c>
      <c r="G120" s="10">
        <f t="shared" si="19"/>
        <v>0</v>
      </c>
      <c r="H120" s="49"/>
      <c r="I120" s="49"/>
      <c r="J120" s="49">
        <f>Master201722[[#This Row],[Initial Budget]]-Master201722[[#This Row],[Previously Committed Funds]]</f>
        <v>0</v>
      </c>
      <c r="K120" s="49">
        <v>40000</v>
      </c>
      <c r="L120" s="49"/>
      <c r="M120" s="97">
        <f>Master201722[[#This Row],[Design $ (Add/Deduct)]]+Master201722[[#This Row],[Construction $ (Add/Ded)]]</f>
        <v>40000</v>
      </c>
      <c r="N120" s="32">
        <v>275000</v>
      </c>
      <c r="O120" s="8">
        <v>2020</v>
      </c>
      <c r="P120" s="10" t="s">
        <v>46</v>
      </c>
      <c r="Q120" s="8">
        <f t="shared" ref="Q120:Q151" si="22">VLOOKUP(P120,Importance,2,FALSE)</f>
        <v>50</v>
      </c>
      <c r="R120" s="8">
        <v>1</v>
      </c>
      <c r="S120" s="8">
        <f t="shared" si="21"/>
        <v>3</v>
      </c>
      <c r="T120" s="8" t="s">
        <v>41</v>
      </c>
      <c r="U120" s="8">
        <f t="shared" si="20"/>
        <v>4</v>
      </c>
      <c r="V120" s="8" t="s">
        <v>30</v>
      </c>
      <c r="W120" s="8">
        <v>0</v>
      </c>
      <c r="X120" s="8">
        <v>0</v>
      </c>
      <c r="Y120" s="8">
        <v>0</v>
      </c>
      <c r="Z120" s="8">
        <v>0</v>
      </c>
      <c r="AA120" s="8">
        <v>0</v>
      </c>
      <c r="AB120" s="8">
        <v>0</v>
      </c>
      <c r="AC120" s="8">
        <v>0</v>
      </c>
      <c r="AD120" s="17" t="s">
        <v>29</v>
      </c>
      <c r="AE120" s="8">
        <f>VLOOKUP(Master201722[[#This Row],[Elevated Priority]],Epriority,2,)</f>
        <v>0</v>
      </c>
      <c r="AF120" s="8">
        <f>IF(Master201722[[#This Row],[Status]]="Active",Master201722[[#This Row],[Status_Score]],IF(C120="","",Q120+G120+S120+U120+AE120-5))</f>
        <v>52</v>
      </c>
      <c r="AG120" s="8"/>
      <c r="AH120" s="8"/>
      <c r="AI120" s="8"/>
      <c r="AJ120" s="10"/>
    </row>
    <row r="121" spans="1:36" ht="30" hidden="1" x14ac:dyDescent="0.25">
      <c r="A121" s="103">
        <f t="shared" si="14"/>
        <v>115</v>
      </c>
      <c r="B121" s="10" t="s">
        <v>214</v>
      </c>
      <c r="C121" s="10" t="s">
        <v>459</v>
      </c>
      <c r="D121" s="10" t="s">
        <v>460</v>
      </c>
      <c r="E121" s="10" t="s">
        <v>461</v>
      </c>
      <c r="F121" s="10" t="s">
        <v>29</v>
      </c>
      <c r="G121" s="10">
        <f t="shared" si="19"/>
        <v>0</v>
      </c>
      <c r="H121" s="49"/>
      <c r="I121" s="49"/>
      <c r="J121" s="49">
        <f>Master201722[[#This Row],[Initial Budget]]-Master201722[[#This Row],[Previously Committed Funds]]</f>
        <v>0</v>
      </c>
      <c r="K121" s="49"/>
      <c r="L121" s="49"/>
      <c r="M121" s="97">
        <f>Master201722[[#This Row],[Design $ (Add/Deduct)]]+Master201722[[#This Row],[Construction $ (Add/Ded)]]</f>
        <v>0</v>
      </c>
      <c r="N121" s="32">
        <v>65000</v>
      </c>
      <c r="O121" s="8">
        <v>2018</v>
      </c>
      <c r="P121" s="10" t="s">
        <v>688</v>
      </c>
      <c r="Q121" s="8">
        <f t="shared" si="22"/>
        <v>20</v>
      </c>
      <c r="R121" s="8">
        <v>5</v>
      </c>
      <c r="S121" s="8">
        <f t="shared" si="21"/>
        <v>15</v>
      </c>
      <c r="T121" s="8" t="s">
        <v>45</v>
      </c>
      <c r="U121" s="8">
        <f t="shared" si="20"/>
        <v>32</v>
      </c>
      <c r="V121" s="8" t="s">
        <v>30</v>
      </c>
      <c r="W121" s="8">
        <v>0</v>
      </c>
      <c r="X121" s="8">
        <v>0</v>
      </c>
      <c r="Y121" s="8">
        <v>0</v>
      </c>
      <c r="Z121" s="8">
        <v>0</v>
      </c>
      <c r="AA121" s="8">
        <v>0</v>
      </c>
      <c r="AB121" s="8">
        <v>0</v>
      </c>
      <c r="AC121" s="8">
        <v>0</v>
      </c>
      <c r="AD121" s="17" t="s">
        <v>29</v>
      </c>
      <c r="AE121" s="8">
        <f>VLOOKUP(Master201722[[#This Row],[Elevated Priority]],Epriority,2,)</f>
        <v>0</v>
      </c>
      <c r="AF121" s="8">
        <f>IF(Master201722[[#This Row],[Status]]="Active",Master201722[[#This Row],[Status_Score]],IF(C121="","",Q121+G121+S121+U121+AE121-5))</f>
        <v>62</v>
      </c>
      <c r="AG121" s="8"/>
      <c r="AH121" s="8"/>
      <c r="AI121" s="8"/>
      <c r="AJ121" s="10"/>
    </row>
    <row r="122" spans="1:36" ht="30" x14ac:dyDescent="0.25">
      <c r="A122" s="103">
        <f t="shared" si="14"/>
        <v>116</v>
      </c>
      <c r="B122" s="125" t="s">
        <v>61</v>
      </c>
      <c r="C122" s="127" t="s">
        <v>796</v>
      </c>
      <c r="D122" s="67" t="s">
        <v>808</v>
      </c>
      <c r="E122" s="110" t="s">
        <v>907</v>
      </c>
      <c r="F122" s="10" t="s">
        <v>29</v>
      </c>
      <c r="G122" s="10">
        <f t="shared" si="19"/>
        <v>0</v>
      </c>
      <c r="H122" s="49"/>
      <c r="I122" s="49"/>
      <c r="J122" s="49">
        <f>Master201722[[#This Row],[Initial Budget]]-Master201722[[#This Row],[Previously Committed Funds]]</f>
        <v>0</v>
      </c>
      <c r="K122" s="49"/>
      <c r="L122" s="49"/>
      <c r="M122" s="97">
        <f>Master201722[[#This Row],[Design $ (Add/Deduct)]]+Master201722[[#This Row],[Construction $ (Add/Ded)]]</f>
        <v>0</v>
      </c>
      <c r="N122" s="32">
        <v>350000</v>
      </c>
      <c r="O122" s="8">
        <v>2020</v>
      </c>
      <c r="P122" s="10" t="s">
        <v>46</v>
      </c>
      <c r="Q122" s="8">
        <f t="shared" si="22"/>
        <v>50</v>
      </c>
      <c r="R122" s="8">
        <v>2</v>
      </c>
      <c r="S122" s="8">
        <f t="shared" si="21"/>
        <v>6</v>
      </c>
      <c r="T122" s="8" t="s">
        <v>41</v>
      </c>
      <c r="U122" s="8">
        <f t="shared" si="20"/>
        <v>4</v>
      </c>
      <c r="V122" s="8" t="s">
        <v>34</v>
      </c>
      <c r="W122" s="114">
        <v>0</v>
      </c>
      <c r="X122" s="8">
        <v>0</v>
      </c>
      <c r="Y122" s="8">
        <v>0</v>
      </c>
      <c r="Z122" s="8">
        <v>0</v>
      </c>
      <c r="AA122" s="8">
        <v>0</v>
      </c>
      <c r="AB122" s="8">
        <v>0</v>
      </c>
      <c r="AC122" s="8">
        <v>0</v>
      </c>
      <c r="AD122" s="17" t="s">
        <v>29</v>
      </c>
      <c r="AE122" s="8">
        <f>VLOOKUP(Master201722[[#This Row],[Elevated Priority]],Epriority,2,)</f>
        <v>0</v>
      </c>
      <c r="AF122" s="8">
        <f>IF(Master201722[[#This Row],[Status]]="Active",Master201722[[#This Row],[Status_Score]],IF(C122="","",Q122+G122+S122+U122+AE122-5))</f>
        <v>55</v>
      </c>
      <c r="AG122" s="8"/>
      <c r="AH122" s="8"/>
      <c r="AI122" s="8"/>
      <c r="AJ122" s="10"/>
    </row>
    <row r="123" spans="1:36" ht="45" hidden="1" x14ac:dyDescent="0.25">
      <c r="A123" s="103">
        <f t="shared" si="14"/>
        <v>117</v>
      </c>
      <c r="B123" s="10" t="s">
        <v>70</v>
      </c>
      <c r="C123" s="10" t="s">
        <v>444</v>
      </c>
      <c r="D123" s="10" t="s">
        <v>445</v>
      </c>
      <c r="E123" s="10" t="s">
        <v>446</v>
      </c>
      <c r="F123" s="10" t="s">
        <v>29</v>
      </c>
      <c r="G123" s="10">
        <f t="shared" si="19"/>
        <v>0</v>
      </c>
      <c r="H123" s="49"/>
      <c r="I123" s="49"/>
      <c r="J123" s="49">
        <f>Master201722[[#This Row],[Initial Budget]]-Master201722[[#This Row],[Previously Committed Funds]]</f>
        <v>0</v>
      </c>
      <c r="K123" s="49"/>
      <c r="L123" s="49"/>
      <c r="M123" s="97">
        <f>Master201722[[#This Row],[Design $ (Add/Deduct)]]+Master201722[[#This Row],[Construction $ (Add/Ded)]]</f>
        <v>0</v>
      </c>
      <c r="N123" s="32">
        <v>5000000</v>
      </c>
      <c r="O123" s="8">
        <v>2018</v>
      </c>
      <c r="P123" s="10" t="s">
        <v>687</v>
      </c>
      <c r="Q123" s="8">
        <f t="shared" si="22"/>
        <v>30</v>
      </c>
      <c r="R123" s="8">
        <v>2</v>
      </c>
      <c r="S123" s="8">
        <f t="shared" si="21"/>
        <v>6</v>
      </c>
      <c r="T123" s="8" t="s">
        <v>45</v>
      </c>
      <c r="U123" s="8">
        <f t="shared" si="20"/>
        <v>32</v>
      </c>
      <c r="V123" s="8" t="s">
        <v>30</v>
      </c>
      <c r="W123" s="8">
        <v>0</v>
      </c>
      <c r="X123" s="8">
        <v>0</v>
      </c>
      <c r="Y123" s="8">
        <v>0</v>
      </c>
      <c r="Z123" s="8">
        <v>0</v>
      </c>
      <c r="AA123" s="8">
        <v>0</v>
      </c>
      <c r="AB123" s="8">
        <v>0</v>
      </c>
      <c r="AC123" s="8">
        <v>0</v>
      </c>
      <c r="AD123" s="17" t="s">
        <v>29</v>
      </c>
      <c r="AE123" s="8">
        <f>VLOOKUP(Master201722[[#This Row],[Elevated Priority]],Epriority,2,)</f>
        <v>0</v>
      </c>
      <c r="AF123" s="8">
        <f>IF(Master201722[[#This Row],[Status]]="Active",Master201722[[#This Row],[Status_Score]],IF(C123="","",Q123+G123+S123+U123+AE123-5))</f>
        <v>63</v>
      </c>
      <c r="AG123" s="8"/>
      <c r="AH123" s="8"/>
      <c r="AI123" s="8"/>
      <c r="AJ123" s="10"/>
    </row>
    <row r="124" spans="1:36" ht="30" x14ac:dyDescent="0.25">
      <c r="A124" s="103">
        <f t="shared" si="14"/>
        <v>118</v>
      </c>
      <c r="B124" s="10" t="s">
        <v>61</v>
      </c>
      <c r="C124" s="10" t="s">
        <v>381</v>
      </c>
      <c r="D124" s="10" t="s">
        <v>382</v>
      </c>
      <c r="E124" s="10" t="s">
        <v>383</v>
      </c>
      <c r="F124" s="10" t="s">
        <v>29</v>
      </c>
      <c r="G124" s="10">
        <f t="shared" si="19"/>
        <v>0</v>
      </c>
      <c r="H124" s="49"/>
      <c r="I124" s="49"/>
      <c r="J124" s="49">
        <f>Master201722[[#This Row],[Initial Budget]]-Master201722[[#This Row],[Previously Committed Funds]]</f>
        <v>0</v>
      </c>
      <c r="K124" s="49"/>
      <c r="L124" s="49"/>
      <c r="M124" s="97">
        <f>Master201722[[#This Row],[Design $ (Add/Deduct)]]+Master201722[[#This Row],[Construction $ (Add/Ded)]]</f>
        <v>0</v>
      </c>
      <c r="N124" s="32">
        <v>15000000</v>
      </c>
      <c r="O124" s="8">
        <v>2018</v>
      </c>
      <c r="P124" s="10" t="s">
        <v>688</v>
      </c>
      <c r="Q124" s="8">
        <f t="shared" si="22"/>
        <v>20</v>
      </c>
      <c r="R124" s="8">
        <v>1</v>
      </c>
      <c r="S124" s="8">
        <f t="shared" si="21"/>
        <v>3</v>
      </c>
      <c r="T124" s="8" t="s">
        <v>47</v>
      </c>
      <c r="U124" s="8">
        <f t="shared" si="20"/>
        <v>64</v>
      </c>
      <c r="V124" s="8" t="s">
        <v>34</v>
      </c>
      <c r="W124" s="114">
        <v>-5</v>
      </c>
      <c r="X124" s="8">
        <v>0</v>
      </c>
      <c r="Y124" s="8">
        <v>-3</v>
      </c>
      <c r="Z124" s="8">
        <v>-3</v>
      </c>
      <c r="AA124" s="8">
        <v>0</v>
      </c>
      <c r="AB124" s="8">
        <v>-3</v>
      </c>
      <c r="AC124" s="8">
        <v>-3</v>
      </c>
      <c r="AD124" s="17" t="s">
        <v>29</v>
      </c>
      <c r="AE124" s="8">
        <f>VLOOKUP(Master201722[[#This Row],[Elevated Priority]],Epriority,2,)</f>
        <v>0</v>
      </c>
      <c r="AF124" s="8">
        <f>IF(Master201722[[#This Row],[Status]]="Active",Master201722[[#This Row],[Status_Score]],IF(C124="","",Q124+G124+S124+U124+AE124-5))</f>
        <v>82</v>
      </c>
      <c r="AG124" s="8"/>
      <c r="AH124" s="8"/>
      <c r="AI124" s="8"/>
      <c r="AJ124" s="10"/>
    </row>
    <row r="125" spans="1:36" ht="30" x14ac:dyDescent="0.25">
      <c r="A125" s="103">
        <f t="shared" si="14"/>
        <v>119</v>
      </c>
      <c r="B125" s="10" t="s">
        <v>65</v>
      </c>
      <c r="C125" s="10" t="s">
        <v>544</v>
      </c>
      <c r="D125" s="10" t="s">
        <v>945</v>
      </c>
      <c r="E125" s="10" t="s">
        <v>546</v>
      </c>
      <c r="F125" s="10" t="s">
        <v>29</v>
      </c>
      <c r="G125" s="10">
        <f t="shared" si="19"/>
        <v>0</v>
      </c>
      <c r="H125" s="49"/>
      <c r="I125" s="49"/>
      <c r="J125" s="49">
        <f>Master201722[[#This Row],[Initial Budget]]-Master201722[[#This Row],[Previously Committed Funds]]</f>
        <v>0</v>
      </c>
      <c r="K125" s="49"/>
      <c r="L125" s="49"/>
      <c r="M125" s="97">
        <f>Master201722[[#This Row],[Design $ (Add/Deduct)]]+Master201722[[#This Row],[Construction $ (Add/Ded)]]</f>
        <v>0</v>
      </c>
      <c r="N125" s="32">
        <v>400000</v>
      </c>
      <c r="O125" s="8">
        <v>2018</v>
      </c>
      <c r="P125" s="10" t="s">
        <v>686</v>
      </c>
      <c r="Q125" s="8">
        <f t="shared" si="22"/>
        <v>60</v>
      </c>
      <c r="R125" s="8">
        <v>6</v>
      </c>
      <c r="S125" s="8">
        <f t="shared" si="21"/>
        <v>18</v>
      </c>
      <c r="T125" s="8" t="s">
        <v>37</v>
      </c>
      <c r="U125" s="8">
        <f t="shared" si="20"/>
        <v>3</v>
      </c>
      <c r="V125" s="8" t="s">
        <v>34</v>
      </c>
      <c r="W125" s="114">
        <v>0</v>
      </c>
      <c r="X125" s="8">
        <v>0</v>
      </c>
      <c r="Y125" s="8">
        <v>0</v>
      </c>
      <c r="Z125" s="8">
        <v>0</v>
      </c>
      <c r="AA125" s="8">
        <v>0</v>
      </c>
      <c r="AB125" s="8">
        <v>0</v>
      </c>
      <c r="AC125" s="8">
        <v>-1</v>
      </c>
      <c r="AD125" s="17" t="s">
        <v>29</v>
      </c>
      <c r="AE125" s="8">
        <f>VLOOKUP(Master201722[[#This Row],[Elevated Priority]],Epriority,2,)</f>
        <v>0</v>
      </c>
      <c r="AF125" s="8">
        <f>IF(Master201722[[#This Row],[Status]]="Active",Master201722[[#This Row],[Status_Score]],IF(C125="","",Q125+G125+S125+U125+AE125-5))</f>
        <v>76</v>
      </c>
      <c r="AG125" s="8"/>
      <c r="AH125" s="8"/>
      <c r="AI125" s="8"/>
      <c r="AJ125" s="10"/>
    </row>
    <row r="126" spans="1:36" ht="105" x14ac:dyDescent="0.25">
      <c r="A126" s="103">
        <f t="shared" si="14"/>
        <v>120</v>
      </c>
      <c r="B126" s="10" t="s">
        <v>69</v>
      </c>
      <c r="C126" s="10" t="s">
        <v>378</v>
      </c>
      <c r="D126" s="10" t="s">
        <v>379</v>
      </c>
      <c r="E126" s="10" t="s">
        <v>380</v>
      </c>
      <c r="F126" s="10" t="s">
        <v>29</v>
      </c>
      <c r="G126" s="10">
        <f t="shared" si="19"/>
        <v>0</v>
      </c>
      <c r="H126" s="49"/>
      <c r="I126" s="49"/>
      <c r="J126" s="49">
        <f>Master201722[[#This Row],[Initial Budget]]-Master201722[[#This Row],[Previously Committed Funds]]</f>
        <v>0</v>
      </c>
      <c r="K126" s="49"/>
      <c r="L126" s="49"/>
      <c r="M126" s="97">
        <f>Master201722[[#This Row],[Design $ (Add/Deduct)]]+Master201722[[#This Row],[Construction $ (Add/Ded)]]</f>
        <v>0</v>
      </c>
      <c r="N126" s="49">
        <v>20000</v>
      </c>
      <c r="O126" s="8">
        <v>2018</v>
      </c>
      <c r="P126" s="10" t="s">
        <v>686</v>
      </c>
      <c r="Q126" s="8">
        <f t="shared" si="22"/>
        <v>60</v>
      </c>
      <c r="R126" s="17">
        <v>2</v>
      </c>
      <c r="S126" s="8">
        <f t="shared" si="21"/>
        <v>6</v>
      </c>
      <c r="T126" s="17" t="s">
        <v>43</v>
      </c>
      <c r="U126" s="8">
        <f t="shared" si="20"/>
        <v>16</v>
      </c>
      <c r="V126" s="8" t="s">
        <v>34</v>
      </c>
      <c r="W126" s="114">
        <v>0</v>
      </c>
      <c r="X126" s="8">
        <v>0</v>
      </c>
      <c r="Y126" s="8">
        <v>0</v>
      </c>
      <c r="Z126" s="8">
        <v>0</v>
      </c>
      <c r="AA126" s="8">
        <v>0</v>
      </c>
      <c r="AB126" s="8">
        <v>0</v>
      </c>
      <c r="AC126" s="8">
        <v>0</v>
      </c>
      <c r="AD126" s="17" t="s">
        <v>29</v>
      </c>
      <c r="AE126" s="8">
        <f>VLOOKUP(Master201722[[#This Row],[Elevated Priority]],Epriority,2,)</f>
        <v>0</v>
      </c>
      <c r="AF126" s="8">
        <f>IF(Master201722[[#This Row],[Status]]="Active",Master201722[[#This Row],[Status_Score]],IF(C126="","",Q126+G126+S126+U126+AE126-5))</f>
        <v>77</v>
      </c>
      <c r="AG126" s="8"/>
      <c r="AH126" s="8"/>
      <c r="AI126" s="8"/>
      <c r="AJ126" s="10"/>
    </row>
    <row r="127" spans="1:36" ht="75" x14ac:dyDescent="0.25">
      <c r="A127" s="103">
        <f t="shared" si="14"/>
        <v>121</v>
      </c>
      <c r="B127" s="10" t="s">
        <v>71</v>
      </c>
      <c r="C127" s="10" t="s">
        <v>516</v>
      </c>
      <c r="D127" s="10" t="s">
        <v>517</v>
      </c>
      <c r="E127" s="10" t="s">
        <v>518</v>
      </c>
      <c r="F127" s="10" t="s">
        <v>29</v>
      </c>
      <c r="G127" s="10">
        <f t="shared" si="19"/>
        <v>0</v>
      </c>
      <c r="H127" s="49"/>
      <c r="I127" s="49"/>
      <c r="J127" s="49">
        <f>Master201722[[#This Row],[Initial Budget]]-Master201722[[#This Row],[Previously Committed Funds]]</f>
        <v>0</v>
      </c>
      <c r="K127" s="49"/>
      <c r="L127" s="49"/>
      <c r="M127" s="97">
        <f>Master201722[[#This Row],[Design $ (Add/Deduct)]]+Master201722[[#This Row],[Construction $ (Add/Ded)]]</f>
        <v>0</v>
      </c>
      <c r="N127" s="32">
        <v>1500000</v>
      </c>
      <c r="O127" s="8">
        <v>2018</v>
      </c>
      <c r="P127" s="10" t="s">
        <v>46</v>
      </c>
      <c r="Q127" s="8">
        <f t="shared" si="22"/>
        <v>50</v>
      </c>
      <c r="R127" s="8">
        <v>3</v>
      </c>
      <c r="S127" s="8">
        <f t="shared" si="21"/>
        <v>9</v>
      </c>
      <c r="T127" s="8" t="s">
        <v>41</v>
      </c>
      <c r="U127" s="8">
        <f t="shared" si="20"/>
        <v>4</v>
      </c>
      <c r="V127" s="8" t="s">
        <v>34</v>
      </c>
      <c r="W127" s="114">
        <v>-1</v>
      </c>
      <c r="X127" s="8">
        <v>0</v>
      </c>
      <c r="Y127" s="8">
        <v>0</v>
      </c>
      <c r="Z127" s="8">
        <v>0</v>
      </c>
      <c r="AA127" s="8">
        <v>0</v>
      </c>
      <c r="AB127" s="8">
        <v>0</v>
      </c>
      <c r="AC127" s="8">
        <v>0</v>
      </c>
      <c r="AD127" s="17" t="s">
        <v>29</v>
      </c>
      <c r="AE127" s="8">
        <f>VLOOKUP(Master201722[[#This Row],[Elevated Priority]],Epriority,2,)</f>
        <v>0</v>
      </c>
      <c r="AF127" s="8">
        <f>IF(Master201722[[#This Row],[Status]]="Active",Master201722[[#This Row],[Status_Score]],IF(C127="","",Q127+G127+S127+U127+AE127-5))</f>
        <v>58</v>
      </c>
      <c r="AG127" s="8"/>
      <c r="AH127" s="8"/>
      <c r="AI127" s="8"/>
      <c r="AJ127" s="10"/>
    </row>
    <row r="128" spans="1:36" ht="90" x14ac:dyDescent="0.25">
      <c r="A128" s="103">
        <f t="shared" si="14"/>
        <v>122</v>
      </c>
      <c r="B128" s="10" t="s">
        <v>61</v>
      </c>
      <c r="C128" s="10" t="s">
        <v>476</v>
      </c>
      <c r="E128" s="10" t="s">
        <v>906</v>
      </c>
      <c r="F128" s="10" t="s">
        <v>29</v>
      </c>
      <c r="G128" s="10">
        <f t="shared" si="19"/>
        <v>0</v>
      </c>
      <c r="H128" s="49"/>
      <c r="I128" s="49"/>
      <c r="J128" s="49">
        <f>Master201722[[#This Row],[Initial Budget]]-Master201722[[#This Row],[Previously Committed Funds]]</f>
        <v>0</v>
      </c>
      <c r="K128" s="49"/>
      <c r="L128" s="49"/>
      <c r="M128" s="97">
        <f>Master201722[[#This Row],[Design $ (Add/Deduct)]]+Master201722[[#This Row],[Construction $ (Add/Ded)]]</f>
        <v>0</v>
      </c>
      <c r="N128" s="32">
        <v>350000</v>
      </c>
      <c r="O128" s="8">
        <v>2018</v>
      </c>
      <c r="P128" s="10" t="s">
        <v>686</v>
      </c>
      <c r="Q128" s="8">
        <f t="shared" si="22"/>
        <v>60</v>
      </c>
      <c r="R128" s="8">
        <v>4</v>
      </c>
      <c r="S128" s="8">
        <f t="shared" si="21"/>
        <v>12</v>
      </c>
      <c r="T128" s="8" t="s">
        <v>43</v>
      </c>
      <c r="U128" s="8">
        <f t="shared" si="20"/>
        <v>16</v>
      </c>
      <c r="V128" s="8" t="s">
        <v>34</v>
      </c>
      <c r="W128" s="114">
        <v>-5</v>
      </c>
      <c r="X128" s="8">
        <v>0</v>
      </c>
      <c r="Y128" s="8">
        <v>0</v>
      </c>
      <c r="Z128" s="8">
        <v>0</v>
      </c>
      <c r="AA128" s="8">
        <v>0</v>
      </c>
      <c r="AB128" s="8">
        <v>0</v>
      </c>
      <c r="AC128" s="8">
        <v>0</v>
      </c>
      <c r="AD128" s="17" t="s">
        <v>29</v>
      </c>
      <c r="AE128" s="8">
        <f>VLOOKUP(Master201722[[#This Row],[Elevated Priority]],Epriority,2,)</f>
        <v>0</v>
      </c>
      <c r="AF128" s="8">
        <f>IF(Master201722[[#This Row],[Status]]="Active",Master201722[[#This Row],[Status_Score]],IF(C128="","",Q128+G128+S128+U128+AE128-5))</f>
        <v>83</v>
      </c>
      <c r="AG128" s="8"/>
      <c r="AH128" s="8"/>
      <c r="AI128" s="8"/>
      <c r="AJ128" s="10"/>
    </row>
    <row r="129" spans="1:36" ht="30" hidden="1" x14ac:dyDescent="0.25">
      <c r="A129" s="103">
        <f t="shared" si="14"/>
        <v>123</v>
      </c>
      <c r="B129" s="10" t="s">
        <v>61</v>
      </c>
      <c r="C129" s="10" t="s">
        <v>345</v>
      </c>
      <c r="D129" s="10" t="s">
        <v>346</v>
      </c>
      <c r="E129" s="10" t="s">
        <v>347</v>
      </c>
      <c r="F129" s="10" t="s">
        <v>29</v>
      </c>
      <c r="G129" s="10">
        <f t="shared" si="19"/>
        <v>0</v>
      </c>
      <c r="H129" s="49"/>
      <c r="I129" s="49"/>
      <c r="J129" s="49">
        <f>Master201722[[#This Row],[Initial Budget]]-Master201722[[#This Row],[Previously Committed Funds]]</f>
        <v>0</v>
      </c>
      <c r="K129" s="49"/>
      <c r="L129" s="49"/>
      <c r="M129" s="97">
        <f>Master201722[[#This Row],[Design $ (Add/Deduct)]]+Master201722[[#This Row],[Construction $ (Add/Ded)]]</f>
        <v>0</v>
      </c>
      <c r="N129" s="32">
        <v>75000</v>
      </c>
      <c r="O129" s="8">
        <v>2018</v>
      </c>
      <c r="P129" s="10" t="s">
        <v>687</v>
      </c>
      <c r="Q129" s="8">
        <f t="shared" si="22"/>
        <v>30</v>
      </c>
      <c r="R129" s="8">
        <v>3</v>
      </c>
      <c r="S129" s="8">
        <f t="shared" si="21"/>
        <v>9</v>
      </c>
      <c r="T129" s="8" t="s">
        <v>45</v>
      </c>
      <c r="U129" s="8">
        <f t="shared" si="20"/>
        <v>32</v>
      </c>
      <c r="V129" s="8" t="s">
        <v>30</v>
      </c>
      <c r="W129" s="8">
        <v>0</v>
      </c>
      <c r="X129" s="8">
        <v>0</v>
      </c>
      <c r="Y129" s="8">
        <v>0</v>
      </c>
      <c r="Z129" s="8">
        <v>0</v>
      </c>
      <c r="AA129" s="8">
        <v>0</v>
      </c>
      <c r="AB129" s="8">
        <v>0</v>
      </c>
      <c r="AC129" s="8">
        <v>0</v>
      </c>
      <c r="AD129" s="17" t="s">
        <v>29</v>
      </c>
      <c r="AE129" s="8">
        <f>VLOOKUP(Master201722[[#This Row],[Elevated Priority]],Epriority,2,)</f>
        <v>0</v>
      </c>
      <c r="AF129" s="8">
        <f>IF(Master201722[[#This Row],[Status]]="Active",Master201722[[#This Row],[Status_Score]],IF(C129="","",Q129+G129+S129+U129+AE129-5))</f>
        <v>66</v>
      </c>
      <c r="AG129" s="8"/>
      <c r="AH129" s="8"/>
      <c r="AI129" s="8"/>
      <c r="AJ129" s="10"/>
    </row>
    <row r="130" spans="1:36" hidden="1" x14ac:dyDescent="0.25">
      <c r="A130" s="103">
        <f t="shared" si="14"/>
        <v>124</v>
      </c>
      <c r="B130" s="10" t="s">
        <v>94</v>
      </c>
      <c r="C130" s="10" t="s">
        <v>581</v>
      </c>
      <c r="D130" s="10" t="s">
        <v>582</v>
      </c>
      <c r="E130" s="10"/>
      <c r="F130" s="10" t="s">
        <v>29</v>
      </c>
      <c r="G130" s="10">
        <f t="shared" si="19"/>
        <v>0</v>
      </c>
      <c r="H130" s="49"/>
      <c r="I130" s="49"/>
      <c r="J130" s="49">
        <f>Master201722[[#This Row],[Initial Budget]]-Master201722[[#This Row],[Previously Committed Funds]]</f>
        <v>0</v>
      </c>
      <c r="K130" s="49"/>
      <c r="L130" s="49"/>
      <c r="M130" s="97">
        <f>Master201722[[#This Row],[Design $ (Add/Deduct)]]+Master201722[[#This Row],[Construction $ (Add/Ded)]]</f>
        <v>0</v>
      </c>
      <c r="N130" s="32">
        <v>650000</v>
      </c>
      <c r="O130" s="17">
        <v>2019</v>
      </c>
      <c r="P130" s="10" t="s">
        <v>687</v>
      </c>
      <c r="Q130" s="8">
        <f t="shared" si="22"/>
        <v>30</v>
      </c>
      <c r="R130" s="8">
        <v>19</v>
      </c>
      <c r="S130" s="8">
        <f t="shared" si="21"/>
        <v>26</v>
      </c>
      <c r="T130" s="8" t="s">
        <v>43</v>
      </c>
      <c r="U130" s="8">
        <f t="shared" si="20"/>
        <v>16</v>
      </c>
      <c r="V130" s="8" t="s">
        <v>30</v>
      </c>
      <c r="W130" s="8">
        <v>0</v>
      </c>
      <c r="X130" s="8">
        <v>0</v>
      </c>
      <c r="Y130" s="8">
        <v>0</v>
      </c>
      <c r="Z130" s="8">
        <v>0</v>
      </c>
      <c r="AA130" s="8">
        <v>0</v>
      </c>
      <c r="AB130" s="8">
        <v>0</v>
      </c>
      <c r="AC130" s="8">
        <v>0</v>
      </c>
      <c r="AD130" s="17" t="s">
        <v>29</v>
      </c>
      <c r="AE130" s="8">
        <f>VLOOKUP(Master201722[[#This Row],[Elevated Priority]],Epriority,2,)</f>
        <v>0</v>
      </c>
      <c r="AF130" s="8">
        <f>IF(Master201722[[#This Row],[Status]]="Active",Master201722[[#This Row],[Status_Score]],IF(C130="","",Q130+G130+S130+U130+AE130-5))</f>
        <v>67</v>
      </c>
      <c r="AG130" s="8"/>
      <c r="AH130" s="8"/>
      <c r="AI130" s="8"/>
      <c r="AJ130" s="10"/>
    </row>
    <row r="131" spans="1:36" ht="30" x14ac:dyDescent="0.25">
      <c r="A131" s="103">
        <f t="shared" si="14"/>
        <v>125</v>
      </c>
      <c r="B131" s="10" t="s">
        <v>70</v>
      </c>
      <c r="C131" s="10" t="s">
        <v>696</v>
      </c>
      <c r="D131" s="10" t="s">
        <v>702</v>
      </c>
      <c r="E131" s="10"/>
      <c r="F131" s="10" t="s">
        <v>29</v>
      </c>
      <c r="G131" s="10">
        <f t="shared" si="19"/>
        <v>0</v>
      </c>
      <c r="H131" s="49"/>
      <c r="I131" s="49"/>
      <c r="J131" s="49">
        <f>Master201722[[#This Row],[Initial Budget]]-Master201722[[#This Row],[Previously Committed Funds]]</f>
        <v>0</v>
      </c>
      <c r="K131" s="49"/>
      <c r="L131" s="49"/>
      <c r="M131" s="97">
        <f>Master201722[[#This Row],[Design $ (Add/Deduct)]]+Master201722[[#This Row],[Construction $ (Add/Ded)]]</f>
        <v>0</v>
      </c>
      <c r="N131" s="32">
        <v>10000000</v>
      </c>
      <c r="O131" s="8">
        <v>2019</v>
      </c>
      <c r="P131" s="10" t="s">
        <v>46</v>
      </c>
      <c r="Q131" s="8">
        <f t="shared" si="22"/>
        <v>50</v>
      </c>
      <c r="R131" s="8">
        <v>6</v>
      </c>
      <c r="S131" s="8">
        <f t="shared" si="21"/>
        <v>18</v>
      </c>
      <c r="T131" s="8" t="s">
        <v>45</v>
      </c>
      <c r="V131" s="8" t="s">
        <v>34</v>
      </c>
      <c r="W131" s="114">
        <v>0</v>
      </c>
      <c r="X131" s="8">
        <v>0</v>
      </c>
      <c r="Y131" s="8">
        <v>0</v>
      </c>
      <c r="Z131" s="8">
        <v>0</v>
      </c>
      <c r="AA131" s="8">
        <v>0</v>
      </c>
      <c r="AB131" s="8">
        <v>0</v>
      </c>
      <c r="AC131" s="8">
        <v>0</v>
      </c>
      <c r="AD131" s="17" t="s">
        <v>29</v>
      </c>
      <c r="AE131" s="8">
        <f>VLOOKUP(Master201722[[#This Row],[Elevated Priority]],Epriority,2,)</f>
        <v>0</v>
      </c>
      <c r="AF131" s="8">
        <f>IF(Master201722[[#This Row],[Status]]="Active",Master201722[[#This Row],[Status_Score]],IF(C131="","",Q131+G131+S131+U131+AE131-5))</f>
        <v>63</v>
      </c>
      <c r="AG131" s="8"/>
      <c r="AH131" s="8"/>
      <c r="AI131" s="8"/>
      <c r="AJ131" s="10"/>
    </row>
    <row r="132" spans="1:36" ht="45" x14ac:dyDescent="0.25">
      <c r="A132" s="103">
        <f t="shared" si="14"/>
        <v>126</v>
      </c>
      <c r="B132" s="10" t="s">
        <v>65</v>
      </c>
      <c r="C132" s="10" t="s">
        <v>468</v>
      </c>
      <c r="D132" s="10" t="s">
        <v>671</v>
      </c>
      <c r="E132" s="10" t="s">
        <v>469</v>
      </c>
      <c r="F132" s="10" t="s">
        <v>29</v>
      </c>
      <c r="G132" s="10">
        <f t="shared" si="19"/>
        <v>0</v>
      </c>
      <c r="H132" s="49"/>
      <c r="I132" s="49"/>
      <c r="J132" s="49">
        <f>Master201722[[#This Row],[Initial Budget]]-Master201722[[#This Row],[Previously Committed Funds]]</f>
        <v>0</v>
      </c>
      <c r="K132" s="49"/>
      <c r="L132" s="49"/>
      <c r="M132" s="97">
        <f>Master201722[[#This Row],[Design $ (Add/Deduct)]]+Master201722[[#This Row],[Construction $ (Add/Ded)]]</f>
        <v>0</v>
      </c>
      <c r="N132" s="32">
        <v>250000</v>
      </c>
      <c r="O132" s="8">
        <v>2018</v>
      </c>
      <c r="P132" s="10" t="s">
        <v>686</v>
      </c>
      <c r="Q132" s="8">
        <f t="shared" si="22"/>
        <v>60</v>
      </c>
      <c r="R132" s="8">
        <v>4</v>
      </c>
      <c r="S132" s="8">
        <f t="shared" si="21"/>
        <v>12</v>
      </c>
      <c r="T132" s="8" t="s">
        <v>43</v>
      </c>
      <c r="U132" s="8">
        <f t="shared" ref="U132:U176" si="23">VLOOKUP(T132,Urgency,2,FALSE)</f>
        <v>16</v>
      </c>
      <c r="V132" s="8" t="s">
        <v>34</v>
      </c>
      <c r="W132" s="114">
        <v>0</v>
      </c>
      <c r="X132" s="8">
        <v>0</v>
      </c>
      <c r="Y132" s="8">
        <v>0</v>
      </c>
      <c r="Z132" s="8">
        <v>0</v>
      </c>
      <c r="AA132" s="8">
        <v>0</v>
      </c>
      <c r="AB132" s="8">
        <v>0</v>
      </c>
      <c r="AC132" s="8">
        <v>0</v>
      </c>
      <c r="AD132" s="17" t="s">
        <v>29</v>
      </c>
      <c r="AE132" s="8">
        <f>VLOOKUP(Master201722[[#This Row],[Elevated Priority]],Epriority,2,)</f>
        <v>0</v>
      </c>
      <c r="AF132" s="8">
        <f>IF(Master201722[[#This Row],[Status]]="Active",Master201722[[#This Row],[Status_Score]],IF(C132="","",Q132+G132+S132+U132+AE132-5))</f>
        <v>83</v>
      </c>
      <c r="AG132" s="8"/>
      <c r="AH132" s="8"/>
      <c r="AI132" s="8"/>
      <c r="AJ132" s="10"/>
    </row>
    <row r="133" spans="1:36" ht="30" hidden="1" x14ac:dyDescent="0.25">
      <c r="A133" s="103">
        <f t="shared" si="14"/>
        <v>127</v>
      </c>
      <c r="B133" s="10" t="s">
        <v>91</v>
      </c>
      <c r="C133" s="10" t="s">
        <v>492</v>
      </c>
      <c r="D133" s="10" t="s">
        <v>493</v>
      </c>
      <c r="E133" s="10" t="s">
        <v>494</v>
      </c>
      <c r="F133" s="10" t="s">
        <v>29</v>
      </c>
      <c r="G133" s="10">
        <f t="shared" si="19"/>
        <v>0</v>
      </c>
      <c r="H133" s="49"/>
      <c r="I133" s="49"/>
      <c r="J133" s="49">
        <f>Master201722[[#This Row],[Initial Budget]]-Master201722[[#This Row],[Previously Committed Funds]]</f>
        <v>0</v>
      </c>
      <c r="K133" s="49"/>
      <c r="L133" s="49"/>
      <c r="M133" s="97">
        <f>Master201722[[#This Row],[Design $ (Add/Deduct)]]+Master201722[[#This Row],[Construction $ (Add/Ded)]]</f>
        <v>0</v>
      </c>
      <c r="N133" s="32">
        <v>75000</v>
      </c>
      <c r="O133" s="8">
        <v>2018</v>
      </c>
      <c r="P133" s="10" t="s">
        <v>688</v>
      </c>
      <c r="Q133" s="8">
        <f t="shared" si="22"/>
        <v>20</v>
      </c>
      <c r="R133" s="8">
        <v>10</v>
      </c>
      <c r="S133" s="8">
        <f t="shared" si="21"/>
        <v>21</v>
      </c>
      <c r="T133" s="8" t="s">
        <v>45</v>
      </c>
      <c r="U133" s="8">
        <f t="shared" si="23"/>
        <v>32</v>
      </c>
      <c r="V133" s="8" t="s">
        <v>30</v>
      </c>
      <c r="W133" s="8">
        <v>0</v>
      </c>
      <c r="X133" s="8">
        <v>0</v>
      </c>
      <c r="Y133" s="8">
        <v>0</v>
      </c>
      <c r="Z133" s="8">
        <v>0</v>
      </c>
      <c r="AA133" s="8">
        <v>0</v>
      </c>
      <c r="AB133" s="8">
        <v>0</v>
      </c>
      <c r="AC133" s="8">
        <v>0</v>
      </c>
      <c r="AD133" s="17" t="s">
        <v>29</v>
      </c>
      <c r="AE133" s="8">
        <f>VLOOKUP(Master201722[[#This Row],[Elevated Priority]],Epriority,2,)</f>
        <v>0</v>
      </c>
      <c r="AF133" s="8">
        <f>IF(Master201722[[#This Row],[Status]]="Active",Master201722[[#This Row],[Status_Score]],IF(C133="","",Q133+G133+S133+U133+AE133-5))</f>
        <v>68</v>
      </c>
      <c r="AG133" s="8"/>
      <c r="AH133" s="8"/>
      <c r="AI133" s="8"/>
      <c r="AJ133" s="10"/>
    </row>
    <row r="134" spans="1:36" ht="30" x14ac:dyDescent="0.25">
      <c r="A134" s="103">
        <f t="shared" si="14"/>
        <v>128</v>
      </c>
      <c r="B134" s="10" t="s">
        <v>70</v>
      </c>
      <c r="C134" s="10" t="s">
        <v>408</v>
      </c>
      <c r="D134" s="10" t="s">
        <v>409</v>
      </c>
      <c r="E134" s="10" t="s">
        <v>410</v>
      </c>
      <c r="F134" s="10" t="s">
        <v>29</v>
      </c>
      <c r="G134" s="10">
        <f t="shared" si="19"/>
        <v>0</v>
      </c>
      <c r="H134" s="49"/>
      <c r="I134" s="49"/>
      <c r="J134" s="49">
        <f>Master201722[[#This Row],[Initial Budget]]-Master201722[[#This Row],[Previously Committed Funds]]</f>
        <v>0</v>
      </c>
      <c r="K134" s="49"/>
      <c r="L134" s="49"/>
      <c r="M134" s="97">
        <f>Master201722[[#This Row],[Design $ (Add/Deduct)]]+Master201722[[#This Row],[Construction $ (Add/Ded)]]</f>
        <v>0</v>
      </c>
      <c r="N134" s="32">
        <v>750000</v>
      </c>
      <c r="O134" s="8">
        <v>2018</v>
      </c>
      <c r="P134" s="10" t="s">
        <v>686</v>
      </c>
      <c r="Q134" s="8">
        <f t="shared" si="22"/>
        <v>60</v>
      </c>
      <c r="R134" s="8">
        <v>5</v>
      </c>
      <c r="S134" s="8">
        <f t="shared" si="21"/>
        <v>15</v>
      </c>
      <c r="T134" s="8" t="s">
        <v>43</v>
      </c>
      <c r="U134" s="8">
        <f t="shared" si="23"/>
        <v>16</v>
      </c>
      <c r="V134" s="8" t="s">
        <v>34</v>
      </c>
      <c r="W134" s="114">
        <v>0</v>
      </c>
      <c r="X134" s="8">
        <v>0</v>
      </c>
      <c r="Y134" s="8">
        <v>0</v>
      </c>
      <c r="Z134" s="8">
        <v>0</v>
      </c>
      <c r="AA134" s="8">
        <v>0</v>
      </c>
      <c r="AB134" s="8">
        <v>0</v>
      </c>
      <c r="AC134" s="8">
        <v>-1</v>
      </c>
      <c r="AD134" s="17" t="s">
        <v>29</v>
      </c>
      <c r="AE134" s="8">
        <f>VLOOKUP(Master201722[[#This Row],[Elevated Priority]],Epriority,2,)</f>
        <v>0</v>
      </c>
      <c r="AF134" s="8">
        <f>IF(Master201722[[#This Row],[Status]]="Active",Master201722[[#This Row],[Status_Score]],IF(C134="","",Q134+G134+S134+U134+AE134-5))</f>
        <v>86</v>
      </c>
      <c r="AG134" s="8"/>
      <c r="AH134" s="8"/>
      <c r="AI134" s="8"/>
      <c r="AJ134" s="10"/>
    </row>
    <row r="135" spans="1:36" ht="75" hidden="1" x14ac:dyDescent="0.25">
      <c r="A135" s="103">
        <f t="shared" si="14"/>
        <v>129</v>
      </c>
      <c r="B135" s="125" t="s">
        <v>67</v>
      </c>
      <c r="C135" s="67" t="s">
        <v>788</v>
      </c>
      <c r="D135" s="67" t="s">
        <v>789</v>
      </c>
      <c r="E135" s="67" t="s">
        <v>790</v>
      </c>
      <c r="F135" s="10" t="s">
        <v>29</v>
      </c>
      <c r="G135" s="10">
        <f t="shared" si="19"/>
        <v>0</v>
      </c>
      <c r="H135" s="49"/>
      <c r="I135" s="49"/>
      <c r="J135" s="49">
        <f>Master201722[[#This Row],[Initial Budget]]-Master201722[[#This Row],[Previously Committed Funds]]</f>
        <v>0</v>
      </c>
      <c r="K135" s="49"/>
      <c r="L135" s="49"/>
      <c r="M135" s="97">
        <f>Master201722[[#This Row],[Design $ (Add/Deduct)]]+Master201722[[#This Row],[Construction $ (Add/Ded)]]</f>
        <v>0</v>
      </c>
      <c r="N135" s="32">
        <v>60000</v>
      </c>
      <c r="O135" s="8">
        <v>2020</v>
      </c>
      <c r="P135" s="10" t="s">
        <v>686</v>
      </c>
      <c r="Q135" s="8">
        <f t="shared" si="22"/>
        <v>60</v>
      </c>
      <c r="R135" s="8">
        <v>10</v>
      </c>
      <c r="S135" s="8">
        <f t="shared" si="21"/>
        <v>21</v>
      </c>
      <c r="T135" s="8" t="s">
        <v>41</v>
      </c>
      <c r="U135" s="8">
        <f t="shared" si="23"/>
        <v>4</v>
      </c>
      <c r="V135" s="8" t="s">
        <v>30</v>
      </c>
      <c r="W135" s="8">
        <v>0</v>
      </c>
      <c r="X135" s="8">
        <v>0</v>
      </c>
      <c r="Y135" s="8">
        <v>0</v>
      </c>
      <c r="Z135" s="8">
        <v>0</v>
      </c>
      <c r="AA135" s="8">
        <v>0</v>
      </c>
      <c r="AB135" s="8">
        <v>0</v>
      </c>
      <c r="AC135" s="8">
        <v>0</v>
      </c>
      <c r="AD135" s="17" t="s">
        <v>29</v>
      </c>
      <c r="AE135" s="8">
        <f>VLOOKUP(Master201722[[#This Row],[Elevated Priority]],Epriority,2,)</f>
        <v>0</v>
      </c>
      <c r="AF135" s="8">
        <f>IF(Master201722[[#This Row],[Status]]="Active",Master201722[[#This Row],[Status_Score]],IF(C135="","",Q135+G135+S135+U135+AE135-5))</f>
        <v>80</v>
      </c>
      <c r="AG135" s="8"/>
      <c r="AH135" s="8"/>
      <c r="AI135" s="8"/>
      <c r="AJ135" s="10"/>
    </row>
    <row r="136" spans="1:36" ht="30" hidden="1" x14ac:dyDescent="0.25">
      <c r="A136" s="103">
        <f t="shared" si="14"/>
        <v>130</v>
      </c>
      <c r="B136" s="10" t="s">
        <v>79</v>
      </c>
      <c r="C136" s="10" t="s">
        <v>510</v>
      </c>
      <c r="D136" s="10" t="s">
        <v>511</v>
      </c>
      <c r="E136" s="10" t="s">
        <v>512</v>
      </c>
      <c r="F136" s="10" t="s">
        <v>29</v>
      </c>
      <c r="G136" s="10">
        <f t="shared" si="19"/>
        <v>0</v>
      </c>
      <c r="H136" s="49"/>
      <c r="I136" s="49"/>
      <c r="J136" s="49">
        <f>Master201722[[#This Row],[Initial Budget]]-Master201722[[#This Row],[Previously Committed Funds]]</f>
        <v>0</v>
      </c>
      <c r="K136" s="49"/>
      <c r="L136" s="49"/>
      <c r="M136" s="97">
        <f>Master201722[[#This Row],[Design $ (Add/Deduct)]]+Master201722[[#This Row],[Construction $ (Add/Ded)]]</f>
        <v>0</v>
      </c>
      <c r="N136" s="32">
        <v>15000</v>
      </c>
      <c r="O136" s="8">
        <v>2018</v>
      </c>
      <c r="P136" s="10" t="s">
        <v>688</v>
      </c>
      <c r="Q136" s="8">
        <f t="shared" si="22"/>
        <v>20</v>
      </c>
      <c r="R136" s="8">
        <v>16</v>
      </c>
      <c r="S136" s="8">
        <f t="shared" si="21"/>
        <v>24</v>
      </c>
      <c r="T136" s="8" t="s">
        <v>45</v>
      </c>
      <c r="U136" s="8">
        <f t="shared" si="23"/>
        <v>32</v>
      </c>
      <c r="V136" s="8" t="s">
        <v>30</v>
      </c>
      <c r="W136" s="8">
        <v>0</v>
      </c>
      <c r="X136" s="8">
        <v>0</v>
      </c>
      <c r="Y136" s="8">
        <v>0</v>
      </c>
      <c r="Z136" s="8">
        <v>0</v>
      </c>
      <c r="AA136" s="8">
        <v>0</v>
      </c>
      <c r="AB136" s="8">
        <v>0</v>
      </c>
      <c r="AC136" s="8">
        <v>0</v>
      </c>
      <c r="AD136" s="17" t="s">
        <v>29</v>
      </c>
      <c r="AE136" s="8">
        <f>VLOOKUP(Master201722[[#This Row],[Elevated Priority]],Epriority,2,)</f>
        <v>0</v>
      </c>
      <c r="AF136" s="8">
        <f>IF(Master201722[[#This Row],[Status]]="Active",Master201722[[#This Row],[Status_Score]],IF(C136="","",Q136+G136+S136+U136+AE136-5))</f>
        <v>71</v>
      </c>
      <c r="AG136" s="8"/>
      <c r="AH136" s="8"/>
      <c r="AI136" s="8"/>
      <c r="AJ136" s="10"/>
    </row>
    <row r="137" spans="1:36" hidden="1" x14ac:dyDescent="0.25">
      <c r="A137" s="103">
        <f t="shared" si="14"/>
        <v>131</v>
      </c>
      <c r="B137" s="10" t="s">
        <v>94</v>
      </c>
      <c r="C137" s="1" t="s">
        <v>319</v>
      </c>
      <c r="D137" s="1" t="s">
        <v>320</v>
      </c>
      <c r="E137" s="72" t="s">
        <v>321</v>
      </c>
      <c r="F137" s="10" t="s">
        <v>29</v>
      </c>
      <c r="G137" s="10">
        <f t="shared" si="19"/>
        <v>0</v>
      </c>
      <c r="H137" s="49"/>
      <c r="I137" s="49"/>
      <c r="J137" s="49">
        <f>Master201722[[#This Row],[Initial Budget]]-Master201722[[#This Row],[Previously Committed Funds]]</f>
        <v>0</v>
      </c>
      <c r="K137" s="49"/>
      <c r="L137" s="49"/>
      <c r="M137" s="97">
        <f>Master201722[[#This Row],[Design $ (Add/Deduct)]]+Master201722[[#This Row],[Construction $ (Add/Ded)]]</f>
        <v>0</v>
      </c>
      <c r="N137" s="32">
        <v>50000</v>
      </c>
      <c r="O137" s="8">
        <v>2018</v>
      </c>
      <c r="P137" s="10" t="s">
        <v>686</v>
      </c>
      <c r="Q137" s="8">
        <f t="shared" si="22"/>
        <v>60</v>
      </c>
      <c r="R137" s="8">
        <v>20</v>
      </c>
      <c r="S137" s="8">
        <f t="shared" si="21"/>
        <v>26</v>
      </c>
      <c r="T137" s="8" t="s">
        <v>33</v>
      </c>
      <c r="U137" s="8">
        <f t="shared" si="23"/>
        <v>1</v>
      </c>
      <c r="V137" s="8" t="s">
        <v>30</v>
      </c>
      <c r="W137" s="8">
        <v>0</v>
      </c>
      <c r="X137" s="8">
        <v>0</v>
      </c>
      <c r="Y137" s="8">
        <v>0</v>
      </c>
      <c r="Z137" s="8">
        <v>0</v>
      </c>
      <c r="AA137" s="8">
        <v>0</v>
      </c>
      <c r="AB137" s="8">
        <v>0</v>
      </c>
      <c r="AC137" s="8">
        <v>0</v>
      </c>
      <c r="AD137" s="17" t="s">
        <v>29</v>
      </c>
      <c r="AE137" s="8">
        <f>VLOOKUP(Master201722[[#This Row],[Elevated Priority]],Epriority,2,)</f>
        <v>0</v>
      </c>
      <c r="AF137" s="8">
        <f>IF(Master201722[[#This Row],[Status]]="Active",Master201722[[#This Row],[Status_Score]],IF(C137="","",Q137+G137+S137+U137+AE137-5))</f>
        <v>82</v>
      </c>
      <c r="AG137" s="8"/>
      <c r="AH137" s="8"/>
      <c r="AI137" s="8"/>
      <c r="AJ137" s="10"/>
    </row>
    <row r="138" spans="1:36" ht="30" x14ac:dyDescent="0.25">
      <c r="A138" s="103">
        <f t="shared" si="14"/>
        <v>132</v>
      </c>
      <c r="B138" s="10" t="s">
        <v>70</v>
      </c>
      <c r="C138" s="10" t="s">
        <v>390</v>
      </c>
      <c r="D138" s="10" t="s">
        <v>391</v>
      </c>
      <c r="E138" s="10" t="s">
        <v>392</v>
      </c>
      <c r="F138" s="10" t="s">
        <v>29</v>
      </c>
      <c r="G138" s="10">
        <f t="shared" si="19"/>
        <v>0</v>
      </c>
      <c r="H138" s="49"/>
      <c r="I138" s="49"/>
      <c r="J138" s="49">
        <f>Master201722[[#This Row],[Initial Budget]]-Master201722[[#This Row],[Previously Committed Funds]]</f>
        <v>0</v>
      </c>
      <c r="K138" s="49"/>
      <c r="L138" s="49"/>
      <c r="M138" s="97">
        <f>Master201722[[#This Row],[Design $ (Add/Deduct)]]+Master201722[[#This Row],[Construction $ (Add/Ded)]]</f>
        <v>0</v>
      </c>
      <c r="N138" s="32">
        <v>150000</v>
      </c>
      <c r="O138" s="8">
        <v>2018</v>
      </c>
      <c r="P138" s="10" t="s">
        <v>686</v>
      </c>
      <c r="Q138" s="8">
        <f t="shared" si="22"/>
        <v>60</v>
      </c>
      <c r="R138" s="8">
        <v>5</v>
      </c>
      <c r="S138" s="8">
        <f t="shared" si="21"/>
        <v>15</v>
      </c>
      <c r="T138" s="8" t="s">
        <v>43</v>
      </c>
      <c r="U138" s="8">
        <f t="shared" si="23"/>
        <v>16</v>
      </c>
      <c r="V138" s="8" t="s">
        <v>34</v>
      </c>
      <c r="W138" s="114">
        <v>0</v>
      </c>
      <c r="X138" s="8">
        <v>0</v>
      </c>
      <c r="Y138" s="8">
        <v>0</v>
      </c>
      <c r="Z138" s="8">
        <v>0</v>
      </c>
      <c r="AA138" s="8">
        <v>0</v>
      </c>
      <c r="AB138" s="8">
        <v>0</v>
      </c>
      <c r="AC138" s="8">
        <v>0</v>
      </c>
      <c r="AD138" s="17" t="s">
        <v>29</v>
      </c>
      <c r="AE138" s="8">
        <f>VLOOKUP(Master201722[[#This Row],[Elevated Priority]],Epriority,2,)</f>
        <v>0</v>
      </c>
      <c r="AF138" s="8">
        <f>IF(Master201722[[#This Row],[Status]]="Active",Master201722[[#This Row],[Status_Score]],IF(C138="","",Q138+G138+S138+U138+AE138-5))</f>
        <v>86</v>
      </c>
      <c r="AG138" s="8"/>
      <c r="AH138" s="8"/>
      <c r="AI138" s="8"/>
      <c r="AJ138" s="10"/>
    </row>
    <row r="139" spans="1:36" ht="30" x14ac:dyDescent="0.25">
      <c r="A139" s="103">
        <f t="shared" si="14"/>
        <v>133</v>
      </c>
      <c r="B139" s="10" t="s">
        <v>65</v>
      </c>
      <c r="C139" s="10" t="s">
        <v>910</v>
      </c>
      <c r="D139" s="10" t="s">
        <v>919</v>
      </c>
      <c r="E139" s="10" t="s">
        <v>920</v>
      </c>
      <c r="F139" s="10" t="s">
        <v>29</v>
      </c>
      <c r="G139" s="10">
        <f t="shared" si="19"/>
        <v>0</v>
      </c>
      <c r="H139" s="49"/>
      <c r="I139" s="49"/>
      <c r="J139" s="49">
        <f>Master201722[[#This Row],[Initial Budget]]-Master201722[[#This Row],[Previously Committed Funds]]</f>
        <v>0</v>
      </c>
      <c r="K139" s="49"/>
      <c r="L139" s="49"/>
      <c r="M139" s="97">
        <f>Master201722[[#This Row],[Design $ (Add/Deduct)]]+Master201722[[#This Row],[Construction $ (Add/Ded)]]</f>
        <v>0</v>
      </c>
      <c r="N139" s="32">
        <v>5000000</v>
      </c>
      <c r="O139" s="8">
        <v>2018</v>
      </c>
      <c r="P139" s="10" t="s">
        <v>46</v>
      </c>
      <c r="Q139" s="8">
        <f t="shared" si="22"/>
        <v>50</v>
      </c>
      <c r="R139" s="8">
        <v>6</v>
      </c>
      <c r="S139" s="8">
        <f t="shared" si="21"/>
        <v>18</v>
      </c>
      <c r="T139" s="8" t="s">
        <v>43</v>
      </c>
      <c r="U139" s="8">
        <f t="shared" si="23"/>
        <v>16</v>
      </c>
      <c r="V139" s="8" t="s">
        <v>34</v>
      </c>
      <c r="W139" s="114">
        <v>-3</v>
      </c>
      <c r="X139" s="8">
        <v>0</v>
      </c>
      <c r="Y139" s="8">
        <v>0</v>
      </c>
      <c r="Z139" s="8">
        <v>-3</v>
      </c>
      <c r="AA139" s="8">
        <v>-2</v>
      </c>
      <c r="AB139" s="8">
        <v>-5</v>
      </c>
      <c r="AC139" s="8">
        <v>0</v>
      </c>
      <c r="AD139" s="17" t="s">
        <v>29</v>
      </c>
      <c r="AE139" s="8">
        <f>VLOOKUP(Master201722[[#This Row],[Elevated Priority]],Epriority,2,)</f>
        <v>0</v>
      </c>
      <c r="AF139" s="8">
        <f>IF(Master201722[[#This Row],[Status]]="Active",Master201722[[#This Row],[Status_Score]],IF(C139="","",Q139+G139+S139+U139+AE139-5))</f>
        <v>79</v>
      </c>
      <c r="AG139" s="8"/>
      <c r="AH139" s="8"/>
      <c r="AI139" s="8"/>
      <c r="AJ139" s="10"/>
    </row>
    <row r="140" spans="1:36" ht="75" x14ac:dyDescent="0.25">
      <c r="A140" s="103">
        <f t="shared" si="14"/>
        <v>134</v>
      </c>
      <c r="B140" s="10" t="s">
        <v>67</v>
      </c>
      <c r="C140" s="10" t="s">
        <v>419</v>
      </c>
      <c r="D140" s="10" t="s">
        <v>420</v>
      </c>
      <c r="E140" s="10" t="s">
        <v>421</v>
      </c>
      <c r="F140" s="10" t="s">
        <v>29</v>
      </c>
      <c r="G140" s="10">
        <f t="shared" si="19"/>
        <v>0</v>
      </c>
      <c r="H140" s="49"/>
      <c r="I140" s="49"/>
      <c r="J140" s="49">
        <f>Master201722[[#This Row],[Initial Budget]]-Master201722[[#This Row],[Previously Committed Funds]]</f>
        <v>0</v>
      </c>
      <c r="K140" s="49"/>
      <c r="L140" s="49"/>
      <c r="M140" s="97">
        <f>Master201722[[#This Row],[Design $ (Add/Deduct)]]+Master201722[[#This Row],[Construction $ (Add/Ded)]]</f>
        <v>0</v>
      </c>
      <c r="N140" s="32">
        <v>100000</v>
      </c>
      <c r="O140" s="8">
        <v>2018</v>
      </c>
      <c r="P140" s="10" t="s">
        <v>46</v>
      </c>
      <c r="Q140" s="8">
        <f t="shared" si="22"/>
        <v>50</v>
      </c>
      <c r="R140" s="8">
        <v>2</v>
      </c>
      <c r="S140" s="8">
        <f t="shared" si="21"/>
        <v>6</v>
      </c>
      <c r="T140" s="8" t="s">
        <v>43</v>
      </c>
      <c r="U140" s="8">
        <f t="shared" si="23"/>
        <v>16</v>
      </c>
      <c r="V140" s="8" t="s">
        <v>34</v>
      </c>
      <c r="W140" s="114">
        <v>0</v>
      </c>
      <c r="X140" s="8">
        <v>0</v>
      </c>
      <c r="Y140" s="8">
        <v>0</v>
      </c>
      <c r="Z140" s="8">
        <v>0</v>
      </c>
      <c r="AA140" s="8">
        <v>0</v>
      </c>
      <c r="AB140" s="8">
        <v>0</v>
      </c>
      <c r="AC140" s="8">
        <v>0</v>
      </c>
      <c r="AD140" s="17" t="s">
        <v>29</v>
      </c>
      <c r="AE140" s="8">
        <f>VLOOKUP(Master201722[[#This Row],[Elevated Priority]],Epriority,2,)</f>
        <v>0</v>
      </c>
      <c r="AF140" s="8">
        <f>IF(Master201722[[#This Row],[Status]]="Active",Master201722[[#This Row],[Status_Score]],IF(C140="","",Q140+G140+S140+U140+AE140-5))</f>
        <v>67</v>
      </c>
      <c r="AG140" s="8"/>
      <c r="AH140" s="8"/>
      <c r="AI140" s="8"/>
      <c r="AJ140" s="10"/>
    </row>
    <row r="141" spans="1:36" ht="30" hidden="1" x14ac:dyDescent="0.25">
      <c r="A141" s="103">
        <f t="shared" si="14"/>
        <v>135</v>
      </c>
      <c r="B141" s="10" t="s">
        <v>94</v>
      </c>
      <c r="C141" s="10" t="s">
        <v>411</v>
      </c>
      <c r="D141" s="10" t="s">
        <v>412</v>
      </c>
      <c r="E141" s="10" t="s">
        <v>413</v>
      </c>
      <c r="F141" s="10" t="s">
        <v>29</v>
      </c>
      <c r="G141" s="10">
        <f t="shared" si="19"/>
        <v>0</v>
      </c>
      <c r="H141" s="49"/>
      <c r="I141" s="49"/>
      <c r="J141" s="49">
        <f>Master201722[[#This Row],[Initial Budget]]-Master201722[[#This Row],[Previously Committed Funds]]</f>
        <v>0</v>
      </c>
      <c r="K141" s="49"/>
      <c r="L141" s="49"/>
      <c r="M141" s="97">
        <f>Master201722[[#This Row],[Design $ (Add/Deduct)]]+Master201722[[#This Row],[Construction $ (Add/Ded)]]</f>
        <v>0</v>
      </c>
      <c r="N141" s="32">
        <v>150000</v>
      </c>
      <c r="O141" s="8">
        <v>2018</v>
      </c>
      <c r="P141" s="10" t="s">
        <v>686</v>
      </c>
      <c r="Q141" s="8">
        <f t="shared" si="22"/>
        <v>60</v>
      </c>
      <c r="R141" s="8">
        <v>21</v>
      </c>
      <c r="S141" s="8">
        <f t="shared" si="21"/>
        <v>27</v>
      </c>
      <c r="T141" s="8" t="s">
        <v>41</v>
      </c>
      <c r="U141" s="8">
        <f t="shared" si="23"/>
        <v>4</v>
      </c>
      <c r="V141" s="8" t="s">
        <v>30</v>
      </c>
      <c r="W141" s="8">
        <v>0</v>
      </c>
      <c r="X141" s="8">
        <v>0</v>
      </c>
      <c r="Y141" s="8">
        <v>0</v>
      </c>
      <c r="Z141" s="8">
        <v>0</v>
      </c>
      <c r="AA141" s="8">
        <v>0</v>
      </c>
      <c r="AB141" s="8">
        <v>0</v>
      </c>
      <c r="AC141" s="8">
        <v>0</v>
      </c>
      <c r="AD141" s="17" t="s">
        <v>29</v>
      </c>
      <c r="AE141" s="8">
        <f>VLOOKUP(Master201722[[#This Row],[Elevated Priority]],Epriority,2,)</f>
        <v>0</v>
      </c>
      <c r="AF141" s="8">
        <f>IF(Master201722[[#This Row],[Status]]="Active",Master201722[[#This Row],[Status_Score]],IF(C141="","",Q141+G141+S141+U141+AE141-5))</f>
        <v>86</v>
      </c>
      <c r="AG141" s="8"/>
      <c r="AH141" s="8"/>
      <c r="AI141" s="8"/>
      <c r="AJ141" s="10"/>
    </row>
    <row r="142" spans="1:36" ht="75" x14ac:dyDescent="0.25">
      <c r="A142" s="103">
        <f t="shared" si="14"/>
        <v>136</v>
      </c>
      <c r="B142" s="10" t="s">
        <v>67</v>
      </c>
      <c r="C142" s="10" t="s">
        <v>531</v>
      </c>
      <c r="D142" s="10" t="s">
        <v>532</v>
      </c>
      <c r="E142" s="10" t="s">
        <v>533</v>
      </c>
      <c r="F142" s="10" t="s">
        <v>29</v>
      </c>
      <c r="G142" s="10">
        <f t="shared" si="19"/>
        <v>0</v>
      </c>
      <c r="H142" s="49"/>
      <c r="I142" s="49"/>
      <c r="J142" s="49">
        <f>Master201722[[#This Row],[Initial Budget]]-Master201722[[#This Row],[Previously Committed Funds]]</f>
        <v>0</v>
      </c>
      <c r="K142" s="49"/>
      <c r="L142" s="49"/>
      <c r="M142" s="97">
        <f>Master201722[[#This Row],[Design $ (Add/Deduct)]]+Master201722[[#This Row],[Construction $ (Add/Ded)]]</f>
        <v>0</v>
      </c>
      <c r="N142" s="32">
        <v>2000000</v>
      </c>
      <c r="O142" s="8">
        <v>2018</v>
      </c>
      <c r="P142" s="10" t="s">
        <v>46</v>
      </c>
      <c r="Q142" s="8">
        <f t="shared" si="22"/>
        <v>50</v>
      </c>
      <c r="R142" s="8">
        <v>2</v>
      </c>
      <c r="S142" s="8">
        <f t="shared" si="21"/>
        <v>6</v>
      </c>
      <c r="T142" s="8" t="s">
        <v>43</v>
      </c>
      <c r="U142" s="8">
        <f t="shared" si="23"/>
        <v>16</v>
      </c>
      <c r="V142" s="8" t="s">
        <v>34</v>
      </c>
      <c r="W142" s="114">
        <v>0</v>
      </c>
      <c r="X142" s="8">
        <v>0</v>
      </c>
      <c r="Y142" s="8">
        <v>0</v>
      </c>
      <c r="Z142" s="8">
        <v>0</v>
      </c>
      <c r="AA142" s="8">
        <v>0</v>
      </c>
      <c r="AB142" s="8">
        <v>0</v>
      </c>
      <c r="AC142" s="8">
        <v>0</v>
      </c>
      <c r="AD142" s="17" t="s">
        <v>29</v>
      </c>
      <c r="AE142" s="8">
        <f>VLOOKUP(Master201722[[#This Row],[Elevated Priority]],Epriority,2,)</f>
        <v>0</v>
      </c>
      <c r="AF142" s="8">
        <f>IF(Master201722[[#This Row],[Status]]="Active",Master201722[[#This Row],[Status_Score]],IF(C142="","",Q142+G142+S142+U142+AE142-5))</f>
        <v>67</v>
      </c>
      <c r="AG142" s="8"/>
      <c r="AH142" s="8"/>
      <c r="AI142" s="8"/>
      <c r="AJ142" s="10"/>
    </row>
    <row r="143" spans="1:36" hidden="1" x14ac:dyDescent="0.25">
      <c r="A143" s="103">
        <f t="shared" si="14"/>
        <v>137</v>
      </c>
      <c r="B143" s="10" t="s">
        <v>67</v>
      </c>
      <c r="C143" s="10" t="s">
        <v>437</v>
      </c>
      <c r="E143" s="10"/>
      <c r="F143" s="10" t="s">
        <v>29</v>
      </c>
      <c r="G143" s="10">
        <f t="shared" ref="G143:G174" si="24">VLOOKUP(F143,Status_Score,2,FALSE)</f>
        <v>0</v>
      </c>
      <c r="H143" s="49"/>
      <c r="I143" s="49"/>
      <c r="J143" s="49">
        <f>Master201722[[#This Row],[Initial Budget]]-Master201722[[#This Row],[Previously Committed Funds]]</f>
        <v>0</v>
      </c>
      <c r="K143" s="49"/>
      <c r="L143" s="49"/>
      <c r="M143" s="97">
        <f>Master201722[[#This Row],[Design $ (Add/Deduct)]]+Master201722[[#This Row],[Construction $ (Add/Ded)]]</f>
        <v>0</v>
      </c>
      <c r="N143" s="32">
        <v>40000</v>
      </c>
      <c r="O143" s="8">
        <v>2018</v>
      </c>
      <c r="P143" s="10" t="s">
        <v>46</v>
      </c>
      <c r="Q143" s="8">
        <f t="shared" si="22"/>
        <v>50</v>
      </c>
      <c r="R143" s="8">
        <v>10</v>
      </c>
      <c r="S143" s="8">
        <f t="shared" si="21"/>
        <v>21</v>
      </c>
      <c r="T143" s="8" t="s">
        <v>29</v>
      </c>
      <c r="U143" s="8">
        <f t="shared" si="23"/>
        <v>0</v>
      </c>
      <c r="V143" s="8" t="s">
        <v>30</v>
      </c>
      <c r="W143" s="8">
        <v>0</v>
      </c>
      <c r="X143" s="8">
        <v>0</v>
      </c>
      <c r="Y143" s="8">
        <v>0</v>
      </c>
      <c r="Z143" s="8">
        <v>0</v>
      </c>
      <c r="AA143" s="8">
        <v>0</v>
      </c>
      <c r="AB143" s="8">
        <v>0</v>
      </c>
      <c r="AC143" s="8">
        <v>0</v>
      </c>
      <c r="AD143" s="17" t="s">
        <v>29</v>
      </c>
      <c r="AE143" s="8">
        <f>VLOOKUP(Master201722[[#This Row],[Elevated Priority]],Epriority,2,)</f>
        <v>0</v>
      </c>
      <c r="AF143" s="8">
        <f>IF(Master201722[[#This Row],[Status]]="Active",Master201722[[#This Row],[Status_Score]],IF(C143="","",Q143+G143+S143+U143+AE143-5))</f>
        <v>66</v>
      </c>
      <c r="AG143" s="8"/>
      <c r="AH143" s="8"/>
      <c r="AI143" s="8"/>
      <c r="AJ143" s="10"/>
    </row>
    <row r="144" spans="1:36" ht="30" x14ac:dyDescent="0.25">
      <c r="A144" s="103">
        <f t="shared" ref="A144:A205" si="25">A143+1</f>
        <v>138</v>
      </c>
      <c r="B144" s="10" t="s">
        <v>67</v>
      </c>
      <c r="C144" s="10" t="s">
        <v>621</v>
      </c>
      <c r="D144" s="10" t="s">
        <v>622</v>
      </c>
      <c r="E144" s="10" t="s">
        <v>623</v>
      </c>
      <c r="F144" s="10" t="s">
        <v>29</v>
      </c>
      <c r="G144" s="10">
        <f t="shared" si="24"/>
        <v>0</v>
      </c>
      <c r="H144" s="49"/>
      <c r="I144" s="49"/>
      <c r="J144" s="49">
        <f>Master201722[[#This Row],[Initial Budget]]-Master201722[[#This Row],[Previously Committed Funds]]</f>
        <v>0</v>
      </c>
      <c r="K144" s="49"/>
      <c r="L144" s="49"/>
      <c r="M144" s="97">
        <f>Master201722[[#This Row],[Design $ (Add/Deduct)]]+Master201722[[#This Row],[Construction $ (Add/Ded)]]</f>
        <v>0</v>
      </c>
      <c r="N144" s="32">
        <v>400000</v>
      </c>
      <c r="O144" s="8">
        <v>2019</v>
      </c>
      <c r="P144" s="10" t="s">
        <v>46</v>
      </c>
      <c r="Q144" s="8">
        <f t="shared" si="22"/>
        <v>50</v>
      </c>
      <c r="R144" s="8">
        <v>7</v>
      </c>
      <c r="S144" s="8">
        <f t="shared" si="21"/>
        <v>20</v>
      </c>
      <c r="T144" s="8" t="s">
        <v>41</v>
      </c>
      <c r="U144" s="8">
        <f t="shared" si="23"/>
        <v>4</v>
      </c>
      <c r="V144" s="8" t="s">
        <v>34</v>
      </c>
      <c r="W144" s="114">
        <v>0</v>
      </c>
      <c r="X144" s="8">
        <v>0</v>
      </c>
      <c r="Y144" s="8">
        <v>0</v>
      </c>
      <c r="Z144" s="8">
        <v>0</v>
      </c>
      <c r="AA144" s="8">
        <v>0</v>
      </c>
      <c r="AB144" s="8">
        <v>0</v>
      </c>
      <c r="AC144" s="8">
        <v>0</v>
      </c>
      <c r="AD144" s="8" t="s">
        <v>29</v>
      </c>
      <c r="AE144" s="8">
        <f>VLOOKUP(Master201722[[#This Row],[Elevated Priority]],Epriority,2,)</f>
        <v>0</v>
      </c>
      <c r="AF144" s="8">
        <f>IF(Master201722[[#This Row],[Status]]="Active",Master201722[[#This Row],[Status_Score]],IF(C144="","",Q144+G144+S144+U144+AE144-5))</f>
        <v>69</v>
      </c>
      <c r="AG144" s="8"/>
      <c r="AH144" s="8"/>
      <c r="AI144" s="8"/>
      <c r="AJ144" s="10"/>
    </row>
    <row r="145" spans="1:36" ht="60" x14ac:dyDescent="0.25">
      <c r="A145" s="103">
        <f t="shared" si="25"/>
        <v>139</v>
      </c>
      <c r="B145" s="10" t="s">
        <v>65</v>
      </c>
      <c r="C145" s="10" t="s">
        <v>567</v>
      </c>
      <c r="D145" s="10" t="s">
        <v>911</v>
      </c>
      <c r="E145" s="10" t="s">
        <v>569</v>
      </c>
      <c r="F145" s="10" t="s">
        <v>29</v>
      </c>
      <c r="G145" s="10">
        <f t="shared" si="24"/>
        <v>0</v>
      </c>
      <c r="H145" s="49"/>
      <c r="I145" s="49"/>
      <c r="J145" s="49">
        <f>Master201722[[#This Row],[Initial Budget]]-Master201722[[#This Row],[Previously Committed Funds]]</f>
        <v>0</v>
      </c>
      <c r="K145" s="49"/>
      <c r="L145" s="49"/>
      <c r="M145" s="97">
        <f>Master201722[[#This Row],[Design $ (Add/Deduct)]]+Master201722[[#This Row],[Construction $ (Add/Ded)]]</f>
        <v>0</v>
      </c>
      <c r="N145" s="32">
        <v>5000000</v>
      </c>
      <c r="O145" s="8">
        <v>2018</v>
      </c>
      <c r="P145" s="10" t="s">
        <v>46</v>
      </c>
      <c r="Q145" s="8">
        <f t="shared" si="22"/>
        <v>50</v>
      </c>
      <c r="R145" s="8">
        <v>5</v>
      </c>
      <c r="S145" s="8">
        <f t="shared" si="21"/>
        <v>15</v>
      </c>
      <c r="T145" s="8" t="s">
        <v>45</v>
      </c>
      <c r="U145" s="8">
        <f t="shared" si="23"/>
        <v>32</v>
      </c>
      <c r="V145" s="8" t="s">
        <v>34</v>
      </c>
      <c r="W145" s="114">
        <v>-9</v>
      </c>
      <c r="X145" s="8">
        <v>0</v>
      </c>
      <c r="Y145" s="8">
        <v>0</v>
      </c>
      <c r="Z145" s="8">
        <v>-3</v>
      </c>
      <c r="AA145" s="8">
        <v>-2</v>
      </c>
      <c r="AB145" s="8">
        <v>-7</v>
      </c>
      <c r="AC145" s="8">
        <v>0</v>
      </c>
      <c r="AD145" s="17" t="s">
        <v>29</v>
      </c>
      <c r="AE145" s="8">
        <f>VLOOKUP(Master201722[[#This Row],[Elevated Priority]],Epriority,2,)</f>
        <v>0</v>
      </c>
      <c r="AF145" s="8">
        <f>IF(Master201722[[#This Row],[Status]]="Active",Master201722[[#This Row],[Status_Score]],IF(C145="","",Q145+G145+S145+U145+AE145-5))</f>
        <v>92</v>
      </c>
      <c r="AG145" s="8"/>
      <c r="AH145" s="8"/>
      <c r="AI145" s="8"/>
      <c r="AJ145" s="10"/>
    </row>
    <row r="146" spans="1:36" ht="30" x14ac:dyDescent="0.25">
      <c r="A146" s="103">
        <f t="shared" si="25"/>
        <v>140</v>
      </c>
      <c r="B146" s="10" t="s">
        <v>79</v>
      </c>
      <c r="C146" s="10" t="s">
        <v>513</v>
      </c>
      <c r="D146" s="10" t="s">
        <v>514</v>
      </c>
      <c r="E146" s="10" t="s">
        <v>515</v>
      </c>
      <c r="F146" s="10" t="s">
        <v>29</v>
      </c>
      <c r="G146" s="10">
        <f t="shared" si="24"/>
        <v>0</v>
      </c>
      <c r="H146" s="49"/>
      <c r="I146" s="49"/>
      <c r="J146" s="49">
        <f>Master201722[[#This Row],[Initial Budget]]-Master201722[[#This Row],[Previously Committed Funds]]</f>
        <v>0</v>
      </c>
      <c r="K146" s="49"/>
      <c r="L146" s="49"/>
      <c r="M146" s="97">
        <f>Master201722[[#This Row],[Design $ (Add/Deduct)]]+Master201722[[#This Row],[Construction $ (Add/Ded)]]</f>
        <v>0</v>
      </c>
      <c r="N146" s="32">
        <v>50000</v>
      </c>
      <c r="O146" s="8">
        <v>2018</v>
      </c>
      <c r="P146" s="10" t="s">
        <v>686</v>
      </c>
      <c r="Q146" s="8">
        <f t="shared" si="22"/>
        <v>60</v>
      </c>
      <c r="R146" s="8">
        <v>10</v>
      </c>
      <c r="S146" s="8">
        <f t="shared" si="21"/>
        <v>21</v>
      </c>
      <c r="T146" s="8" t="s">
        <v>43</v>
      </c>
      <c r="U146" s="8">
        <f t="shared" si="23"/>
        <v>16</v>
      </c>
      <c r="V146" s="8" t="s">
        <v>34</v>
      </c>
      <c r="W146" s="114">
        <v>0</v>
      </c>
      <c r="X146" s="8">
        <v>0</v>
      </c>
      <c r="Y146" s="8">
        <v>0</v>
      </c>
      <c r="Z146" s="8">
        <v>0</v>
      </c>
      <c r="AA146" s="8">
        <v>0</v>
      </c>
      <c r="AB146" s="8">
        <v>0</v>
      </c>
      <c r="AC146" s="8">
        <v>0</v>
      </c>
      <c r="AD146" s="17" t="s">
        <v>29</v>
      </c>
      <c r="AE146" s="8">
        <f>VLOOKUP(Master201722[[#This Row],[Elevated Priority]],Epriority,2,)</f>
        <v>0</v>
      </c>
      <c r="AF146" s="8">
        <f>IF(Master201722[[#This Row],[Status]]="Active",Master201722[[#This Row],[Status_Score]],IF(C146="","",Q146+G146+S146+U146+AE146-5))</f>
        <v>92</v>
      </c>
      <c r="AG146" s="8"/>
      <c r="AH146" s="8"/>
      <c r="AI146" s="8"/>
      <c r="AJ146" s="10"/>
    </row>
    <row r="147" spans="1:36" ht="30" hidden="1" x14ac:dyDescent="0.25">
      <c r="A147" s="103">
        <f t="shared" si="25"/>
        <v>141</v>
      </c>
      <c r="B147" s="10" t="s">
        <v>67</v>
      </c>
      <c r="C147" s="10" t="s">
        <v>431</v>
      </c>
      <c r="D147" s="10" t="s">
        <v>432</v>
      </c>
      <c r="E147" s="10" t="s">
        <v>433</v>
      </c>
      <c r="F147" s="10" t="s">
        <v>29</v>
      </c>
      <c r="G147" s="10">
        <f t="shared" si="24"/>
        <v>0</v>
      </c>
      <c r="H147" s="49"/>
      <c r="I147" s="49"/>
      <c r="J147" s="49">
        <f>Master201722[[#This Row],[Initial Budget]]-Master201722[[#This Row],[Previously Committed Funds]]</f>
        <v>0</v>
      </c>
      <c r="K147" s="49"/>
      <c r="L147" s="49"/>
      <c r="M147" s="97">
        <f>Master201722[[#This Row],[Design $ (Add/Deduct)]]+Master201722[[#This Row],[Construction $ (Add/Ded)]]</f>
        <v>0</v>
      </c>
      <c r="N147" s="32">
        <v>25000</v>
      </c>
      <c r="O147" s="8">
        <v>2018</v>
      </c>
      <c r="P147" s="10" t="s">
        <v>46</v>
      </c>
      <c r="Q147" s="8">
        <f t="shared" si="22"/>
        <v>50</v>
      </c>
      <c r="R147" s="8">
        <v>2</v>
      </c>
      <c r="S147" s="8">
        <f t="shared" si="21"/>
        <v>6</v>
      </c>
      <c r="T147" s="8" t="s">
        <v>43</v>
      </c>
      <c r="U147" s="8">
        <f t="shared" si="23"/>
        <v>16</v>
      </c>
      <c r="V147" s="8" t="s">
        <v>30</v>
      </c>
      <c r="W147" s="8">
        <v>0</v>
      </c>
      <c r="X147" s="8">
        <v>0</v>
      </c>
      <c r="Y147" s="8">
        <v>0</v>
      </c>
      <c r="Z147" s="8">
        <v>0</v>
      </c>
      <c r="AA147" s="8">
        <v>0</v>
      </c>
      <c r="AB147" s="8">
        <v>0</v>
      </c>
      <c r="AC147" s="8">
        <v>0</v>
      </c>
      <c r="AD147" s="17" t="s">
        <v>29</v>
      </c>
      <c r="AE147" s="8">
        <f>VLOOKUP(Master201722[[#This Row],[Elevated Priority]],Epriority,2,)</f>
        <v>0</v>
      </c>
      <c r="AF147" s="8">
        <f>IF(Master201722[[#This Row],[Status]]="Active",Master201722[[#This Row],[Status_Score]],IF(C147="","",Q147+G147+S147+U147+AE147-5))</f>
        <v>67</v>
      </c>
      <c r="AG147" s="8"/>
      <c r="AH147" s="8"/>
      <c r="AI147" s="8"/>
      <c r="AJ147" s="10"/>
    </row>
    <row r="148" spans="1:36" ht="45" x14ac:dyDescent="0.25">
      <c r="A148" s="103">
        <f t="shared" si="25"/>
        <v>142</v>
      </c>
      <c r="B148" s="10" t="s">
        <v>65</v>
      </c>
      <c r="C148" s="10" t="s">
        <v>842</v>
      </c>
      <c r="D148" s="10" t="s">
        <v>388</v>
      </c>
      <c r="E148" s="10" t="s">
        <v>389</v>
      </c>
      <c r="F148" s="10" t="s">
        <v>29</v>
      </c>
      <c r="G148" s="10">
        <f t="shared" si="24"/>
        <v>0</v>
      </c>
      <c r="H148" s="49"/>
      <c r="I148" s="49"/>
      <c r="J148" s="49">
        <f>Master201722[[#This Row],[Initial Budget]]-Master201722[[#This Row],[Previously Committed Funds]]</f>
        <v>0</v>
      </c>
      <c r="K148" s="49"/>
      <c r="L148" s="49"/>
      <c r="M148" s="97">
        <f>Master201722[[#This Row],[Design $ (Add/Deduct)]]+Master201722[[#This Row],[Construction $ (Add/Ded)]]</f>
        <v>0</v>
      </c>
      <c r="N148" s="32">
        <v>375000</v>
      </c>
      <c r="O148" s="8">
        <v>2018</v>
      </c>
      <c r="P148" s="10" t="s">
        <v>686</v>
      </c>
      <c r="Q148" s="8">
        <f t="shared" si="22"/>
        <v>60</v>
      </c>
      <c r="R148" s="8">
        <v>10</v>
      </c>
      <c r="S148" s="8">
        <f t="shared" si="21"/>
        <v>21</v>
      </c>
      <c r="T148" s="8" t="s">
        <v>43</v>
      </c>
      <c r="U148" s="8">
        <f t="shared" si="23"/>
        <v>16</v>
      </c>
      <c r="V148" s="8" t="s">
        <v>34</v>
      </c>
      <c r="W148" s="114">
        <v>0</v>
      </c>
      <c r="X148" s="8">
        <v>0</v>
      </c>
      <c r="Y148" s="8">
        <v>0</v>
      </c>
      <c r="Z148" s="8">
        <v>0</v>
      </c>
      <c r="AA148" s="8">
        <v>0</v>
      </c>
      <c r="AB148" s="8">
        <v>0</v>
      </c>
      <c r="AC148" s="8">
        <v>0</v>
      </c>
      <c r="AD148" s="17" t="s">
        <v>29</v>
      </c>
      <c r="AE148" s="8">
        <f>VLOOKUP(Master201722[[#This Row],[Elevated Priority]],Epriority,2,)</f>
        <v>0</v>
      </c>
      <c r="AF148" s="8">
        <f>IF(Master201722[[#This Row],[Status]]="Active",Master201722[[#This Row],[Status_Score]],IF(C148="","",Q148+G148+S148+U148+AE148-5))</f>
        <v>92</v>
      </c>
      <c r="AG148" s="8"/>
      <c r="AH148" s="8"/>
      <c r="AI148" s="8"/>
      <c r="AJ148" s="10"/>
    </row>
    <row r="149" spans="1:36" ht="150" x14ac:dyDescent="0.25">
      <c r="A149" s="103">
        <f t="shared" si="25"/>
        <v>143</v>
      </c>
      <c r="B149" s="10" t="s">
        <v>299</v>
      </c>
      <c r="C149" s="10" t="s">
        <v>450</v>
      </c>
      <c r="D149" s="10" t="s">
        <v>451</v>
      </c>
      <c r="E149" s="10" t="s">
        <v>764</v>
      </c>
      <c r="F149" s="10" t="s">
        <v>29</v>
      </c>
      <c r="G149" s="10">
        <f t="shared" si="24"/>
        <v>0</v>
      </c>
      <c r="H149" s="49"/>
      <c r="I149" s="49"/>
      <c r="J149" s="49">
        <f>Master201722[[#This Row],[Initial Budget]]-Master201722[[#This Row],[Previously Committed Funds]]</f>
        <v>0</v>
      </c>
      <c r="K149" s="49"/>
      <c r="L149" s="49"/>
      <c r="M149" s="97">
        <f>Master201722[[#This Row],[Design $ (Add/Deduct)]]+Master201722[[#This Row],[Construction $ (Add/Ded)]]</f>
        <v>0</v>
      </c>
      <c r="N149" s="49">
        <v>50000</v>
      </c>
      <c r="O149" s="8">
        <v>2018</v>
      </c>
      <c r="P149" s="10" t="s">
        <v>686</v>
      </c>
      <c r="Q149" s="8">
        <f t="shared" si="22"/>
        <v>60</v>
      </c>
      <c r="R149" s="17">
        <v>3</v>
      </c>
      <c r="S149" s="8">
        <f t="shared" ref="S149:S180" si="26">VLOOKUP(R149,Department,2,FALSE)</f>
        <v>9</v>
      </c>
      <c r="T149" s="17" t="s">
        <v>45</v>
      </c>
      <c r="U149" s="8">
        <f t="shared" si="23"/>
        <v>32</v>
      </c>
      <c r="V149" s="8" t="s">
        <v>34</v>
      </c>
      <c r="W149" s="114">
        <v>0</v>
      </c>
      <c r="X149" s="8">
        <v>0</v>
      </c>
      <c r="Y149" s="8">
        <v>0</v>
      </c>
      <c r="Z149" s="8">
        <v>0</v>
      </c>
      <c r="AA149" s="8">
        <v>-2</v>
      </c>
      <c r="AB149" s="8">
        <v>0</v>
      </c>
      <c r="AC149" s="8">
        <v>0</v>
      </c>
      <c r="AD149" s="17" t="s">
        <v>29</v>
      </c>
      <c r="AE149" s="8">
        <f>VLOOKUP(Master201722[[#This Row],[Elevated Priority]],Epriority,2,)</f>
        <v>0</v>
      </c>
      <c r="AF149" s="8">
        <f>IF(Master201722[[#This Row],[Status]]="Active",Master201722[[#This Row],[Status_Score]],IF(C149="","",Q149+G149+S149+U149+AE149-5))</f>
        <v>96</v>
      </c>
      <c r="AG149" s="8"/>
      <c r="AH149" s="8"/>
      <c r="AI149" s="8"/>
      <c r="AJ149" s="10"/>
    </row>
    <row r="150" spans="1:36" ht="60" x14ac:dyDescent="0.25">
      <c r="A150" s="103">
        <f t="shared" si="25"/>
        <v>144</v>
      </c>
      <c r="B150" s="111" t="s">
        <v>61</v>
      </c>
      <c r="C150" s="111" t="s">
        <v>498</v>
      </c>
      <c r="D150" s="111" t="s">
        <v>499</v>
      </c>
      <c r="E150" s="111" t="s">
        <v>458</v>
      </c>
      <c r="F150" s="111" t="s">
        <v>29</v>
      </c>
      <c r="G150" s="111">
        <f t="shared" si="24"/>
        <v>0</v>
      </c>
      <c r="H150" s="112"/>
      <c r="I150" s="112"/>
      <c r="J150" s="112">
        <f>Master201722[[#This Row],[Initial Budget]]-Master201722[[#This Row],[Previously Committed Funds]]</f>
        <v>0</v>
      </c>
      <c r="K150" s="112"/>
      <c r="L150" s="112"/>
      <c r="M150" s="116">
        <f>Master201722[[#This Row],[Design $ (Add/Deduct)]]+Master201722[[#This Row],[Construction $ (Add/Ded)]]</f>
        <v>0</v>
      </c>
      <c r="N150" s="115">
        <v>6000000</v>
      </c>
      <c r="O150" s="114">
        <v>2018</v>
      </c>
      <c r="P150" s="111" t="s">
        <v>46</v>
      </c>
      <c r="Q150" s="114">
        <f t="shared" si="22"/>
        <v>50</v>
      </c>
      <c r="R150" s="114">
        <v>2</v>
      </c>
      <c r="S150" s="114">
        <f t="shared" si="26"/>
        <v>6</v>
      </c>
      <c r="T150" s="114" t="s">
        <v>45</v>
      </c>
      <c r="U150" s="114">
        <f t="shared" si="23"/>
        <v>32</v>
      </c>
      <c r="V150" s="114" t="s">
        <v>34</v>
      </c>
      <c r="W150" s="114">
        <v>0</v>
      </c>
      <c r="X150" s="8">
        <v>0</v>
      </c>
      <c r="Y150" s="8">
        <v>-3</v>
      </c>
      <c r="Z150" s="8">
        <v>0</v>
      </c>
      <c r="AA150" s="8">
        <v>-2</v>
      </c>
      <c r="AB150" s="8">
        <v>-3</v>
      </c>
      <c r="AC150" s="8">
        <v>0</v>
      </c>
      <c r="AD150" s="113" t="s">
        <v>29</v>
      </c>
      <c r="AE150" s="114">
        <f>VLOOKUP(Master201722[[#This Row],[Elevated Priority]],Epriority,2,)</f>
        <v>0</v>
      </c>
      <c r="AF150" s="8">
        <f>IF(Master201722[[#This Row],[Status]]="Active",Master201722[[#This Row],[Status_Score]],IF(C150="","",Q150+G150+S150+U150+AE150-5))</f>
        <v>83</v>
      </c>
      <c r="AG150" s="114" t="s">
        <v>717</v>
      </c>
      <c r="AH150" s="114"/>
      <c r="AI150" s="114"/>
      <c r="AJ150" s="111" t="s">
        <v>722</v>
      </c>
    </row>
    <row r="151" spans="1:36" ht="45" x14ac:dyDescent="0.25">
      <c r="A151" s="103">
        <f t="shared" si="25"/>
        <v>145</v>
      </c>
      <c r="B151" s="10" t="s">
        <v>94</v>
      </c>
      <c r="C151" s="10" t="s">
        <v>590</v>
      </c>
      <c r="D151" s="10" t="s">
        <v>591</v>
      </c>
      <c r="E151" s="10"/>
      <c r="F151" s="10" t="s">
        <v>29</v>
      </c>
      <c r="G151" s="10">
        <f t="shared" si="24"/>
        <v>0</v>
      </c>
      <c r="H151" s="49"/>
      <c r="I151" s="49"/>
      <c r="J151" s="49">
        <f>Master201722[[#This Row],[Initial Budget]]-Master201722[[#This Row],[Previously Committed Funds]]</f>
        <v>0</v>
      </c>
      <c r="K151" s="49"/>
      <c r="L151" s="49"/>
      <c r="M151" s="97">
        <f>Master201722[[#This Row],[Design $ (Add/Deduct)]]+Master201722[[#This Row],[Construction $ (Add/Ded)]]</f>
        <v>0</v>
      </c>
      <c r="N151" s="32">
        <v>120000</v>
      </c>
      <c r="O151" s="17">
        <v>2019</v>
      </c>
      <c r="P151" s="10" t="s">
        <v>686</v>
      </c>
      <c r="Q151" s="8">
        <f t="shared" si="22"/>
        <v>60</v>
      </c>
      <c r="R151" s="8">
        <v>17</v>
      </c>
      <c r="S151" s="8">
        <f t="shared" si="26"/>
        <v>25</v>
      </c>
      <c r="T151" s="8" t="s">
        <v>43</v>
      </c>
      <c r="U151" s="8">
        <f t="shared" si="23"/>
        <v>16</v>
      </c>
      <c r="V151" s="8" t="s">
        <v>34</v>
      </c>
      <c r="W151" s="114">
        <v>0</v>
      </c>
      <c r="X151" s="8">
        <v>0</v>
      </c>
      <c r="Y151" s="8">
        <v>0</v>
      </c>
      <c r="Z151" s="8">
        <v>0</v>
      </c>
      <c r="AA151" s="8">
        <v>0</v>
      </c>
      <c r="AB151" s="8">
        <v>0</v>
      </c>
      <c r="AC151" s="8">
        <v>0</v>
      </c>
      <c r="AD151" s="17" t="s">
        <v>29</v>
      </c>
      <c r="AE151" s="8">
        <f>VLOOKUP(Master201722[[#This Row],[Elevated Priority]],Epriority,2,)</f>
        <v>0</v>
      </c>
      <c r="AF151" s="8">
        <f>IF(Master201722[[#This Row],[Status]]="Active",Master201722[[#This Row],[Status_Score]],IF(C151="","",Q151+G151+S151+U151+AE151-5))</f>
        <v>96</v>
      </c>
      <c r="AG151" s="8"/>
      <c r="AH151" s="8"/>
      <c r="AI151" s="8"/>
      <c r="AJ151" s="10"/>
    </row>
    <row r="152" spans="1:36" ht="30" x14ac:dyDescent="0.25">
      <c r="A152" s="103">
        <f t="shared" si="25"/>
        <v>146</v>
      </c>
      <c r="B152" s="10" t="s">
        <v>67</v>
      </c>
      <c r="C152" s="10" t="s">
        <v>618</v>
      </c>
      <c r="D152" s="10" t="s">
        <v>619</v>
      </c>
      <c r="E152" s="10" t="s">
        <v>620</v>
      </c>
      <c r="F152" s="10" t="s">
        <v>29</v>
      </c>
      <c r="G152" s="10">
        <f t="shared" si="24"/>
        <v>0</v>
      </c>
      <c r="H152" s="49"/>
      <c r="I152" s="49"/>
      <c r="J152" s="49">
        <f>Master201722[[#This Row],[Initial Budget]]-Master201722[[#This Row],[Previously Committed Funds]]</f>
        <v>0</v>
      </c>
      <c r="K152" s="49"/>
      <c r="L152" s="49"/>
      <c r="M152" s="97">
        <f>Master201722[[#This Row],[Design $ (Add/Deduct)]]+Master201722[[#This Row],[Construction $ (Add/Ded)]]</f>
        <v>0</v>
      </c>
      <c r="N152" s="32">
        <v>500000</v>
      </c>
      <c r="O152" s="8">
        <v>2019</v>
      </c>
      <c r="P152" s="10" t="s">
        <v>46</v>
      </c>
      <c r="Q152" s="8">
        <f t="shared" ref="Q152:Q183" si="27">VLOOKUP(P152,Importance,2,FALSE)</f>
        <v>50</v>
      </c>
      <c r="R152" s="8">
        <v>5</v>
      </c>
      <c r="S152" s="8">
        <f t="shared" si="26"/>
        <v>15</v>
      </c>
      <c r="T152" s="8" t="s">
        <v>43</v>
      </c>
      <c r="U152" s="8">
        <f t="shared" si="23"/>
        <v>16</v>
      </c>
      <c r="V152" s="8" t="s">
        <v>34</v>
      </c>
      <c r="W152" s="114">
        <v>0</v>
      </c>
      <c r="X152" s="8">
        <v>0</v>
      </c>
      <c r="Y152" s="8">
        <v>0</v>
      </c>
      <c r="Z152" s="8">
        <v>0</v>
      </c>
      <c r="AA152" s="8">
        <v>0</v>
      </c>
      <c r="AB152" s="8">
        <v>0</v>
      </c>
      <c r="AC152" s="8">
        <v>0</v>
      </c>
      <c r="AD152" s="8" t="s">
        <v>29</v>
      </c>
      <c r="AE152" s="8">
        <f>VLOOKUP(Master201722[[#This Row],[Elevated Priority]],Epriority,2,)</f>
        <v>0</v>
      </c>
      <c r="AF152" s="8">
        <f>IF(Master201722[[#This Row],[Status]]="Active",Master201722[[#This Row],[Status_Score]],IF(C152="","",Q152+G152+S152+U152+AE152-5))</f>
        <v>76</v>
      </c>
      <c r="AG152" s="8"/>
      <c r="AH152" s="8"/>
      <c r="AI152" s="8"/>
      <c r="AJ152" s="10"/>
    </row>
    <row r="153" spans="1:36" hidden="1" x14ac:dyDescent="0.25">
      <c r="A153" s="103">
        <f t="shared" si="25"/>
        <v>147</v>
      </c>
      <c r="B153" s="10" t="s">
        <v>94</v>
      </c>
      <c r="C153" s="10" t="s">
        <v>586</v>
      </c>
      <c r="D153" s="10" t="s">
        <v>587</v>
      </c>
      <c r="E153" s="10"/>
      <c r="F153" s="10" t="s">
        <v>29</v>
      </c>
      <c r="G153" s="10">
        <f t="shared" si="24"/>
        <v>0</v>
      </c>
      <c r="H153" s="49"/>
      <c r="I153" s="49"/>
      <c r="J153" s="49">
        <f>Master201722[[#This Row],[Initial Budget]]-Master201722[[#This Row],[Previously Committed Funds]]</f>
        <v>0</v>
      </c>
      <c r="K153" s="49"/>
      <c r="L153" s="49"/>
      <c r="M153" s="97">
        <f>Master201722[[#This Row],[Design $ (Add/Deduct)]]+Master201722[[#This Row],[Construction $ (Add/Ded)]]</f>
        <v>0</v>
      </c>
      <c r="N153" s="32">
        <v>50000</v>
      </c>
      <c r="O153" s="17">
        <v>2019</v>
      </c>
      <c r="P153" s="10" t="s">
        <v>686</v>
      </c>
      <c r="Q153" s="8">
        <f t="shared" si="27"/>
        <v>60</v>
      </c>
      <c r="R153" s="8">
        <v>15</v>
      </c>
      <c r="S153" s="8">
        <f t="shared" si="26"/>
        <v>24</v>
      </c>
      <c r="T153" s="8" t="s">
        <v>43</v>
      </c>
      <c r="U153" s="8">
        <f t="shared" si="23"/>
        <v>16</v>
      </c>
      <c r="V153" s="8" t="s">
        <v>30</v>
      </c>
      <c r="W153" s="8">
        <v>0</v>
      </c>
      <c r="X153" s="8">
        <v>0</v>
      </c>
      <c r="Y153" s="8">
        <v>0</v>
      </c>
      <c r="Z153" s="8">
        <v>0</v>
      </c>
      <c r="AA153" s="8">
        <v>0</v>
      </c>
      <c r="AB153" s="8">
        <v>0</v>
      </c>
      <c r="AC153" s="8">
        <v>0</v>
      </c>
      <c r="AD153" s="17" t="s">
        <v>29</v>
      </c>
      <c r="AE153" s="8">
        <f>VLOOKUP(Master201722[[#This Row],[Elevated Priority]],Epriority,2,)</f>
        <v>0</v>
      </c>
      <c r="AF153" s="8">
        <f>IF(Master201722[[#This Row],[Status]]="Active",Master201722[[#This Row],[Status_Score]],IF(C153="","",Q153+G153+S153+U153+AE153-5))</f>
        <v>95</v>
      </c>
      <c r="AG153" s="8"/>
      <c r="AH153" s="8"/>
      <c r="AI153" s="8"/>
      <c r="AJ153" s="10"/>
    </row>
    <row r="154" spans="1:36" x14ac:dyDescent="0.25">
      <c r="A154" s="103">
        <f t="shared" si="25"/>
        <v>148</v>
      </c>
      <c r="B154" s="10" t="s">
        <v>94</v>
      </c>
      <c r="C154" s="10" t="s">
        <v>465</v>
      </c>
      <c r="D154" s="10" t="s">
        <v>466</v>
      </c>
      <c r="E154" s="10" t="s">
        <v>467</v>
      </c>
      <c r="F154" s="10" t="s">
        <v>29</v>
      </c>
      <c r="G154" s="10">
        <f t="shared" si="24"/>
        <v>0</v>
      </c>
      <c r="H154" s="49"/>
      <c r="I154" s="49"/>
      <c r="J154" s="49">
        <f>Master201722[[#This Row],[Initial Budget]]-Master201722[[#This Row],[Previously Committed Funds]]</f>
        <v>0</v>
      </c>
      <c r="K154" s="49"/>
      <c r="L154" s="49"/>
      <c r="M154" s="97">
        <f>Master201722[[#This Row],[Design $ (Add/Deduct)]]+Master201722[[#This Row],[Construction $ (Add/Ded)]]</f>
        <v>0</v>
      </c>
      <c r="N154" s="32">
        <v>200000</v>
      </c>
      <c r="O154" s="8">
        <v>2018</v>
      </c>
      <c r="P154" s="10" t="s">
        <v>46</v>
      </c>
      <c r="Q154" s="8">
        <f t="shared" si="27"/>
        <v>50</v>
      </c>
      <c r="R154" s="8">
        <v>30</v>
      </c>
      <c r="S154" s="8">
        <f t="shared" si="26"/>
        <v>31</v>
      </c>
      <c r="T154" s="8" t="s">
        <v>37</v>
      </c>
      <c r="U154" s="8">
        <f t="shared" si="23"/>
        <v>3</v>
      </c>
      <c r="V154" s="8" t="s">
        <v>34</v>
      </c>
      <c r="W154" s="114">
        <v>0</v>
      </c>
      <c r="X154" s="8">
        <v>0</v>
      </c>
      <c r="Y154" s="8">
        <v>0</v>
      </c>
      <c r="Z154" s="8">
        <v>0</v>
      </c>
      <c r="AA154" s="8">
        <v>-2</v>
      </c>
      <c r="AB154" s="8">
        <v>0</v>
      </c>
      <c r="AC154" s="8">
        <v>0</v>
      </c>
      <c r="AD154" s="17" t="s">
        <v>29</v>
      </c>
      <c r="AE154" s="8">
        <f>VLOOKUP(Master201722[[#This Row],[Elevated Priority]],Epriority,2,)</f>
        <v>0</v>
      </c>
      <c r="AF154" s="8">
        <f>IF(Master201722[[#This Row],[Status]]="Active",Master201722[[#This Row],[Status_Score]],IF(C154="","",Q154+G154+S154+U154+AE154-5))</f>
        <v>79</v>
      </c>
      <c r="AG154" s="8"/>
      <c r="AH154" s="8"/>
      <c r="AI154" s="8"/>
      <c r="AJ154" s="10"/>
    </row>
    <row r="155" spans="1:36" ht="30" x14ac:dyDescent="0.25">
      <c r="A155" s="103">
        <f t="shared" si="25"/>
        <v>149</v>
      </c>
      <c r="B155" s="10" t="s">
        <v>94</v>
      </c>
      <c r="C155" s="10" t="s">
        <v>462</v>
      </c>
      <c r="D155" s="10" t="s">
        <v>463</v>
      </c>
      <c r="E155" s="10" t="s">
        <v>464</v>
      </c>
      <c r="F155" s="10" t="s">
        <v>29</v>
      </c>
      <c r="G155" s="10">
        <f t="shared" si="24"/>
        <v>0</v>
      </c>
      <c r="H155" s="49"/>
      <c r="I155" s="49"/>
      <c r="J155" s="49">
        <f>Master201722[[#This Row],[Initial Budget]]-Master201722[[#This Row],[Previously Committed Funds]]</f>
        <v>0</v>
      </c>
      <c r="K155" s="49"/>
      <c r="L155" s="49"/>
      <c r="M155" s="97">
        <f>Master201722[[#This Row],[Design $ (Add/Deduct)]]+Master201722[[#This Row],[Construction $ (Add/Ded)]]</f>
        <v>0</v>
      </c>
      <c r="N155" s="32">
        <v>400000</v>
      </c>
      <c r="O155" s="8">
        <v>2018</v>
      </c>
      <c r="P155" s="10" t="s">
        <v>46</v>
      </c>
      <c r="Q155" s="8">
        <f t="shared" si="27"/>
        <v>50</v>
      </c>
      <c r="R155" s="8">
        <v>33</v>
      </c>
      <c r="S155" s="8">
        <f t="shared" si="26"/>
        <v>33</v>
      </c>
      <c r="T155" s="8" t="s">
        <v>37</v>
      </c>
      <c r="U155" s="8">
        <f t="shared" si="23"/>
        <v>3</v>
      </c>
      <c r="V155" s="8" t="s">
        <v>34</v>
      </c>
      <c r="W155" s="114">
        <v>0</v>
      </c>
      <c r="X155" s="8">
        <v>0</v>
      </c>
      <c r="Y155" s="8">
        <v>0</v>
      </c>
      <c r="Z155" s="8">
        <v>0</v>
      </c>
      <c r="AA155" s="8">
        <v>0</v>
      </c>
      <c r="AB155" s="8">
        <v>0</v>
      </c>
      <c r="AC155" s="8">
        <v>0</v>
      </c>
      <c r="AD155" s="17" t="s">
        <v>29</v>
      </c>
      <c r="AE155" s="8">
        <f>VLOOKUP(Master201722[[#This Row],[Elevated Priority]],Epriority,2,)</f>
        <v>0</v>
      </c>
      <c r="AF155" s="8">
        <f>IF(Master201722[[#This Row],[Status]]="Active",Master201722[[#This Row],[Status_Score]],IF(C155="","",Q155+G155+S155+U155+AE155-5))</f>
        <v>81</v>
      </c>
      <c r="AG155" s="8"/>
      <c r="AH155" s="8"/>
      <c r="AI155" s="8"/>
      <c r="AJ155" s="10" t="s">
        <v>672</v>
      </c>
    </row>
    <row r="156" spans="1:36" ht="30" x14ac:dyDescent="0.25">
      <c r="A156" s="103">
        <f t="shared" si="25"/>
        <v>150</v>
      </c>
      <c r="B156" s="10" t="s">
        <v>94</v>
      </c>
      <c r="C156" s="10" t="s">
        <v>503</v>
      </c>
      <c r="D156" s="10" t="s">
        <v>504</v>
      </c>
      <c r="E156" s="10" t="s">
        <v>505</v>
      </c>
      <c r="F156" s="10" t="s">
        <v>29</v>
      </c>
      <c r="G156" s="10">
        <f t="shared" si="24"/>
        <v>0</v>
      </c>
      <c r="H156" s="49"/>
      <c r="I156" s="49"/>
      <c r="J156" s="49">
        <f>Master201722[[#This Row],[Initial Budget]]-Master201722[[#This Row],[Previously Committed Funds]]</f>
        <v>0</v>
      </c>
      <c r="K156" s="49"/>
      <c r="L156" s="49"/>
      <c r="M156" s="97">
        <f>Master201722[[#This Row],[Design $ (Add/Deduct)]]+Master201722[[#This Row],[Construction $ (Add/Ded)]]</f>
        <v>0</v>
      </c>
      <c r="N156" s="32">
        <v>75000</v>
      </c>
      <c r="O156" s="8">
        <v>2018</v>
      </c>
      <c r="P156" s="10" t="s">
        <v>46</v>
      </c>
      <c r="Q156" s="8">
        <f t="shared" si="27"/>
        <v>50</v>
      </c>
      <c r="R156" s="8">
        <v>31</v>
      </c>
      <c r="S156" s="8">
        <f t="shared" si="26"/>
        <v>32</v>
      </c>
      <c r="T156" s="8" t="s">
        <v>41</v>
      </c>
      <c r="U156" s="8">
        <f t="shared" si="23"/>
        <v>4</v>
      </c>
      <c r="V156" s="8" t="s">
        <v>34</v>
      </c>
      <c r="W156" s="114">
        <v>0</v>
      </c>
      <c r="X156" s="8">
        <v>0</v>
      </c>
      <c r="Y156" s="8">
        <v>0</v>
      </c>
      <c r="Z156" s="8">
        <v>0</v>
      </c>
      <c r="AA156" s="8">
        <v>0</v>
      </c>
      <c r="AB156" s="8">
        <v>0</v>
      </c>
      <c r="AC156" s="8">
        <v>0</v>
      </c>
      <c r="AD156" s="17" t="s">
        <v>29</v>
      </c>
      <c r="AE156" s="8">
        <f>VLOOKUP(Master201722[[#This Row],[Elevated Priority]],Epriority,2,)</f>
        <v>0</v>
      </c>
      <c r="AF156" s="8">
        <f>IF(Master201722[[#This Row],[Status]]="Active",Master201722[[#This Row],[Status_Score]],IF(C156="","",Q156+G156+S156+U156+AE156-5))</f>
        <v>81</v>
      </c>
      <c r="AG156" s="8"/>
      <c r="AH156" s="8"/>
      <c r="AI156" s="8"/>
      <c r="AJ156" s="10" t="s">
        <v>672</v>
      </c>
    </row>
    <row r="157" spans="1:36" ht="30" hidden="1" x14ac:dyDescent="0.25">
      <c r="A157" s="103">
        <f t="shared" si="25"/>
        <v>151</v>
      </c>
      <c r="B157" s="10" t="s">
        <v>94</v>
      </c>
      <c r="C157" s="10" t="s">
        <v>506</v>
      </c>
      <c r="D157" s="10" t="s">
        <v>507</v>
      </c>
      <c r="E157" s="10" t="s">
        <v>909</v>
      </c>
      <c r="F157" s="10" t="s">
        <v>29</v>
      </c>
      <c r="G157" s="10">
        <f t="shared" si="24"/>
        <v>0</v>
      </c>
      <c r="H157" s="49"/>
      <c r="I157" s="49"/>
      <c r="J157" s="49">
        <f>Master201722[[#This Row],[Initial Budget]]-Master201722[[#This Row],[Previously Committed Funds]]</f>
        <v>0</v>
      </c>
      <c r="K157" s="49"/>
      <c r="L157" s="49"/>
      <c r="M157" s="97">
        <f>Master201722[[#This Row],[Design $ (Add/Deduct)]]+Master201722[[#This Row],[Construction $ (Add/Ded)]]</f>
        <v>0</v>
      </c>
      <c r="N157" s="32">
        <v>350000</v>
      </c>
      <c r="O157" s="8">
        <v>2018</v>
      </c>
      <c r="P157" s="10" t="s">
        <v>46</v>
      </c>
      <c r="Q157" s="8">
        <f t="shared" si="27"/>
        <v>50</v>
      </c>
      <c r="R157" s="8">
        <v>23</v>
      </c>
      <c r="S157" s="8">
        <f t="shared" si="26"/>
        <v>28</v>
      </c>
      <c r="T157" s="8" t="s">
        <v>41</v>
      </c>
      <c r="U157" s="8">
        <f t="shared" si="23"/>
        <v>4</v>
      </c>
      <c r="V157" s="8" t="s">
        <v>30</v>
      </c>
      <c r="W157" s="8">
        <v>0</v>
      </c>
      <c r="X157" s="8">
        <v>0</v>
      </c>
      <c r="Y157" s="8">
        <v>0</v>
      </c>
      <c r="Z157" s="8">
        <v>0</v>
      </c>
      <c r="AA157" s="8">
        <v>0</v>
      </c>
      <c r="AB157" s="8">
        <v>0</v>
      </c>
      <c r="AC157" s="8">
        <v>0</v>
      </c>
      <c r="AD157" s="17" t="s">
        <v>29</v>
      </c>
      <c r="AE157" s="8">
        <f>VLOOKUP(Master201722[[#This Row],[Elevated Priority]],Epriority,2,)</f>
        <v>0</v>
      </c>
      <c r="AF157" s="8">
        <f>IF(Master201722[[#This Row],[Status]]="Active",Master201722[[#This Row],[Status_Score]],IF(C157="","",Q157+G157+S157+U157+AE157-5))</f>
        <v>77</v>
      </c>
      <c r="AG157" s="8"/>
      <c r="AH157" s="8"/>
      <c r="AI157" s="8"/>
      <c r="AJ157" s="10"/>
    </row>
    <row r="158" spans="1:36" ht="45" x14ac:dyDescent="0.25">
      <c r="A158" s="103">
        <f t="shared" si="25"/>
        <v>152</v>
      </c>
      <c r="B158" s="10" t="s">
        <v>65</v>
      </c>
      <c r="C158" s="10" t="s">
        <v>509</v>
      </c>
      <c r="D158" s="10" t="s">
        <v>922</v>
      </c>
      <c r="E158" s="10" t="s">
        <v>921</v>
      </c>
      <c r="F158" s="10" t="s">
        <v>29</v>
      </c>
      <c r="G158" s="10">
        <f t="shared" si="24"/>
        <v>0</v>
      </c>
      <c r="H158" s="49"/>
      <c r="I158" s="49"/>
      <c r="J158" s="49">
        <f>Master201722[[#This Row],[Initial Budget]]-Master201722[[#This Row],[Previously Committed Funds]]</f>
        <v>0</v>
      </c>
      <c r="K158" s="49"/>
      <c r="L158" s="49"/>
      <c r="M158" s="97">
        <f>Master201722[[#This Row],[Design $ (Add/Deduct)]]+Master201722[[#This Row],[Construction $ (Add/Ded)]]</f>
        <v>0</v>
      </c>
      <c r="N158" s="32">
        <v>3500000</v>
      </c>
      <c r="O158" s="8">
        <v>2018</v>
      </c>
      <c r="P158" s="10" t="s">
        <v>46</v>
      </c>
      <c r="Q158" s="8">
        <f t="shared" si="27"/>
        <v>50</v>
      </c>
      <c r="R158" s="8">
        <v>7</v>
      </c>
      <c r="S158" s="8">
        <f t="shared" si="26"/>
        <v>20</v>
      </c>
      <c r="T158" s="8" t="s">
        <v>43</v>
      </c>
      <c r="U158" s="8">
        <f t="shared" si="23"/>
        <v>16</v>
      </c>
      <c r="V158" s="8" t="s">
        <v>34</v>
      </c>
      <c r="W158" s="114">
        <v>0</v>
      </c>
      <c r="X158" s="8">
        <v>0</v>
      </c>
      <c r="Y158" s="8">
        <v>0</v>
      </c>
      <c r="Z158" s="8">
        <v>0</v>
      </c>
      <c r="AA158" s="8">
        <v>0</v>
      </c>
      <c r="AB158" s="8">
        <v>0</v>
      </c>
      <c r="AC158" s="8">
        <v>0</v>
      </c>
      <c r="AD158" s="17" t="s">
        <v>29</v>
      </c>
      <c r="AE158" s="8">
        <f>VLOOKUP(Master201722[[#This Row],[Elevated Priority]],Epriority,2,)</f>
        <v>0</v>
      </c>
      <c r="AF158" s="8">
        <f>IF(Master201722[[#This Row],[Status]]="Active",Master201722[[#This Row],[Status_Score]],IF(C158="","",Q158+G158+S158+U158+AE158-5))</f>
        <v>81</v>
      </c>
      <c r="AG158" s="8"/>
      <c r="AH158" s="8"/>
      <c r="AI158" s="8"/>
      <c r="AJ158" s="10"/>
    </row>
    <row r="159" spans="1:36" ht="30" hidden="1" x14ac:dyDescent="0.25">
      <c r="A159" s="103">
        <f t="shared" si="25"/>
        <v>153</v>
      </c>
      <c r="B159" s="10" t="s">
        <v>69</v>
      </c>
      <c r="C159" s="10" t="s">
        <v>552</v>
      </c>
      <c r="D159" s="10" t="s">
        <v>553</v>
      </c>
      <c r="E159" s="10" t="s">
        <v>554</v>
      </c>
      <c r="F159" s="10" t="s">
        <v>29</v>
      </c>
      <c r="G159" s="10">
        <f t="shared" si="24"/>
        <v>0</v>
      </c>
      <c r="H159" s="49"/>
      <c r="I159" s="49"/>
      <c r="J159" s="49">
        <f>Master201722[[#This Row],[Initial Budget]]-Master201722[[#This Row],[Previously Committed Funds]]</f>
        <v>0</v>
      </c>
      <c r="K159" s="49"/>
      <c r="L159" s="49"/>
      <c r="M159" s="97">
        <f>Master201722[[#This Row],[Design $ (Add/Deduct)]]+Master201722[[#This Row],[Construction $ (Add/Ded)]]</f>
        <v>0</v>
      </c>
      <c r="N159" s="49">
        <v>400000</v>
      </c>
      <c r="O159" s="8">
        <v>2018</v>
      </c>
      <c r="P159" s="10" t="s">
        <v>688</v>
      </c>
      <c r="Q159" s="8">
        <f t="shared" si="27"/>
        <v>20</v>
      </c>
      <c r="R159" s="17">
        <v>3</v>
      </c>
      <c r="S159" s="8">
        <f t="shared" si="26"/>
        <v>9</v>
      </c>
      <c r="T159" s="17" t="s">
        <v>47</v>
      </c>
      <c r="U159" s="8">
        <f t="shared" si="23"/>
        <v>64</v>
      </c>
      <c r="V159" s="8" t="s">
        <v>30</v>
      </c>
      <c r="W159" s="8">
        <v>0</v>
      </c>
      <c r="X159" s="8">
        <v>0</v>
      </c>
      <c r="Y159" s="8">
        <v>0</v>
      </c>
      <c r="Z159" s="8">
        <v>0</v>
      </c>
      <c r="AA159" s="8">
        <v>0</v>
      </c>
      <c r="AB159" s="8">
        <v>0</v>
      </c>
      <c r="AC159" s="8">
        <v>0</v>
      </c>
      <c r="AD159" s="17" t="s">
        <v>29</v>
      </c>
      <c r="AE159" s="8">
        <f>VLOOKUP(Master201722[[#This Row],[Elevated Priority]],Epriority,2,)</f>
        <v>0</v>
      </c>
      <c r="AF159" s="8">
        <f>IF(Master201722[[#This Row],[Status]]="Active",Master201722[[#This Row],[Status_Score]],IF(C159="","",Q159+G159+S159+U159+AE159-5))</f>
        <v>88</v>
      </c>
      <c r="AG159" s="8"/>
      <c r="AH159" s="8"/>
      <c r="AI159" s="8"/>
      <c r="AJ159" s="10"/>
    </row>
    <row r="160" spans="1:36" ht="30" x14ac:dyDescent="0.25">
      <c r="A160" s="103">
        <f t="shared" si="25"/>
        <v>154</v>
      </c>
      <c r="B160" s="10" t="s">
        <v>159</v>
      </c>
      <c r="C160" s="10" t="s">
        <v>575</v>
      </c>
      <c r="D160" s="10" t="s">
        <v>576</v>
      </c>
      <c r="E160" s="10" t="s">
        <v>577</v>
      </c>
      <c r="F160" s="10" t="s">
        <v>29</v>
      </c>
      <c r="G160" s="10">
        <f t="shared" si="24"/>
        <v>0</v>
      </c>
      <c r="H160" s="49"/>
      <c r="I160" s="49"/>
      <c r="J160" s="49">
        <f>Master201722[[#This Row],[Initial Budget]]-Master201722[[#This Row],[Previously Committed Funds]]</f>
        <v>0</v>
      </c>
      <c r="K160" s="49"/>
      <c r="L160" s="49"/>
      <c r="M160" s="97">
        <f>Master201722[[#This Row],[Design $ (Add/Deduct)]]+Master201722[[#This Row],[Construction $ (Add/Ded)]]</f>
        <v>0</v>
      </c>
      <c r="N160" s="32">
        <v>350000</v>
      </c>
      <c r="O160" s="8">
        <v>2018</v>
      </c>
      <c r="P160" s="10" t="s">
        <v>830</v>
      </c>
      <c r="Q160" s="8">
        <f t="shared" si="27"/>
        <v>10</v>
      </c>
      <c r="R160" s="8">
        <v>8</v>
      </c>
      <c r="S160" s="8">
        <f t="shared" si="26"/>
        <v>20</v>
      </c>
      <c r="T160" s="8" t="s">
        <v>47</v>
      </c>
      <c r="U160" s="8">
        <f t="shared" si="23"/>
        <v>64</v>
      </c>
      <c r="V160" s="8" t="s">
        <v>34</v>
      </c>
      <c r="W160" s="114">
        <v>0</v>
      </c>
      <c r="X160" s="8">
        <v>0</v>
      </c>
      <c r="Y160" s="8">
        <v>0</v>
      </c>
      <c r="Z160" s="8">
        <v>0</v>
      </c>
      <c r="AA160" s="8">
        <v>-2</v>
      </c>
      <c r="AB160" s="8">
        <v>0</v>
      </c>
      <c r="AC160" s="8">
        <v>0</v>
      </c>
      <c r="AD160" s="17" t="s">
        <v>29</v>
      </c>
      <c r="AE160" s="8">
        <f>VLOOKUP(Master201722[[#This Row],[Elevated Priority]],Epriority,2,)</f>
        <v>0</v>
      </c>
      <c r="AF160" s="8">
        <f>IF(Master201722[[#This Row],[Status]]="Active",Master201722[[#This Row],[Status_Score]],IF(C160="","",Q160+G160+S160+U160+AE160-5))</f>
        <v>89</v>
      </c>
      <c r="AG160" s="8"/>
      <c r="AH160" s="8"/>
      <c r="AI160" s="8"/>
      <c r="AJ160" s="10"/>
    </row>
    <row r="161" spans="1:36" ht="30" hidden="1" x14ac:dyDescent="0.25">
      <c r="A161" s="103">
        <f t="shared" si="25"/>
        <v>155</v>
      </c>
      <c r="B161" s="10" t="s">
        <v>94</v>
      </c>
      <c r="C161" s="10" t="s">
        <v>522</v>
      </c>
      <c r="D161" s="10" t="s">
        <v>523</v>
      </c>
      <c r="E161" s="10" t="s">
        <v>524</v>
      </c>
      <c r="F161" s="10" t="s">
        <v>29</v>
      </c>
      <c r="G161" s="10">
        <f t="shared" si="24"/>
        <v>0</v>
      </c>
      <c r="H161" s="49"/>
      <c r="I161" s="49"/>
      <c r="J161" s="49">
        <f>Master201722[[#This Row],[Initial Budget]]-Master201722[[#This Row],[Previously Committed Funds]]</f>
        <v>0</v>
      </c>
      <c r="K161" s="49"/>
      <c r="L161" s="49"/>
      <c r="M161" s="97">
        <f>Master201722[[#This Row],[Design $ (Add/Deduct)]]+Master201722[[#This Row],[Construction $ (Add/Ded)]]</f>
        <v>0</v>
      </c>
      <c r="N161" s="32">
        <v>100000</v>
      </c>
      <c r="O161" s="8">
        <v>2018</v>
      </c>
      <c r="P161" s="10" t="s">
        <v>46</v>
      </c>
      <c r="Q161" s="8">
        <f t="shared" si="27"/>
        <v>50</v>
      </c>
      <c r="R161" s="8">
        <v>32</v>
      </c>
      <c r="S161" s="8">
        <f t="shared" si="26"/>
        <v>32</v>
      </c>
      <c r="T161" s="8" t="s">
        <v>41</v>
      </c>
      <c r="U161" s="8">
        <f t="shared" si="23"/>
        <v>4</v>
      </c>
      <c r="V161" s="8" t="s">
        <v>30</v>
      </c>
      <c r="W161" s="8">
        <v>0</v>
      </c>
      <c r="X161" s="8">
        <v>0</v>
      </c>
      <c r="Y161" s="8">
        <v>0</v>
      </c>
      <c r="Z161" s="8">
        <v>0</v>
      </c>
      <c r="AA161" s="8">
        <v>0</v>
      </c>
      <c r="AB161" s="8">
        <v>0</v>
      </c>
      <c r="AC161" s="8">
        <v>0</v>
      </c>
      <c r="AD161" s="17" t="s">
        <v>29</v>
      </c>
      <c r="AE161" s="8">
        <f>VLOOKUP(Master201722[[#This Row],[Elevated Priority]],Epriority,2,)</f>
        <v>0</v>
      </c>
      <c r="AF161" s="8">
        <f>IF(Master201722[[#This Row],[Status]]="Active",Master201722[[#This Row],[Status_Score]],IF(C161="","",Q161+G161+S161+U161+AE161-5))</f>
        <v>81</v>
      </c>
      <c r="AG161" s="8"/>
      <c r="AH161" s="8"/>
      <c r="AI161" s="8"/>
      <c r="AJ161" s="10"/>
    </row>
    <row r="162" spans="1:36" ht="60" x14ac:dyDescent="0.25">
      <c r="A162" s="103">
        <f t="shared" si="25"/>
        <v>156</v>
      </c>
      <c r="B162" s="27" t="s">
        <v>70</v>
      </c>
      <c r="C162" s="27" t="s">
        <v>486</v>
      </c>
      <c r="D162" s="27" t="s">
        <v>487</v>
      </c>
      <c r="E162" s="27" t="s">
        <v>488</v>
      </c>
      <c r="F162" s="27" t="s">
        <v>29</v>
      </c>
      <c r="G162" s="27">
        <f t="shared" si="24"/>
        <v>0</v>
      </c>
      <c r="H162" s="98"/>
      <c r="I162" s="98"/>
      <c r="J162" s="98">
        <f>Master201722[[#This Row],[Initial Budget]]-Master201722[[#This Row],[Previously Committed Funds]]</f>
        <v>0</v>
      </c>
      <c r="K162" s="98"/>
      <c r="L162" s="98"/>
      <c r="M162" s="100">
        <f>Master201722[[#This Row],[Design $ (Add/Deduct)]]+Master201722[[#This Row],[Construction $ (Add/Ded)]]</f>
        <v>0</v>
      </c>
      <c r="N162" s="84">
        <v>1000000</v>
      </c>
      <c r="O162" s="30">
        <v>2018</v>
      </c>
      <c r="P162" s="27" t="s">
        <v>686</v>
      </c>
      <c r="Q162" s="8">
        <f t="shared" si="27"/>
        <v>60</v>
      </c>
      <c r="R162" s="30">
        <v>6</v>
      </c>
      <c r="S162" s="8">
        <f t="shared" si="26"/>
        <v>18</v>
      </c>
      <c r="T162" s="30" t="s">
        <v>45</v>
      </c>
      <c r="U162" s="8">
        <f t="shared" si="23"/>
        <v>32</v>
      </c>
      <c r="V162" s="30" t="s">
        <v>34</v>
      </c>
      <c r="W162" s="114">
        <v>0</v>
      </c>
      <c r="X162" s="8">
        <v>0</v>
      </c>
      <c r="Y162" s="8">
        <v>0</v>
      </c>
      <c r="Z162" s="8">
        <v>0</v>
      </c>
      <c r="AA162" s="8">
        <v>0</v>
      </c>
      <c r="AB162" s="8">
        <v>0</v>
      </c>
      <c r="AC162" s="8">
        <v>-2</v>
      </c>
      <c r="AD162" s="28" t="s">
        <v>29</v>
      </c>
      <c r="AE162" s="8">
        <f>VLOOKUP(Master201722[[#This Row],[Elevated Priority]],Epriority,2,)</f>
        <v>0</v>
      </c>
      <c r="AF162" s="8">
        <f>IF(Master201722[[#This Row],[Status]]="Active",Master201722[[#This Row],[Status_Score]],IF(C162="","",Q162+G162+S162+U162+AE162-5))</f>
        <v>105</v>
      </c>
      <c r="AG162" s="8"/>
      <c r="AH162" s="8"/>
      <c r="AI162" s="8"/>
      <c r="AJ162" s="10"/>
    </row>
    <row r="163" spans="1:36" ht="60" x14ac:dyDescent="0.25">
      <c r="A163" s="103">
        <f t="shared" si="25"/>
        <v>157</v>
      </c>
      <c r="B163" s="10" t="s">
        <v>71</v>
      </c>
      <c r="C163" s="10" t="s">
        <v>562</v>
      </c>
      <c r="D163" s="10" t="s">
        <v>563</v>
      </c>
      <c r="E163" s="10" t="s">
        <v>564</v>
      </c>
      <c r="F163" s="10" t="s">
        <v>29</v>
      </c>
      <c r="G163" s="10">
        <f t="shared" si="24"/>
        <v>0</v>
      </c>
      <c r="H163" s="49"/>
      <c r="I163" s="49"/>
      <c r="J163" s="49">
        <f>Master201722[[#This Row],[Initial Budget]]-Master201722[[#This Row],[Previously Committed Funds]]</f>
        <v>0</v>
      </c>
      <c r="K163" s="49"/>
      <c r="L163" s="49"/>
      <c r="M163" s="97">
        <f>Master201722[[#This Row],[Design $ (Add/Deduct)]]+Master201722[[#This Row],[Construction $ (Add/Ded)]]</f>
        <v>0</v>
      </c>
      <c r="N163" s="32">
        <v>850000</v>
      </c>
      <c r="O163" s="8">
        <v>2018</v>
      </c>
      <c r="P163" s="10" t="s">
        <v>46</v>
      </c>
      <c r="Q163" s="8">
        <f t="shared" si="27"/>
        <v>50</v>
      </c>
      <c r="R163" s="8">
        <v>4</v>
      </c>
      <c r="S163" s="8">
        <f t="shared" si="26"/>
        <v>12</v>
      </c>
      <c r="T163" s="8" t="s">
        <v>45</v>
      </c>
      <c r="U163" s="8">
        <f t="shared" si="23"/>
        <v>32</v>
      </c>
      <c r="V163" s="8" t="s">
        <v>34</v>
      </c>
      <c r="W163" s="114">
        <v>0</v>
      </c>
      <c r="X163" s="8">
        <v>0</v>
      </c>
      <c r="Y163" s="8">
        <v>0</v>
      </c>
      <c r="Z163" s="8">
        <v>0</v>
      </c>
      <c r="AA163" s="8">
        <v>-2</v>
      </c>
      <c r="AB163" s="8">
        <v>0</v>
      </c>
      <c r="AC163" s="8">
        <v>-1</v>
      </c>
      <c r="AD163" s="17" t="s">
        <v>29</v>
      </c>
      <c r="AE163" s="8">
        <f>VLOOKUP(Master201722[[#This Row],[Elevated Priority]],Epriority,2,)</f>
        <v>0</v>
      </c>
      <c r="AF163" s="8">
        <f>IF(Master201722[[#This Row],[Status]]="Active",Master201722[[#This Row],[Status_Score]],IF(C163="","",Q163+G163+S163+U163+AE163-5))</f>
        <v>89</v>
      </c>
      <c r="AG163" s="8"/>
      <c r="AH163" s="8"/>
      <c r="AI163" s="8"/>
      <c r="AJ163" s="10"/>
    </row>
    <row r="164" spans="1:36" ht="135" x14ac:dyDescent="0.25">
      <c r="A164" s="103">
        <f t="shared" si="25"/>
        <v>158</v>
      </c>
      <c r="B164" s="10" t="s">
        <v>61</v>
      </c>
      <c r="C164" s="10" t="s">
        <v>912</v>
      </c>
      <c r="D164" s="10" t="s">
        <v>913</v>
      </c>
      <c r="E164" s="10" t="s">
        <v>914</v>
      </c>
      <c r="F164" s="10" t="s">
        <v>29</v>
      </c>
      <c r="G164" s="10">
        <f t="shared" si="24"/>
        <v>0</v>
      </c>
      <c r="H164" s="49"/>
      <c r="I164" s="49"/>
      <c r="J164" s="49">
        <f>Master201722[[#This Row],[Initial Budget]]-Master201722[[#This Row],[Previously Committed Funds]]</f>
        <v>0</v>
      </c>
      <c r="K164" s="49"/>
      <c r="L164" s="49"/>
      <c r="M164" s="97">
        <f>Master201722[[#This Row],[Design $ (Add/Deduct)]]+Master201722[[#This Row],[Construction $ (Add/Ded)]]</f>
        <v>0</v>
      </c>
      <c r="N164" s="32">
        <v>30000000</v>
      </c>
      <c r="O164" s="8">
        <v>2018</v>
      </c>
      <c r="P164" s="10" t="s">
        <v>46</v>
      </c>
      <c r="Q164" s="8">
        <f t="shared" si="27"/>
        <v>50</v>
      </c>
      <c r="R164" s="8">
        <v>6</v>
      </c>
      <c r="S164" s="8">
        <f t="shared" si="26"/>
        <v>18</v>
      </c>
      <c r="T164" s="8" t="s">
        <v>45</v>
      </c>
      <c r="U164" s="8">
        <f t="shared" si="23"/>
        <v>32</v>
      </c>
      <c r="V164" s="8" t="s">
        <v>34</v>
      </c>
      <c r="W164" s="114">
        <v>-3</v>
      </c>
      <c r="X164" s="8">
        <v>0</v>
      </c>
      <c r="Y164" s="8">
        <v>0</v>
      </c>
      <c r="Z164" s="8">
        <v>0</v>
      </c>
      <c r="AA164" s="8">
        <v>-2</v>
      </c>
      <c r="AB164" s="8">
        <v>-3</v>
      </c>
      <c r="AC164" s="8">
        <v>0</v>
      </c>
      <c r="AD164" s="17" t="s">
        <v>29</v>
      </c>
      <c r="AE164" s="8">
        <f>VLOOKUP(Master201722[[#This Row],[Elevated Priority]],Epriority,2,)</f>
        <v>0</v>
      </c>
      <c r="AF164" s="8">
        <f>IF(Master201722[[#This Row],[Status]]="Active",Master201722[[#This Row],[Status_Score]],IF(C164="","",Q164+G164+S164+U164+AE164-5))</f>
        <v>95</v>
      </c>
      <c r="AG164" s="8"/>
      <c r="AH164" s="8"/>
      <c r="AI164" s="8"/>
      <c r="AJ164" s="10"/>
    </row>
    <row r="165" spans="1:36" ht="45" x14ac:dyDescent="0.25">
      <c r="A165" s="103">
        <f t="shared" si="25"/>
        <v>159</v>
      </c>
      <c r="B165" s="23" t="s">
        <v>94</v>
      </c>
      <c r="C165" s="9" t="s">
        <v>535</v>
      </c>
      <c r="D165" s="10" t="s">
        <v>536</v>
      </c>
      <c r="E165" s="10" t="s">
        <v>537</v>
      </c>
      <c r="F165" s="23" t="s">
        <v>29</v>
      </c>
      <c r="G165" s="23">
        <f t="shared" si="24"/>
        <v>0</v>
      </c>
      <c r="H165" s="51"/>
      <c r="I165" s="51"/>
      <c r="J165" s="51">
        <f>Master201722[[#This Row],[Initial Budget]]-Master201722[[#This Row],[Previously Committed Funds]]</f>
        <v>0</v>
      </c>
      <c r="K165" s="51"/>
      <c r="L165" s="51"/>
      <c r="M165" s="118">
        <f>Master201722[[#This Row],[Design $ (Add/Deduct)]]+Master201722[[#This Row],[Construction $ (Add/Ded)]]</f>
        <v>0</v>
      </c>
      <c r="N165" s="32">
        <v>500000</v>
      </c>
      <c r="O165" s="8">
        <v>2018</v>
      </c>
      <c r="P165" s="10" t="s">
        <v>46</v>
      </c>
      <c r="Q165" s="8">
        <f t="shared" si="27"/>
        <v>50</v>
      </c>
      <c r="R165" s="8">
        <v>24</v>
      </c>
      <c r="S165" s="8">
        <f t="shared" si="26"/>
        <v>28</v>
      </c>
      <c r="T165" s="8" t="s">
        <v>43</v>
      </c>
      <c r="U165" s="8">
        <f t="shared" si="23"/>
        <v>16</v>
      </c>
      <c r="V165" s="8" t="s">
        <v>34</v>
      </c>
      <c r="W165" s="114">
        <v>-1</v>
      </c>
      <c r="X165" s="8">
        <v>0</v>
      </c>
      <c r="Y165" s="8">
        <v>0</v>
      </c>
      <c r="Z165" s="8">
        <v>0</v>
      </c>
      <c r="AA165" s="8">
        <v>0</v>
      </c>
      <c r="AB165" s="8">
        <v>0</v>
      </c>
      <c r="AC165" s="8">
        <v>0</v>
      </c>
      <c r="AD165" s="17" t="s">
        <v>29</v>
      </c>
      <c r="AE165" s="8">
        <f>VLOOKUP(Master201722[[#This Row],[Elevated Priority]],Epriority,2,)</f>
        <v>0</v>
      </c>
      <c r="AF165" s="8">
        <f>IF(Master201722[[#This Row],[Status]]="Active",Master201722[[#This Row],[Status_Score]],IF(C165="","",Q165+G165+S165+U165+AE165-5))</f>
        <v>89</v>
      </c>
      <c r="AG165" s="8"/>
      <c r="AH165" s="8"/>
      <c r="AI165" s="8"/>
      <c r="AJ165" s="10"/>
    </row>
    <row r="166" spans="1:36" ht="30" x14ac:dyDescent="0.25">
      <c r="A166" s="103">
        <f t="shared" si="25"/>
        <v>160</v>
      </c>
      <c r="B166" s="10" t="s">
        <v>65</v>
      </c>
      <c r="C166" s="10" t="s">
        <v>550</v>
      </c>
      <c r="D166" s="10" t="s">
        <v>551</v>
      </c>
      <c r="E166" s="10"/>
      <c r="F166" s="10" t="s">
        <v>29</v>
      </c>
      <c r="G166" s="10">
        <f t="shared" si="24"/>
        <v>0</v>
      </c>
      <c r="H166" s="49"/>
      <c r="I166" s="49"/>
      <c r="J166" s="49">
        <f>Master201722[[#This Row],[Initial Budget]]-Master201722[[#This Row],[Previously Committed Funds]]</f>
        <v>0</v>
      </c>
      <c r="K166" s="49"/>
      <c r="L166" s="49"/>
      <c r="M166" s="97">
        <f>Master201722[[#This Row],[Design $ (Add/Deduct)]]+Master201722[[#This Row],[Construction $ (Add/Ded)]]</f>
        <v>0</v>
      </c>
      <c r="N166" s="32">
        <v>2000000</v>
      </c>
      <c r="O166" s="8">
        <v>2018</v>
      </c>
      <c r="P166" s="10" t="s">
        <v>46</v>
      </c>
      <c r="Q166" s="8">
        <f t="shared" si="27"/>
        <v>50</v>
      </c>
      <c r="R166" s="8">
        <v>10</v>
      </c>
      <c r="S166" s="8">
        <f t="shared" si="26"/>
        <v>21</v>
      </c>
      <c r="T166" s="8" t="s">
        <v>45</v>
      </c>
      <c r="U166" s="8">
        <f t="shared" si="23"/>
        <v>32</v>
      </c>
      <c r="V166" s="8" t="s">
        <v>34</v>
      </c>
      <c r="W166" s="114">
        <v>-3</v>
      </c>
      <c r="X166" s="8">
        <v>0</v>
      </c>
      <c r="Y166" s="8">
        <v>0</v>
      </c>
      <c r="Z166" s="8">
        <v>-3</v>
      </c>
      <c r="AA166" s="8">
        <v>-2</v>
      </c>
      <c r="AB166" s="8">
        <v>-1</v>
      </c>
      <c r="AC166" s="8">
        <v>0</v>
      </c>
      <c r="AD166" s="17" t="s">
        <v>29</v>
      </c>
      <c r="AE166" s="8">
        <f>VLOOKUP(Master201722[[#This Row],[Elevated Priority]],Epriority,2,)</f>
        <v>0</v>
      </c>
      <c r="AF166" s="8">
        <f>IF(Master201722[[#This Row],[Status]]="Active",Master201722[[#This Row],[Status_Score]],IF(C166="","",Q166+G166+S166+U166+AE166-5))</f>
        <v>98</v>
      </c>
      <c r="AG166" s="8"/>
      <c r="AH166" s="8"/>
      <c r="AI166" s="8"/>
      <c r="AJ166" s="10"/>
    </row>
    <row r="167" spans="1:36" ht="45" x14ac:dyDescent="0.25">
      <c r="A167" s="103">
        <f t="shared" si="25"/>
        <v>161</v>
      </c>
      <c r="B167" s="10" t="s">
        <v>67</v>
      </c>
      <c r="C167" s="10" t="s">
        <v>615</v>
      </c>
      <c r="D167" s="10" t="s">
        <v>917</v>
      </c>
      <c r="E167" s="10" t="s">
        <v>617</v>
      </c>
      <c r="F167" s="10" t="s">
        <v>29</v>
      </c>
      <c r="G167" s="32">
        <f t="shared" si="24"/>
        <v>0</v>
      </c>
      <c r="H167" s="32"/>
      <c r="I167" s="32"/>
      <c r="J167" s="32">
        <f>Master201722[[#This Row],[Initial Budget]]-Master201722[[#This Row],[Previously Committed Funds]]</f>
        <v>0</v>
      </c>
      <c r="K167" s="32"/>
      <c r="L167" s="32"/>
      <c r="M167" s="119">
        <f>Master201722[[#This Row],[Design $ (Add/Deduct)]]+Master201722[[#This Row],[Construction $ (Add/Ded)]]</f>
        <v>0</v>
      </c>
      <c r="N167" s="32">
        <v>1500000</v>
      </c>
      <c r="O167" s="8">
        <v>2019</v>
      </c>
      <c r="P167" s="10" t="s">
        <v>46</v>
      </c>
      <c r="Q167" s="8">
        <f t="shared" si="27"/>
        <v>50</v>
      </c>
      <c r="R167" s="8">
        <v>9</v>
      </c>
      <c r="S167" s="8">
        <f t="shared" si="26"/>
        <v>21</v>
      </c>
      <c r="T167" s="8" t="s">
        <v>45</v>
      </c>
      <c r="U167" s="8">
        <f t="shared" si="23"/>
        <v>32</v>
      </c>
      <c r="V167" s="8" t="s">
        <v>34</v>
      </c>
      <c r="W167" s="114">
        <v>0</v>
      </c>
      <c r="X167" s="8">
        <v>0</v>
      </c>
      <c r="Y167" s="8">
        <v>0</v>
      </c>
      <c r="Z167" s="8">
        <v>0</v>
      </c>
      <c r="AA167" s="8">
        <v>0</v>
      </c>
      <c r="AB167" s="8">
        <v>0</v>
      </c>
      <c r="AC167" s="8">
        <v>0</v>
      </c>
      <c r="AD167" s="8" t="s">
        <v>29</v>
      </c>
      <c r="AE167" s="8">
        <f>VLOOKUP(Master201722[[#This Row],[Elevated Priority]],Epriority,2,)</f>
        <v>0</v>
      </c>
      <c r="AF167" s="8">
        <f>IF(Master201722[[#This Row],[Status]]="Active",Master201722[[#This Row],[Status_Score]],IF(C167="","",Q167+G167+S167+U167+AE167-5))</f>
        <v>98</v>
      </c>
      <c r="AG167" s="8"/>
      <c r="AH167" s="8"/>
      <c r="AI167" s="8"/>
      <c r="AJ167" s="10"/>
    </row>
    <row r="168" spans="1:36" ht="75" x14ac:dyDescent="0.25">
      <c r="A168" s="103">
        <f t="shared" si="25"/>
        <v>162</v>
      </c>
      <c r="B168" s="10" t="s">
        <v>61</v>
      </c>
      <c r="C168" s="10" t="s">
        <v>519</v>
      </c>
      <c r="D168" s="10" t="s">
        <v>520</v>
      </c>
      <c r="E168" s="10" t="s">
        <v>521</v>
      </c>
      <c r="F168" s="10" t="s">
        <v>29</v>
      </c>
      <c r="G168" s="10">
        <f t="shared" si="24"/>
        <v>0</v>
      </c>
      <c r="H168" s="49"/>
      <c r="I168" s="49"/>
      <c r="J168" s="49">
        <f>Master201722[[#This Row],[Initial Budget]]-Master201722[[#This Row],[Previously Committed Funds]]</f>
        <v>0</v>
      </c>
      <c r="K168" s="49"/>
      <c r="L168" s="49"/>
      <c r="M168" s="97">
        <f>Master201722[[#This Row],[Design $ (Add/Deduct)]]+Master201722[[#This Row],[Construction $ (Add/Ded)]]</f>
        <v>0</v>
      </c>
      <c r="N168" s="32">
        <v>22000000</v>
      </c>
      <c r="O168" s="8">
        <v>2018</v>
      </c>
      <c r="P168" s="10" t="s">
        <v>46</v>
      </c>
      <c r="Q168" s="8">
        <f t="shared" si="27"/>
        <v>50</v>
      </c>
      <c r="R168" s="8">
        <v>3</v>
      </c>
      <c r="S168" s="8">
        <f t="shared" si="26"/>
        <v>9</v>
      </c>
      <c r="T168" s="8" t="s">
        <v>47</v>
      </c>
      <c r="U168" s="8">
        <f t="shared" si="23"/>
        <v>64</v>
      </c>
      <c r="V168" s="8" t="s">
        <v>34</v>
      </c>
      <c r="W168" s="114">
        <v>-7</v>
      </c>
      <c r="X168" s="8">
        <v>0</v>
      </c>
      <c r="Y168" s="8">
        <v>0</v>
      </c>
      <c r="Z168" s="8">
        <v>0</v>
      </c>
      <c r="AA168" s="8">
        <v>0</v>
      </c>
      <c r="AB168" s="8">
        <v>-3</v>
      </c>
      <c r="AC168" s="8">
        <v>0</v>
      </c>
      <c r="AD168" s="17" t="s">
        <v>29</v>
      </c>
      <c r="AE168" s="8">
        <f>VLOOKUP(Master201722[[#This Row],[Elevated Priority]],Epriority,2,)</f>
        <v>0</v>
      </c>
      <c r="AF168" s="8">
        <f>IF(Master201722[[#This Row],[Status]]="Active",Master201722[[#This Row],[Status_Score]],IF(C168="","",Q168+G168+S168+U168+AE168-5))</f>
        <v>118</v>
      </c>
      <c r="AG168" s="8"/>
      <c r="AH168" s="8"/>
      <c r="AI168" s="8"/>
      <c r="AJ168" s="10"/>
    </row>
    <row r="169" spans="1:36" ht="165" x14ac:dyDescent="0.25">
      <c r="A169" s="103">
        <f t="shared" si="25"/>
        <v>163</v>
      </c>
      <c r="B169" s="10" t="s">
        <v>143</v>
      </c>
      <c r="C169" s="10" t="s">
        <v>372</v>
      </c>
      <c r="D169" s="10" t="s">
        <v>765</v>
      </c>
      <c r="E169" s="10" t="s">
        <v>766</v>
      </c>
      <c r="F169" s="10" t="s">
        <v>29</v>
      </c>
      <c r="G169" s="10">
        <f t="shared" si="24"/>
        <v>0</v>
      </c>
      <c r="H169" s="49"/>
      <c r="I169" s="49"/>
      <c r="J169" s="49">
        <f>Master201722[[#This Row],[Initial Budget]]-Master201722[[#This Row],[Previously Committed Funds]]</f>
        <v>0</v>
      </c>
      <c r="K169" s="49"/>
      <c r="L169" s="49"/>
      <c r="M169" s="97">
        <f>Master201722[[#This Row],[Design $ (Add/Deduct)]]+Master201722[[#This Row],[Construction $ (Add/Ded)]]</f>
        <v>0</v>
      </c>
      <c r="N169" s="49">
        <v>15000000</v>
      </c>
      <c r="O169" s="8">
        <v>2018</v>
      </c>
      <c r="P169" s="10" t="s">
        <v>46</v>
      </c>
      <c r="Q169" s="8">
        <f t="shared" si="27"/>
        <v>50</v>
      </c>
      <c r="R169" s="17">
        <v>6</v>
      </c>
      <c r="S169" s="8">
        <f t="shared" si="26"/>
        <v>18</v>
      </c>
      <c r="T169" s="17" t="s">
        <v>47</v>
      </c>
      <c r="U169" s="8">
        <f t="shared" si="23"/>
        <v>64</v>
      </c>
      <c r="V169" s="8" t="s">
        <v>34</v>
      </c>
      <c r="W169" s="8">
        <v>0</v>
      </c>
      <c r="X169" s="8">
        <v>0</v>
      </c>
      <c r="Y169" s="8">
        <v>-1</v>
      </c>
      <c r="Z169" s="8">
        <v>0</v>
      </c>
      <c r="AA169" s="8">
        <v>0</v>
      </c>
      <c r="AB169" s="8">
        <v>0</v>
      </c>
      <c r="AC169" s="8">
        <v>0</v>
      </c>
      <c r="AD169" s="17" t="s">
        <v>29</v>
      </c>
      <c r="AE169" s="8">
        <f>VLOOKUP(Master201722[[#This Row],[Elevated Priority]],Epriority,2,)</f>
        <v>0</v>
      </c>
      <c r="AF169" s="8">
        <f>IF(Master201722[[#This Row],[Status]]="Active",Master201722[[#This Row],[Status_Score]],IF(C169="","",Q169+G169+S169+U169+AE169-5))</f>
        <v>127</v>
      </c>
      <c r="AG169" s="8"/>
      <c r="AH169" s="8"/>
      <c r="AI169" s="8"/>
      <c r="AJ169" s="10"/>
    </row>
    <row r="170" spans="1:36" hidden="1" x14ac:dyDescent="0.25">
      <c r="A170" s="103">
        <f t="shared" si="25"/>
        <v>164</v>
      </c>
      <c r="B170" s="10" t="s">
        <v>91</v>
      </c>
      <c r="C170" s="10" t="s">
        <v>565</v>
      </c>
      <c r="E170" s="10"/>
      <c r="F170" s="10" t="s">
        <v>29</v>
      </c>
      <c r="G170" s="10">
        <f t="shared" si="24"/>
        <v>0</v>
      </c>
      <c r="H170" s="49"/>
      <c r="I170" s="49"/>
      <c r="J170" s="49">
        <f>Master201722[[#This Row],[Initial Budget]]-Master201722[[#This Row],[Previously Committed Funds]]</f>
        <v>0</v>
      </c>
      <c r="K170" s="49"/>
      <c r="L170" s="49"/>
      <c r="M170" s="97">
        <f>Master201722[[#This Row],[Design $ (Add/Deduct)]]+Master201722[[#This Row],[Construction $ (Add/Ded)]]</f>
        <v>0</v>
      </c>
      <c r="N170" s="32">
        <v>25000</v>
      </c>
      <c r="O170" s="8">
        <v>2018</v>
      </c>
      <c r="P170" s="10" t="s">
        <v>688</v>
      </c>
      <c r="Q170" s="8">
        <f t="shared" si="27"/>
        <v>20</v>
      </c>
      <c r="R170" s="8">
        <v>10</v>
      </c>
      <c r="S170" s="8">
        <f t="shared" si="26"/>
        <v>21</v>
      </c>
      <c r="T170" s="8" t="s">
        <v>47</v>
      </c>
      <c r="U170" s="8">
        <f t="shared" si="23"/>
        <v>64</v>
      </c>
      <c r="V170" s="8" t="s">
        <v>30</v>
      </c>
      <c r="W170" s="8">
        <v>0</v>
      </c>
      <c r="X170" s="8">
        <v>0</v>
      </c>
      <c r="Y170" s="8">
        <v>0</v>
      </c>
      <c r="Z170" s="8">
        <v>0</v>
      </c>
      <c r="AA170" s="8">
        <v>0</v>
      </c>
      <c r="AB170" s="8">
        <v>0</v>
      </c>
      <c r="AC170" s="8">
        <v>0</v>
      </c>
      <c r="AD170" s="17" t="s">
        <v>29</v>
      </c>
      <c r="AE170" s="8">
        <f>VLOOKUP(Master201722[[#This Row],[Elevated Priority]],Epriority,2,)</f>
        <v>0</v>
      </c>
      <c r="AF170" s="8">
        <f>IF(Master201722[[#This Row],[Status]]="Active",Master201722[[#This Row],[Status_Score]],IF(C170="","",Q170+G170+S170+U170+AE170-5))</f>
        <v>100</v>
      </c>
      <c r="AG170" s="8"/>
      <c r="AH170" s="8"/>
      <c r="AI170" s="8"/>
      <c r="AJ170" s="10"/>
    </row>
    <row r="171" spans="1:36" hidden="1" x14ac:dyDescent="0.25">
      <c r="A171" s="103">
        <f t="shared" si="25"/>
        <v>165</v>
      </c>
      <c r="B171" s="10" t="s">
        <v>91</v>
      </c>
      <c r="C171" s="10" t="s">
        <v>566</v>
      </c>
      <c r="E171" s="10"/>
      <c r="F171" s="10" t="s">
        <v>29</v>
      </c>
      <c r="G171" s="10">
        <f t="shared" si="24"/>
        <v>0</v>
      </c>
      <c r="H171" s="49"/>
      <c r="I171" s="49"/>
      <c r="J171" s="49">
        <f>Master201722[[#This Row],[Initial Budget]]-Master201722[[#This Row],[Previously Committed Funds]]</f>
        <v>0</v>
      </c>
      <c r="K171" s="49"/>
      <c r="L171" s="49"/>
      <c r="M171" s="97">
        <f>Master201722[[#This Row],[Design $ (Add/Deduct)]]+Master201722[[#This Row],[Construction $ (Add/Ded)]]</f>
        <v>0</v>
      </c>
      <c r="N171" s="32">
        <v>400000</v>
      </c>
      <c r="O171" s="8">
        <v>2018</v>
      </c>
      <c r="P171" s="10" t="s">
        <v>688</v>
      </c>
      <c r="Q171" s="8">
        <f t="shared" si="27"/>
        <v>20</v>
      </c>
      <c r="R171" s="8">
        <v>10</v>
      </c>
      <c r="S171" s="8">
        <f t="shared" si="26"/>
        <v>21</v>
      </c>
      <c r="T171" s="8" t="s">
        <v>47</v>
      </c>
      <c r="U171" s="8">
        <f t="shared" si="23"/>
        <v>64</v>
      </c>
      <c r="V171" s="8" t="s">
        <v>30</v>
      </c>
      <c r="W171" s="8">
        <v>0</v>
      </c>
      <c r="X171" s="8">
        <v>0</v>
      </c>
      <c r="Y171" s="8">
        <v>0</v>
      </c>
      <c r="Z171" s="8">
        <v>0</v>
      </c>
      <c r="AA171" s="8">
        <v>0</v>
      </c>
      <c r="AB171" s="8">
        <v>0</v>
      </c>
      <c r="AC171" s="8">
        <v>0</v>
      </c>
      <c r="AD171" s="17" t="s">
        <v>29</v>
      </c>
      <c r="AE171" s="8">
        <f>VLOOKUP(Master201722[[#This Row],[Elevated Priority]],Epriority,2,)</f>
        <v>0</v>
      </c>
      <c r="AF171" s="8">
        <f>IF(Master201722[[#This Row],[Status]]="Active",Master201722[[#This Row],[Status_Score]],IF(C171="","",Q171+G171+S171+U171+AE171-5))</f>
        <v>100</v>
      </c>
      <c r="AG171" s="8"/>
      <c r="AH171" s="8"/>
      <c r="AI171" s="8"/>
      <c r="AJ171" s="10"/>
    </row>
    <row r="172" spans="1:36" ht="30" hidden="1" x14ac:dyDescent="0.25">
      <c r="A172" s="103">
        <f t="shared" si="25"/>
        <v>166</v>
      </c>
      <c r="B172" s="10" t="s">
        <v>65</v>
      </c>
      <c r="C172" s="10" t="s">
        <v>556</v>
      </c>
      <c r="D172" s="10" t="s">
        <v>557</v>
      </c>
      <c r="E172" s="10" t="s">
        <v>558</v>
      </c>
      <c r="F172" s="10" t="s">
        <v>29</v>
      </c>
      <c r="G172" s="10">
        <f t="shared" si="24"/>
        <v>0</v>
      </c>
      <c r="H172" s="49"/>
      <c r="I172" s="49"/>
      <c r="J172" s="49">
        <f>Master201722[[#This Row],[Initial Budget]]-Master201722[[#This Row],[Previously Committed Funds]]</f>
        <v>0</v>
      </c>
      <c r="K172" s="49"/>
      <c r="L172" s="49"/>
      <c r="M172" s="97">
        <f>Master201722[[#This Row],[Design $ (Add/Deduct)]]+Master201722[[#This Row],[Construction $ (Add/Ded)]]</f>
        <v>0</v>
      </c>
      <c r="N172" s="32">
        <v>30000</v>
      </c>
      <c r="O172" s="8">
        <v>2018</v>
      </c>
      <c r="P172" s="10" t="s">
        <v>686</v>
      </c>
      <c r="Q172" s="8">
        <f t="shared" si="27"/>
        <v>60</v>
      </c>
      <c r="R172" s="8">
        <v>14</v>
      </c>
      <c r="S172" s="8">
        <f t="shared" si="26"/>
        <v>23</v>
      </c>
      <c r="T172" s="8" t="s">
        <v>45</v>
      </c>
      <c r="U172" s="8">
        <f t="shared" si="23"/>
        <v>32</v>
      </c>
      <c r="V172" s="8" t="s">
        <v>30</v>
      </c>
      <c r="W172" s="8">
        <v>0</v>
      </c>
      <c r="X172" s="8">
        <v>0</v>
      </c>
      <c r="Y172" s="8">
        <v>0</v>
      </c>
      <c r="Z172" s="8">
        <v>0</v>
      </c>
      <c r="AA172" s="8">
        <v>0</v>
      </c>
      <c r="AB172" s="8">
        <v>0</v>
      </c>
      <c r="AC172" s="8">
        <v>0</v>
      </c>
      <c r="AD172" s="17" t="s">
        <v>29</v>
      </c>
      <c r="AE172" s="8">
        <f>VLOOKUP(Master201722[[#This Row],[Elevated Priority]],Epriority,2,)</f>
        <v>0</v>
      </c>
      <c r="AF172" s="8">
        <f>IF(Master201722[[#This Row],[Status]]="Active",Master201722[[#This Row],[Status_Score]],IF(C172="","",Q172+G172+S172+U172+AE172-5))</f>
        <v>110</v>
      </c>
      <c r="AG172" s="8"/>
      <c r="AH172" s="8"/>
      <c r="AI172" s="8"/>
      <c r="AJ172" s="10"/>
    </row>
    <row r="173" spans="1:36" hidden="1" x14ac:dyDescent="0.25">
      <c r="A173" s="103">
        <f t="shared" si="25"/>
        <v>167</v>
      </c>
      <c r="B173" s="10" t="s">
        <v>91</v>
      </c>
      <c r="C173" s="10" t="s">
        <v>573</v>
      </c>
      <c r="E173" s="10" t="s">
        <v>574</v>
      </c>
      <c r="F173" s="10" t="s">
        <v>29</v>
      </c>
      <c r="G173" s="10">
        <f t="shared" si="24"/>
        <v>0</v>
      </c>
      <c r="H173" s="49"/>
      <c r="I173" s="49"/>
      <c r="J173" s="49">
        <f>Master201722[[#This Row],[Initial Budget]]-Master201722[[#This Row],[Previously Committed Funds]]</f>
        <v>0</v>
      </c>
      <c r="K173" s="49"/>
      <c r="L173" s="49"/>
      <c r="M173" s="97">
        <f>Master201722[[#This Row],[Design $ (Add/Deduct)]]+Master201722[[#This Row],[Construction $ (Add/Ded)]]</f>
        <v>0</v>
      </c>
      <c r="N173" s="32">
        <v>50000</v>
      </c>
      <c r="O173" s="8">
        <v>2018</v>
      </c>
      <c r="P173" s="10" t="s">
        <v>46</v>
      </c>
      <c r="Q173" s="8">
        <f t="shared" si="27"/>
        <v>50</v>
      </c>
      <c r="R173" s="8">
        <v>5</v>
      </c>
      <c r="S173" s="8">
        <f t="shared" si="26"/>
        <v>15</v>
      </c>
      <c r="T173" s="8" t="s">
        <v>45</v>
      </c>
      <c r="U173" s="8">
        <f t="shared" si="23"/>
        <v>32</v>
      </c>
      <c r="V173" s="8" t="s">
        <v>30</v>
      </c>
      <c r="W173" s="114">
        <v>0</v>
      </c>
      <c r="X173" s="8">
        <v>0</v>
      </c>
      <c r="Y173" s="8">
        <v>0</v>
      </c>
      <c r="Z173" s="8">
        <v>0</v>
      </c>
      <c r="AA173" s="8">
        <v>0</v>
      </c>
      <c r="AB173" s="8">
        <v>0</v>
      </c>
      <c r="AC173" s="8">
        <v>0</v>
      </c>
      <c r="AD173" s="17" t="s">
        <v>29</v>
      </c>
      <c r="AE173" s="8">
        <f>VLOOKUP(Master201722[[#This Row],[Elevated Priority]],Epriority,2,)</f>
        <v>0</v>
      </c>
      <c r="AF173" s="8">
        <f>IF(Master201722[[#This Row],[Status]]="Active",Master201722[[#This Row],[Status_Score]],IF(C173="","",Q173+G173+S173+U173+AE173-5))</f>
        <v>92</v>
      </c>
      <c r="AG173" s="8"/>
      <c r="AH173" s="8"/>
      <c r="AI173" s="8"/>
      <c r="AJ173" s="10"/>
    </row>
    <row r="174" spans="1:36" ht="30" x14ac:dyDescent="0.25">
      <c r="A174" s="103">
        <f t="shared" si="25"/>
        <v>168</v>
      </c>
      <c r="B174" s="10" t="s">
        <v>65</v>
      </c>
      <c r="C174" s="10" t="s">
        <v>578</v>
      </c>
      <c r="D174" s="10" t="s">
        <v>579</v>
      </c>
      <c r="E174" s="10" t="s">
        <v>580</v>
      </c>
      <c r="F174" s="10" t="s">
        <v>29</v>
      </c>
      <c r="G174" s="10">
        <f t="shared" si="24"/>
        <v>0</v>
      </c>
      <c r="H174" s="49"/>
      <c r="I174" s="49"/>
      <c r="J174" s="49">
        <f>Master201722[[#This Row],[Initial Budget]]-Master201722[[#This Row],[Previously Committed Funds]]</f>
        <v>0</v>
      </c>
      <c r="K174" s="49"/>
      <c r="L174" s="49"/>
      <c r="M174" s="97">
        <f>Master201722[[#This Row],[Design $ (Add/Deduct)]]+Master201722[[#This Row],[Construction $ (Add/Ded)]]</f>
        <v>0</v>
      </c>
      <c r="N174" s="32">
        <v>100000</v>
      </c>
      <c r="O174" s="8">
        <v>2018</v>
      </c>
      <c r="P174" s="10" t="s">
        <v>46</v>
      </c>
      <c r="Q174" s="8">
        <f t="shared" si="27"/>
        <v>50</v>
      </c>
      <c r="R174" s="8">
        <v>15</v>
      </c>
      <c r="S174" s="8">
        <f t="shared" si="26"/>
        <v>24</v>
      </c>
      <c r="T174" s="8" t="s">
        <v>47</v>
      </c>
      <c r="U174" s="8">
        <f t="shared" si="23"/>
        <v>64</v>
      </c>
      <c r="V174" s="8" t="s">
        <v>34</v>
      </c>
      <c r="W174" s="8">
        <v>0</v>
      </c>
      <c r="X174" s="8">
        <v>0</v>
      </c>
      <c r="Y174" s="8">
        <v>0</v>
      </c>
      <c r="Z174" s="8">
        <v>0</v>
      </c>
      <c r="AA174" s="8">
        <v>0</v>
      </c>
      <c r="AB174" s="8">
        <v>0</v>
      </c>
      <c r="AC174" s="8">
        <v>0</v>
      </c>
      <c r="AD174" s="17" t="s">
        <v>29</v>
      </c>
      <c r="AE174" s="8">
        <f>VLOOKUP(Master201722[[#This Row],[Elevated Priority]],Epriority,2,)</f>
        <v>0</v>
      </c>
      <c r="AF174" s="8">
        <f>IF(Master201722[[#This Row],[Status]]="Active",Master201722[[#This Row],[Status_Score]],IF(C174="","",Q174+G174+S174+U174+AE174-5))</f>
        <v>133</v>
      </c>
      <c r="AG174" s="8"/>
      <c r="AH174" s="8"/>
      <c r="AI174" s="8"/>
      <c r="AJ174" s="10"/>
    </row>
    <row r="175" spans="1:36" ht="30" x14ac:dyDescent="0.25">
      <c r="A175" s="103">
        <f t="shared" si="25"/>
        <v>169</v>
      </c>
      <c r="B175" s="111" t="s">
        <v>70</v>
      </c>
      <c r="C175" s="111" t="s">
        <v>692</v>
      </c>
      <c r="D175" s="111" t="s">
        <v>925</v>
      </c>
      <c r="E175" s="111" t="s">
        <v>941</v>
      </c>
      <c r="F175" s="111" t="s">
        <v>816</v>
      </c>
      <c r="G175" s="111">
        <f t="shared" ref="G175:G199" si="28">VLOOKUP(F175,Status_Score,2,FALSE)</f>
        <v>1000</v>
      </c>
      <c r="H175" s="112"/>
      <c r="I175" s="112"/>
      <c r="J175" s="112">
        <f>Master201722[[#This Row],[Initial Budget]]-Master201722[[#This Row],[Previously Committed Funds]]</f>
        <v>0</v>
      </c>
      <c r="K175" s="112"/>
      <c r="L175" s="112"/>
      <c r="M175" s="116">
        <f>Master201722[[#This Row],[Design $ (Add/Deduct)]]+Master201722[[#This Row],[Construction $ (Add/Ded)]]</f>
        <v>0</v>
      </c>
      <c r="N175" s="115">
        <v>7000000</v>
      </c>
      <c r="O175" s="114">
        <v>2019</v>
      </c>
      <c r="P175" s="111" t="s">
        <v>46</v>
      </c>
      <c r="Q175" s="114">
        <f t="shared" si="27"/>
        <v>50</v>
      </c>
      <c r="R175" s="114">
        <v>2</v>
      </c>
      <c r="S175" s="114">
        <f t="shared" si="26"/>
        <v>6</v>
      </c>
      <c r="T175" s="114" t="s">
        <v>41</v>
      </c>
      <c r="U175" s="114">
        <f t="shared" si="23"/>
        <v>4</v>
      </c>
      <c r="V175" s="114" t="s">
        <v>34</v>
      </c>
      <c r="W175" s="114">
        <v>0</v>
      </c>
      <c r="X175" s="114">
        <v>0</v>
      </c>
      <c r="Y175" s="114">
        <v>-3</v>
      </c>
      <c r="Z175" s="114">
        <v>-3</v>
      </c>
      <c r="AA175" s="114">
        <v>-2</v>
      </c>
      <c r="AB175" s="114">
        <v>-9</v>
      </c>
      <c r="AC175" s="114">
        <v>0</v>
      </c>
      <c r="AD175" s="113" t="s">
        <v>35</v>
      </c>
      <c r="AE175" s="114">
        <f>VLOOKUP(Master201722[[#This Row],[Elevated Priority]],Epriority,2,)</f>
        <v>-50</v>
      </c>
      <c r="AF175" s="114">
        <f>IF(Master201722[[#This Row],[Status]]="Active",Master201722[[#This Row],[Status_Score]],IF(C175="","",Q175+G175+S175+U175+AE175-5))</f>
        <v>1005</v>
      </c>
      <c r="AG175" s="114"/>
      <c r="AH175" s="114">
        <v>2020</v>
      </c>
      <c r="AI175" s="114">
        <v>2021</v>
      </c>
      <c r="AJ175" s="10"/>
    </row>
    <row r="176" spans="1:36" ht="30" x14ac:dyDescent="0.25">
      <c r="A176" s="103">
        <f t="shared" si="25"/>
        <v>170</v>
      </c>
      <c r="B176" s="111" t="s">
        <v>91</v>
      </c>
      <c r="C176" s="111" t="s">
        <v>872</v>
      </c>
      <c r="D176" s="111" t="s">
        <v>873</v>
      </c>
      <c r="E176" s="111" t="s">
        <v>874</v>
      </c>
      <c r="F176" s="111" t="s">
        <v>816</v>
      </c>
      <c r="G176" s="111">
        <f t="shared" si="28"/>
        <v>1000</v>
      </c>
      <c r="H176" s="112"/>
      <c r="I176" s="112"/>
      <c r="J176" s="112">
        <f>Master201722[[#This Row],[Initial Budget]]-Master201722[[#This Row],[Previously Committed Funds]]</f>
        <v>0</v>
      </c>
      <c r="K176" s="112"/>
      <c r="L176" s="112">
        <v>150000</v>
      </c>
      <c r="M176" s="116">
        <f>Master201722[[#This Row],[Design $ (Add/Deduct)]]+Master201722[[#This Row],[Construction $ (Add/Ded)]]</f>
        <v>150000</v>
      </c>
      <c r="N176" s="115">
        <v>150000</v>
      </c>
      <c r="O176" s="114">
        <v>2018</v>
      </c>
      <c r="P176" s="111" t="s">
        <v>36</v>
      </c>
      <c r="Q176" s="114">
        <f t="shared" si="27"/>
        <v>10</v>
      </c>
      <c r="R176" s="114">
        <v>1</v>
      </c>
      <c r="S176" s="114">
        <f t="shared" si="26"/>
        <v>3</v>
      </c>
      <c r="T176" s="114" t="s">
        <v>33</v>
      </c>
      <c r="U176" s="114">
        <f t="shared" si="23"/>
        <v>1</v>
      </c>
      <c r="V176" s="114" t="s">
        <v>34</v>
      </c>
      <c r="W176" s="114">
        <v>0</v>
      </c>
      <c r="X176" s="8">
        <v>0</v>
      </c>
      <c r="Y176" s="114">
        <v>0</v>
      </c>
      <c r="Z176" s="114">
        <v>0</v>
      </c>
      <c r="AA176" s="8">
        <v>0</v>
      </c>
      <c r="AB176" s="8">
        <v>0</v>
      </c>
      <c r="AC176" s="8">
        <v>0</v>
      </c>
      <c r="AD176" s="113" t="s">
        <v>31</v>
      </c>
      <c r="AE176" s="114">
        <f>VLOOKUP(Master201722[[#This Row],[Elevated Priority]],Epriority,2,)</f>
        <v>-25</v>
      </c>
      <c r="AF176" s="114">
        <f>IF(Master201722[[#This Row],[Status]]="Active",Master201722[[#This Row],[Status_Score]],IF(C176="","",Q176+G176+S176+U176+AE176-5))</f>
        <v>984</v>
      </c>
      <c r="AG176" s="114" t="s">
        <v>754</v>
      </c>
      <c r="AH176" s="114">
        <v>2019</v>
      </c>
      <c r="AI176" s="114">
        <v>2020</v>
      </c>
      <c r="AJ176" s="111"/>
    </row>
    <row r="177" spans="1:36" ht="30" x14ac:dyDescent="0.25">
      <c r="A177" s="103">
        <f t="shared" si="25"/>
        <v>171</v>
      </c>
      <c r="B177" s="120" t="s">
        <v>70</v>
      </c>
      <c r="C177" s="144" t="s">
        <v>691</v>
      </c>
      <c r="D177" s="144" t="s">
        <v>697</v>
      </c>
      <c r="E177" s="144" t="s">
        <v>855</v>
      </c>
      <c r="F177" s="111" t="s">
        <v>816</v>
      </c>
      <c r="G177" s="111">
        <f t="shared" si="28"/>
        <v>1000</v>
      </c>
      <c r="H177" s="112"/>
      <c r="I177" s="112"/>
      <c r="J177" s="112">
        <f>Master201722[[#This Row],[Initial Budget]]-Master201722[[#This Row],[Previously Committed Funds]]</f>
        <v>0</v>
      </c>
      <c r="K177" s="112"/>
      <c r="L177" s="112"/>
      <c r="M177" s="116">
        <f>Master201722[[#This Row],[Design $ (Add/Deduct)]]+Master201722[[#This Row],[Construction $ (Add/Ded)]]</f>
        <v>0</v>
      </c>
      <c r="N177" s="115">
        <v>12000000</v>
      </c>
      <c r="O177" s="114">
        <v>2019</v>
      </c>
      <c r="P177" s="111" t="s">
        <v>46</v>
      </c>
      <c r="Q177" s="114">
        <f t="shared" si="27"/>
        <v>50</v>
      </c>
      <c r="R177" s="114">
        <v>1</v>
      </c>
      <c r="S177" s="114">
        <f t="shared" si="26"/>
        <v>3</v>
      </c>
      <c r="T177" s="114" t="s">
        <v>41</v>
      </c>
      <c r="U177" s="114"/>
      <c r="V177" s="114" t="s">
        <v>34</v>
      </c>
      <c r="W177" s="114">
        <v>0</v>
      </c>
      <c r="X177" s="8">
        <v>0</v>
      </c>
      <c r="Y177" s="114">
        <v>0</v>
      </c>
      <c r="Z177" s="114">
        <v>0</v>
      </c>
      <c r="AA177" s="8">
        <v>0</v>
      </c>
      <c r="AB177" s="8">
        <v>0</v>
      </c>
      <c r="AC177" s="8">
        <v>0</v>
      </c>
      <c r="AD177" s="113" t="s">
        <v>35</v>
      </c>
      <c r="AE177" s="114">
        <f>VLOOKUP(Master201722[[#This Row],[Elevated Priority]],Epriority,2,)</f>
        <v>-50</v>
      </c>
      <c r="AF177" s="114">
        <f>IF(Master201722[[#This Row],[Status]]="Active",Master201722[[#This Row],[Status_Score]],IF(C177="","",Q177+G177+S177+U177+AE177-5))</f>
        <v>998</v>
      </c>
      <c r="AG177" s="114" t="s">
        <v>715</v>
      </c>
      <c r="AH177" s="114">
        <v>2019</v>
      </c>
      <c r="AI177" s="114">
        <v>2020</v>
      </c>
      <c r="AJ177" s="111"/>
    </row>
    <row r="178" spans="1:36" ht="105" hidden="1" x14ac:dyDescent="0.25">
      <c r="A178" s="103">
        <f t="shared" si="25"/>
        <v>172</v>
      </c>
      <c r="B178" s="48" t="s">
        <v>70</v>
      </c>
      <c r="C178" s="10" t="s">
        <v>141</v>
      </c>
      <c r="D178" s="10" t="s">
        <v>142</v>
      </c>
      <c r="E178" s="10"/>
      <c r="F178" s="10" t="s">
        <v>832</v>
      </c>
      <c r="G178" s="10">
        <f t="shared" si="28"/>
        <v>100</v>
      </c>
      <c r="H178" s="49"/>
      <c r="I178" s="49"/>
      <c r="J178" s="49">
        <f>Master201722[[#This Row],[Initial Budget]]-Master201722[[#This Row],[Previously Committed Funds]]</f>
        <v>0</v>
      </c>
      <c r="K178" s="49"/>
      <c r="L178" s="49"/>
      <c r="M178" s="97">
        <f>Master201722[[#This Row],[Design $ (Add/Deduct)]]+Master201722[[#This Row],[Construction $ (Add/Ded)]]</f>
        <v>0</v>
      </c>
      <c r="N178" s="32">
        <v>100000</v>
      </c>
      <c r="O178" s="8">
        <v>2018</v>
      </c>
      <c r="P178" s="10" t="s">
        <v>36</v>
      </c>
      <c r="Q178" s="8">
        <f t="shared" si="27"/>
        <v>10</v>
      </c>
      <c r="R178" s="8">
        <v>1</v>
      </c>
      <c r="S178" s="8">
        <f t="shared" si="26"/>
        <v>3</v>
      </c>
      <c r="T178" s="8" t="s">
        <v>37</v>
      </c>
      <c r="U178" s="8">
        <f t="shared" ref="U178:U184" si="29">VLOOKUP(T178,Urgency,2,FALSE)</f>
        <v>3</v>
      </c>
      <c r="V178" s="8" t="s">
        <v>30</v>
      </c>
      <c r="W178" s="8">
        <v>0</v>
      </c>
      <c r="X178" s="8">
        <v>0</v>
      </c>
      <c r="Y178" s="8">
        <v>0</v>
      </c>
      <c r="Z178" s="8">
        <v>0</v>
      </c>
      <c r="AA178" s="8">
        <v>0</v>
      </c>
      <c r="AB178" s="8">
        <v>0</v>
      </c>
      <c r="AC178" s="8">
        <v>0</v>
      </c>
      <c r="AD178" s="17" t="s">
        <v>29</v>
      </c>
      <c r="AE178" s="8">
        <f>VLOOKUP(Master201722[[#This Row],[Elevated Priority]],Epriority,2,)</f>
        <v>0</v>
      </c>
      <c r="AF178" s="8">
        <f>IF(Master201722[[#This Row],[Status]]="Active",Master201722[[#This Row],[Status_Score]],IF(C178="","",Q178+G178+S178+U178+AE178-5))</f>
        <v>111</v>
      </c>
      <c r="AG178" s="8"/>
      <c r="AH178" s="8">
        <v>2021</v>
      </c>
      <c r="AI178" s="8">
        <v>2021</v>
      </c>
      <c r="AJ178" s="10"/>
    </row>
    <row r="179" spans="1:36" ht="61.5" hidden="1" customHeight="1" x14ac:dyDescent="0.25">
      <c r="A179" s="103">
        <f t="shared" si="25"/>
        <v>173</v>
      </c>
      <c r="B179" s="127" t="s">
        <v>73</v>
      </c>
      <c r="C179" s="10" t="s">
        <v>177</v>
      </c>
      <c r="D179" s="10" t="s">
        <v>178</v>
      </c>
      <c r="E179" s="10" t="s">
        <v>179</v>
      </c>
      <c r="F179" s="10" t="s">
        <v>832</v>
      </c>
      <c r="G179" s="10">
        <f t="shared" si="28"/>
        <v>100</v>
      </c>
      <c r="H179" s="51"/>
      <c r="I179" s="51"/>
      <c r="J179" s="51">
        <f>Master201722[[#This Row],[Initial Budget]]-Master201722[[#This Row],[Previously Committed Funds]]</f>
        <v>0</v>
      </c>
      <c r="K179" s="51"/>
      <c r="L179" s="124"/>
      <c r="M179" s="118">
        <f>Master201722[[#This Row],[Design $ (Add/Deduct)]]+Master201722[[#This Row],[Construction $ (Add/Ded)]]</f>
        <v>0</v>
      </c>
      <c r="N179" s="126">
        <v>15000</v>
      </c>
      <c r="O179" s="8">
        <v>2018</v>
      </c>
      <c r="P179" s="10" t="s">
        <v>36</v>
      </c>
      <c r="Q179" s="8">
        <f t="shared" si="27"/>
        <v>10</v>
      </c>
      <c r="R179" s="8">
        <v>2</v>
      </c>
      <c r="S179" s="8">
        <f t="shared" si="26"/>
        <v>6</v>
      </c>
      <c r="T179" s="8" t="s">
        <v>41</v>
      </c>
      <c r="U179" s="8">
        <f t="shared" si="29"/>
        <v>4</v>
      </c>
      <c r="V179" s="8" t="s">
        <v>30</v>
      </c>
      <c r="W179" s="8">
        <v>0</v>
      </c>
      <c r="X179" s="8">
        <v>0</v>
      </c>
      <c r="Y179" s="8">
        <v>0</v>
      </c>
      <c r="Z179" s="8">
        <v>0</v>
      </c>
      <c r="AA179" s="8">
        <v>0</v>
      </c>
      <c r="AB179" s="8">
        <v>0</v>
      </c>
      <c r="AC179" s="8">
        <v>0</v>
      </c>
      <c r="AD179" s="17" t="s">
        <v>29</v>
      </c>
      <c r="AE179" s="8">
        <f>VLOOKUP(Master201722[[#This Row],[Elevated Priority]],Epriority,2,)</f>
        <v>0</v>
      </c>
      <c r="AF179" s="8">
        <f>IF(Master201722[[#This Row],[Status]]="Active",Master201722[[#This Row],[Status_Score]],IF(C179="","",Q179+G179+S179+U179+AE179-5))</f>
        <v>115</v>
      </c>
      <c r="AG179" s="8"/>
      <c r="AH179" s="8">
        <v>2021</v>
      </c>
      <c r="AI179" s="8">
        <v>2022</v>
      </c>
      <c r="AJ179" s="10"/>
    </row>
    <row r="180" spans="1:36" ht="31.5" hidden="1" customHeight="1" x14ac:dyDescent="0.25">
      <c r="A180" s="103">
        <f t="shared" si="25"/>
        <v>174</v>
      </c>
      <c r="B180" s="111" t="s">
        <v>214</v>
      </c>
      <c r="C180" s="111" t="s">
        <v>215</v>
      </c>
      <c r="D180" s="111" t="s">
        <v>216</v>
      </c>
      <c r="E180" s="143" t="s">
        <v>658</v>
      </c>
      <c r="F180" s="111" t="s">
        <v>832</v>
      </c>
      <c r="G180" s="111">
        <f t="shared" si="28"/>
        <v>100</v>
      </c>
      <c r="H180" s="121"/>
      <c r="I180" s="121"/>
      <c r="J180" s="121">
        <f>Master201722[[#This Row],[Initial Budget]]-Master201722[[#This Row],[Previously Committed Funds]]</f>
        <v>0</v>
      </c>
      <c r="K180" s="121"/>
      <c r="L180" s="122"/>
      <c r="M180" s="128">
        <f>Master201722[[#This Row],[Design $ (Add/Deduct)]]+Master201722[[#This Row],[Construction $ (Add/Ded)]]</f>
        <v>0</v>
      </c>
      <c r="N180" s="140">
        <v>250000</v>
      </c>
      <c r="O180" s="114">
        <v>2018</v>
      </c>
      <c r="P180" s="111" t="s">
        <v>688</v>
      </c>
      <c r="Q180" s="114">
        <f t="shared" si="27"/>
        <v>20</v>
      </c>
      <c r="R180" s="114">
        <v>1</v>
      </c>
      <c r="S180" s="114">
        <f t="shared" si="26"/>
        <v>3</v>
      </c>
      <c r="T180" s="114" t="s">
        <v>41</v>
      </c>
      <c r="U180" s="114">
        <f t="shared" si="29"/>
        <v>4</v>
      </c>
      <c r="V180" s="114" t="s">
        <v>30</v>
      </c>
      <c r="W180" s="8">
        <v>0</v>
      </c>
      <c r="X180" s="8">
        <v>0</v>
      </c>
      <c r="Y180" s="8">
        <v>0</v>
      </c>
      <c r="Z180" s="8">
        <v>0</v>
      </c>
      <c r="AA180" s="8">
        <v>0</v>
      </c>
      <c r="AB180" s="8">
        <v>0</v>
      </c>
      <c r="AC180" s="8">
        <v>0</v>
      </c>
      <c r="AD180" s="113" t="s">
        <v>29</v>
      </c>
      <c r="AE180" s="114">
        <f>VLOOKUP(Master201722[[#This Row],[Elevated Priority]],Epriority,2,)</f>
        <v>0</v>
      </c>
      <c r="AF180" s="8">
        <f>IF(Master201722[[#This Row],[Status]]="Active",Master201722[[#This Row],[Status_Score]],IF(C180="","",Q180+G180+S180+U180+AE180-5))</f>
        <v>122</v>
      </c>
      <c r="AG180" s="114"/>
      <c r="AH180" s="114">
        <v>2022</v>
      </c>
      <c r="AI180" s="114">
        <v>2022</v>
      </c>
      <c r="AJ180" s="111"/>
    </row>
    <row r="181" spans="1:36" ht="57.75" hidden="1" customHeight="1" x14ac:dyDescent="0.25">
      <c r="A181" s="103">
        <f t="shared" si="25"/>
        <v>175</v>
      </c>
      <c r="B181" s="120" t="s">
        <v>65</v>
      </c>
      <c r="C181" s="111" t="s">
        <v>208</v>
      </c>
      <c r="D181" s="111" t="s">
        <v>209</v>
      </c>
      <c r="E181" s="111" t="s">
        <v>210</v>
      </c>
      <c r="F181" s="111" t="s">
        <v>832</v>
      </c>
      <c r="G181" s="111">
        <f t="shared" si="28"/>
        <v>100</v>
      </c>
      <c r="H181" s="121"/>
      <c r="I181" s="121"/>
      <c r="J181" s="121">
        <f>Master201722[[#This Row],[Initial Budget]]-Master201722[[#This Row],[Previously Committed Funds]]</f>
        <v>0</v>
      </c>
      <c r="K181" s="121"/>
      <c r="L181" s="122"/>
      <c r="M181" s="128">
        <f>Master201722[[#This Row],[Design $ (Add/Deduct)]]+Master201722[[#This Row],[Construction $ (Add/Ded)]]</f>
        <v>0</v>
      </c>
      <c r="N181" s="140">
        <v>250000</v>
      </c>
      <c r="O181" s="114">
        <v>2018</v>
      </c>
      <c r="P181" s="111" t="s">
        <v>688</v>
      </c>
      <c r="Q181" s="114">
        <f t="shared" si="27"/>
        <v>20</v>
      </c>
      <c r="R181" s="114">
        <v>1</v>
      </c>
      <c r="S181" s="114">
        <f t="shared" ref="S181:S184" si="30">VLOOKUP(R181,Department,2,FALSE)</f>
        <v>3</v>
      </c>
      <c r="T181" s="114" t="s">
        <v>41</v>
      </c>
      <c r="U181" s="114">
        <f t="shared" si="29"/>
        <v>4</v>
      </c>
      <c r="V181" s="114" t="s">
        <v>30</v>
      </c>
      <c r="W181" s="8">
        <v>0</v>
      </c>
      <c r="X181" s="114">
        <v>0</v>
      </c>
      <c r="Y181" s="114">
        <v>0</v>
      </c>
      <c r="Z181" s="114">
        <v>0</v>
      </c>
      <c r="AA181" s="114">
        <v>0</v>
      </c>
      <c r="AB181" s="114">
        <v>0</v>
      </c>
      <c r="AC181" s="114">
        <v>0</v>
      </c>
      <c r="AD181" s="113" t="s">
        <v>29</v>
      </c>
      <c r="AE181" s="114">
        <f>VLOOKUP(Master201722[[#This Row],[Elevated Priority]],Epriority,2,)</f>
        <v>0</v>
      </c>
      <c r="AF181" s="114">
        <f>IF(Master201722[[#This Row],[Status]]="Active",Master201722[[#This Row],[Status_Score]],IF(C181="","",Q181+G181+S181+U181+AE181-5))</f>
        <v>122</v>
      </c>
      <c r="AG181" s="114"/>
      <c r="AH181" s="114"/>
      <c r="AI181" s="114"/>
      <c r="AJ181" s="111"/>
    </row>
    <row r="182" spans="1:36" ht="60" hidden="1" x14ac:dyDescent="0.25">
      <c r="A182" s="103">
        <f t="shared" si="25"/>
        <v>176</v>
      </c>
      <c r="B182" s="48" t="s">
        <v>214</v>
      </c>
      <c r="C182" s="10" t="s">
        <v>225</v>
      </c>
      <c r="D182" s="10" t="s">
        <v>226</v>
      </c>
      <c r="E182" s="10" t="s">
        <v>227</v>
      </c>
      <c r="F182" s="10" t="s">
        <v>832</v>
      </c>
      <c r="G182" s="10">
        <f t="shared" si="28"/>
        <v>100</v>
      </c>
      <c r="H182" s="51"/>
      <c r="I182" s="51"/>
      <c r="J182" s="51">
        <f>Master201722[[#This Row],[Initial Budget]]-Master201722[[#This Row],[Previously Committed Funds]]</f>
        <v>0</v>
      </c>
      <c r="K182" s="51"/>
      <c r="L182" s="51"/>
      <c r="M182" s="118">
        <f>Master201722[[#This Row],[Design $ (Add/Deduct)]]+Master201722[[#This Row],[Construction $ (Add/Ded)]]</f>
        <v>0</v>
      </c>
      <c r="N182" s="82">
        <v>250000</v>
      </c>
      <c r="O182" s="8">
        <v>2018</v>
      </c>
      <c r="P182" s="10" t="s">
        <v>688</v>
      </c>
      <c r="Q182" s="8">
        <f t="shared" si="27"/>
        <v>20</v>
      </c>
      <c r="R182" s="8">
        <v>2</v>
      </c>
      <c r="S182" s="8">
        <f t="shared" si="30"/>
        <v>6</v>
      </c>
      <c r="T182" s="8" t="s">
        <v>41</v>
      </c>
      <c r="U182" s="8">
        <f t="shared" si="29"/>
        <v>4</v>
      </c>
      <c r="V182" s="8" t="s">
        <v>30</v>
      </c>
      <c r="W182" s="8">
        <v>0</v>
      </c>
      <c r="X182" s="8">
        <v>0</v>
      </c>
      <c r="Y182" s="8">
        <v>0</v>
      </c>
      <c r="Z182" s="8">
        <v>0</v>
      </c>
      <c r="AA182" s="8">
        <v>0</v>
      </c>
      <c r="AB182" s="8">
        <v>0</v>
      </c>
      <c r="AC182" s="8">
        <v>0</v>
      </c>
      <c r="AD182" s="17" t="s">
        <v>29</v>
      </c>
      <c r="AE182" s="8">
        <f>VLOOKUP(Master201722[[#This Row],[Elevated Priority]],Epriority,2,)</f>
        <v>0</v>
      </c>
      <c r="AF182" s="8">
        <f>IF(Master201722[[#This Row],[Status]]="Active",Master201722[[#This Row],[Status_Score]],IF(C182="","",Q182+G182+S182+U182+AE182-5))</f>
        <v>125</v>
      </c>
      <c r="AG182" s="8"/>
      <c r="AH182" s="8">
        <v>2022</v>
      </c>
      <c r="AI182" s="8">
        <v>2022</v>
      </c>
      <c r="AJ182" s="10"/>
    </row>
    <row r="183" spans="1:36" ht="30" hidden="1" x14ac:dyDescent="0.25">
      <c r="A183" s="103">
        <f t="shared" si="25"/>
        <v>177</v>
      </c>
      <c r="B183" s="48" t="s">
        <v>214</v>
      </c>
      <c r="C183" s="10" t="s">
        <v>307</v>
      </c>
      <c r="D183" s="10" t="s">
        <v>308</v>
      </c>
      <c r="E183" s="10" t="s">
        <v>309</v>
      </c>
      <c r="F183" s="10" t="s">
        <v>832</v>
      </c>
      <c r="G183" s="10">
        <f t="shared" si="28"/>
        <v>100</v>
      </c>
      <c r="H183" s="51"/>
      <c r="I183" s="51"/>
      <c r="J183" s="51">
        <f>Master201722[[#This Row],[Initial Budget]]-Master201722[[#This Row],[Previously Committed Funds]]</f>
        <v>0</v>
      </c>
      <c r="K183" s="51"/>
      <c r="L183" s="124"/>
      <c r="M183" s="118">
        <f>Master201722[[#This Row],[Design $ (Add/Deduct)]]+Master201722[[#This Row],[Construction $ (Add/Ded)]]</f>
        <v>0</v>
      </c>
      <c r="N183" s="126">
        <v>150000</v>
      </c>
      <c r="O183" s="8">
        <v>2018</v>
      </c>
      <c r="P183" s="10" t="s">
        <v>688</v>
      </c>
      <c r="Q183" s="8">
        <f t="shared" si="27"/>
        <v>20</v>
      </c>
      <c r="R183" s="8">
        <v>4</v>
      </c>
      <c r="S183" s="8">
        <f t="shared" si="30"/>
        <v>12</v>
      </c>
      <c r="T183" s="8" t="s">
        <v>41</v>
      </c>
      <c r="U183" s="8">
        <f t="shared" si="29"/>
        <v>4</v>
      </c>
      <c r="V183" s="8" t="s">
        <v>30</v>
      </c>
      <c r="W183" s="8">
        <v>0</v>
      </c>
      <c r="X183" s="8">
        <v>0</v>
      </c>
      <c r="Y183" s="8">
        <v>0</v>
      </c>
      <c r="Z183" s="8">
        <v>0</v>
      </c>
      <c r="AA183" s="8">
        <v>0</v>
      </c>
      <c r="AB183" s="8">
        <v>0</v>
      </c>
      <c r="AC183" s="8">
        <v>0</v>
      </c>
      <c r="AD183" s="17" t="s">
        <v>29</v>
      </c>
      <c r="AE183" s="8">
        <f>VLOOKUP(Master201722[[#This Row],[Elevated Priority]],Epriority,2,)</f>
        <v>0</v>
      </c>
      <c r="AF183" s="8">
        <f>IF(Master201722[[#This Row],[Status]]="Active",Master201722[[#This Row],[Status_Score]],IF(C183="","",Q183+G183+S183+U183+AE183-5))</f>
        <v>131</v>
      </c>
      <c r="AG183" s="8"/>
      <c r="AH183" s="8"/>
      <c r="AI183" s="8"/>
      <c r="AJ183" s="10"/>
    </row>
    <row r="184" spans="1:36" ht="45" hidden="1" x14ac:dyDescent="0.25">
      <c r="A184" s="103">
        <f t="shared" si="25"/>
        <v>178</v>
      </c>
      <c r="B184" s="130" t="s">
        <v>674</v>
      </c>
      <c r="C184" s="107" t="s">
        <v>19</v>
      </c>
      <c r="D184" s="107" t="s">
        <v>831</v>
      </c>
      <c r="E184" s="107" t="s">
        <v>915</v>
      </c>
      <c r="F184" s="107" t="s">
        <v>832</v>
      </c>
      <c r="G184" s="107">
        <f t="shared" si="28"/>
        <v>100</v>
      </c>
      <c r="H184" s="131">
        <v>2097410</v>
      </c>
      <c r="I184" s="131">
        <v>1769</v>
      </c>
      <c r="J184" s="131">
        <f>Master201722[[#This Row],[Initial Budget]]-Master201722[[#This Row],[Previously Committed Funds]]</f>
        <v>2095641</v>
      </c>
      <c r="K184" s="131">
        <v>0</v>
      </c>
      <c r="L184" s="133">
        <v>0</v>
      </c>
      <c r="M184" s="132">
        <f>Master201722[[#This Row],[Design $ (Add/Deduct)]]+Master201722[[#This Row],[Construction $ (Add/Ded)]]</f>
        <v>0</v>
      </c>
      <c r="N184" s="134">
        <f>Master201722[[#This Row],[Total Add]]+Master201722[[#This Row],[Current Available Balance]]+Master201722[[#This Row],[Previously Committed Funds]]</f>
        <v>2097410</v>
      </c>
      <c r="O184" s="106">
        <v>2018</v>
      </c>
      <c r="P184" s="107" t="s">
        <v>46</v>
      </c>
      <c r="Q184" s="8">
        <f t="shared" ref="Q184" si="31">VLOOKUP(P184,Importance,2,FALSE)</f>
        <v>50</v>
      </c>
      <c r="R184" s="106">
        <v>10</v>
      </c>
      <c r="S184" s="106">
        <f t="shared" si="30"/>
        <v>21</v>
      </c>
      <c r="T184" s="106" t="s">
        <v>45</v>
      </c>
      <c r="U184" s="106">
        <f t="shared" si="29"/>
        <v>32</v>
      </c>
      <c r="V184" s="106" t="s">
        <v>38</v>
      </c>
      <c r="W184" s="114">
        <v>0</v>
      </c>
      <c r="X184" s="106"/>
      <c r="Y184" s="106"/>
      <c r="Z184" s="106"/>
      <c r="AA184" s="106"/>
      <c r="AB184" s="106"/>
      <c r="AC184" s="106"/>
      <c r="AD184" s="108" t="s">
        <v>29</v>
      </c>
      <c r="AE184" s="106">
        <f>VLOOKUP(Master201722[[#This Row],[Elevated Priority]],Epriority,2,)</f>
        <v>0</v>
      </c>
      <c r="AF184" s="106">
        <f>IF(Master201722[[#This Row],[Status]]="Active",Master201722[[#This Row],[Status_Score]],IF(C184="","",Q184+G184+S184+U184+AE184-5))</f>
        <v>198</v>
      </c>
      <c r="AG184" s="106" t="s">
        <v>717</v>
      </c>
      <c r="AH184" s="106"/>
      <c r="AI184" s="106"/>
      <c r="AJ184" s="107" t="s">
        <v>916</v>
      </c>
    </row>
    <row r="185" spans="1:36" ht="45" hidden="1" x14ac:dyDescent="0.25">
      <c r="A185" s="103">
        <f t="shared" si="25"/>
        <v>179</v>
      </c>
      <c r="B185" s="48" t="s">
        <v>646</v>
      </c>
      <c r="C185" s="10" t="s">
        <v>746</v>
      </c>
      <c r="D185" s="10" t="s">
        <v>675</v>
      </c>
      <c r="E185" s="10" t="s">
        <v>676</v>
      </c>
      <c r="F185" s="10" t="s">
        <v>814</v>
      </c>
      <c r="G185" s="10">
        <f t="shared" si="28"/>
        <v>200</v>
      </c>
      <c r="H185" s="51">
        <v>50000</v>
      </c>
      <c r="I185" s="51">
        <v>17833</v>
      </c>
      <c r="J185" s="51">
        <f>Master201722[[#This Row],[Initial Budget]]-Master201722[[#This Row],[Previously Committed Funds]]</f>
        <v>32167</v>
      </c>
      <c r="K185" s="51">
        <v>0</v>
      </c>
      <c r="L185" s="51">
        <v>0</v>
      </c>
      <c r="M185" s="118">
        <f>Master201722[[#This Row],[Design $ (Add/Deduct)]]+Master201722[[#This Row],[Construction $ (Add/Ded)]]</f>
        <v>0</v>
      </c>
      <c r="N185" s="51">
        <f>Master201722[[#This Row],[Total Add]]+Master201722[[#This Row],[Current Available Balance]]+Master201722[[#This Row],[Previously Committed Funds]]</f>
        <v>50000</v>
      </c>
      <c r="O185" s="8">
        <v>2019</v>
      </c>
      <c r="P185" s="10" t="s">
        <v>686</v>
      </c>
      <c r="Q185" s="8">
        <v>40</v>
      </c>
      <c r="R185" s="25">
        <v>1</v>
      </c>
      <c r="S185" s="8">
        <v>3</v>
      </c>
      <c r="T185" s="8" t="s">
        <v>37</v>
      </c>
      <c r="U185" s="8">
        <v>4</v>
      </c>
      <c r="V185" s="25" t="s">
        <v>38</v>
      </c>
      <c r="W185" s="8">
        <v>0</v>
      </c>
      <c r="AD185" s="17" t="s">
        <v>29</v>
      </c>
      <c r="AE185" s="8">
        <v>0</v>
      </c>
      <c r="AF185" s="8">
        <f>IF(Master201722[[#This Row],[Status]]="Active",Master201722[[#This Row],[Status_Score]],IF(C185="","",Q185+G185+S185+U185+AE185-5))</f>
        <v>242</v>
      </c>
      <c r="AG185" s="8"/>
      <c r="AH185" s="8"/>
      <c r="AI185" s="8"/>
      <c r="AJ185" s="10" t="s">
        <v>157</v>
      </c>
    </row>
    <row r="186" spans="1:36" ht="75" hidden="1" x14ac:dyDescent="0.25">
      <c r="A186" s="103">
        <f t="shared" si="25"/>
        <v>180</v>
      </c>
      <c r="B186" s="120" t="s">
        <v>65</v>
      </c>
      <c r="C186" s="111" t="s">
        <v>733</v>
      </c>
      <c r="D186" s="111" t="s">
        <v>709</v>
      </c>
      <c r="E186" s="111" t="s">
        <v>735</v>
      </c>
      <c r="F186" s="111" t="s">
        <v>816</v>
      </c>
      <c r="G186" s="111">
        <f t="shared" si="28"/>
        <v>1000</v>
      </c>
      <c r="H186" s="121">
        <v>1319975</v>
      </c>
      <c r="I186" s="121">
        <v>230202.8</v>
      </c>
      <c r="J186" s="121">
        <f>Master201722[[#This Row],[Initial Budget]]-Master201722[[#This Row],[Previously Committed Funds]]</f>
        <v>1089772.2</v>
      </c>
      <c r="K186" s="121">
        <v>89000</v>
      </c>
      <c r="L186" s="122">
        <f>2425000-Master201722[[#This Row],[Design $ (Add/Deduct)]]-Master201722[[#This Row],[Current Available Balance]]-Master201722[[#This Row],[Previously Committed Funds]]</f>
        <v>1016025</v>
      </c>
      <c r="M186" s="128">
        <f>Master201722[[#This Row],[Design $ (Add/Deduct)]]+Master201722[[#This Row],[Construction $ (Add/Ded)]]</f>
        <v>1105025</v>
      </c>
      <c r="N186" s="129">
        <f>Master201722[[#This Row],[Total Add]]+Master201722[[#This Row],[Current Available Balance]]+Master201722[[#This Row],[Previously Committed Funds]]</f>
        <v>2425000</v>
      </c>
      <c r="O186" s="113">
        <v>2018</v>
      </c>
      <c r="P186" s="111" t="s">
        <v>29</v>
      </c>
      <c r="Q186" s="111">
        <f>VLOOKUP(P186,Importance, 2, FALSE)</f>
        <v>0</v>
      </c>
      <c r="R186" s="113" t="s">
        <v>29</v>
      </c>
      <c r="S186" s="111">
        <f>VLOOKUP(R186,Department,2,FALSE)</f>
        <v>0</v>
      </c>
      <c r="T186" s="111" t="s">
        <v>29</v>
      </c>
      <c r="U186" s="111">
        <f>VLOOKUP(T186,Urgency,2,FALSE)</f>
        <v>0</v>
      </c>
      <c r="V186" s="111" t="s">
        <v>38</v>
      </c>
      <c r="W186" s="111"/>
      <c r="X186" s="111"/>
      <c r="Y186" s="111"/>
      <c r="Z186" s="111"/>
      <c r="AA186" s="111"/>
      <c r="AB186" s="111"/>
      <c r="AC186" s="111"/>
      <c r="AD186" s="111" t="s">
        <v>29</v>
      </c>
      <c r="AE186" s="111">
        <f>VLOOKUP(Master201722[[#This Row],[Elevated Priority]],Epriority,2,)</f>
        <v>0</v>
      </c>
      <c r="AF186" s="113">
        <f>IF(Master201722[[#This Row],[Status]]="Active",Master201722[[#This Row],[Status_Score]],IF(C186="","",Q186+G186+S186+U186+AE186-5))</f>
        <v>995</v>
      </c>
      <c r="AG186" s="113" t="s">
        <v>715</v>
      </c>
      <c r="AH186" s="113">
        <v>2017</v>
      </c>
      <c r="AI186" s="113">
        <v>2020</v>
      </c>
      <c r="AJ186" s="111" t="s">
        <v>740</v>
      </c>
    </row>
    <row r="187" spans="1:36" ht="30" hidden="1" x14ac:dyDescent="0.25">
      <c r="A187" s="103">
        <f t="shared" si="25"/>
        <v>181</v>
      </c>
      <c r="B187" s="120" t="s">
        <v>732</v>
      </c>
      <c r="C187" s="111" t="s">
        <v>733</v>
      </c>
      <c r="D187" s="111" t="s">
        <v>709</v>
      </c>
      <c r="E187" s="111" t="s">
        <v>735</v>
      </c>
      <c r="F187" s="111" t="s">
        <v>816</v>
      </c>
      <c r="G187" s="111">
        <f t="shared" si="28"/>
        <v>1000</v>
      </c>
      <c r="H187" s="121">
        <v>342669</v>
      </c>
      <c r="I187" s="121">
        <v>11710</v>
      </c>
      <c r="J187" s="121">
        <f>Master201722[[#This Row],[Initial Budget]]-Master201722[[#This Row],[Previously Committed Funds]]</f>
        <v>330959</v>
      </c>
      <c r="K187" s="121">
        <v>0</v>
      </c>
      <c r="L187" s="122">
        <f>175000-Master201722[[#This Row],[Current Available Balance]]-Master201722[[#This Row],[Previously Committed Funds]]</f>
        <v>-167669</v>
      </c>
      <c r="M187" s="128">
        <f>Master201722[[#This Row],[Design $ (Add/Deduct)]]+Master201722[[#This Row],[Construction $ (Add/Ded)]]</f>
        <v>-167669</v>
      </c>
      <c r="N187" s="129">
        <f>Master201722[[#This Row],[Total Add]]+Master201722[[#This Row],[Current Available Balance]]+Master201722[[#This Row],[Previously Committed Funds]]</f>
        <v>175000</v>
      </c>
      <c r="O187" s="113">
        <v>2017</v>
      </c>
      <c r="P187" s="111" t="s">
        <v>29</v>
      </c>
      <c r="Q187" s="111"/>
      <c r="R187" s="113">
        <v>1</v>
      </c>
      <c r="S187" s="111"/>
      <c r="T187" s="111" t="s">
        <v>37</v>
      </c>
      <c r="U187" s="111"/>
      <c r="V187" s="111" t="s">
        <v>38</v>
      </c>
      <c r="W187" s="111"/>
      <c r="X187" s="111"/>
      <c r="Y187" s="111"/>
      <c r="Z187" s="111"/>
      <c r="AA187" s="111"/>
      <c r="AB187" s="111"/>
      <c r="AC187" s="111"/>
      <c r="AD187" s="111" t="s">
        <v>29</v>
      </c>
      <c r="AE187" s="111">
        <f>VLOOKUP(Master201722[[#This Row],[Elevated Priority]],Epriority,2,)</f>
        <v>0</v>
      </c>
      <c r="AF187" s="113">
        <f>IF(Master201722[[#This Row],[Status]]="Active",Master201722[[#This Row],[Status_Score]],IF(C187="","",Q187+G187+S187+U187+AE187-5))</f>
        <v>995</v>
      </c>
      <c r="AG187" s="113" t="s">
        <v>715</v>
      </c>
      <c r="AH187" s="113">
        <v>2017</v>
      </c>
      <c r="AI187" s="113">
        <v>2020</v>
      </c>
      <c r="AJ187" s="111"/>
    </row>
    <row r="188" spans="1:36" ht="30" hidden="1" x14ac:dyDescent="0.25">
      <c r="A188" s="103">
        <f t="shared" si="25"/>
        <v>182</v>
      </c>
      <c r="B188" s="120" t="s">
        <v>65</v>
      </c>
      <c r="C188" s="111" t="s">
        <v>734</v>
      </c>
      <c r="D188" s="111" t="s">
        <v>709</v>
      </c>
      <c r="E188" s="111" t="s">
        <v>868</v>
      </c>
      <c r="F188" s="111" t="s">
        <v>816</v>
      </c>
      <c r="G188" s="111">
        <f t="shared" si="28"/>
        <v>1000</v>
      </c>
      <c r="H188" s="121">
        <v>0</v>
      </c>
      <c r="I188" s="121">
        <v>0</v>
      </c>
      <c r="J188" s="121">
        <f>Master201722[[#This Row],[Initial Budget]]-Master201722[[#This Row],[Previously Committed Funds]]</f>
        <v>0</v>
      </c>
      <c r="K188" s="121">
        <v>9000</v>
      </c>
      <c r="L188" s="122">
        <v>218000</v>
      </c>
      <c r="M188" s="128">
        <f>Master201722[[#This Row],[Design $ (Add/Deduct)]]+Master201722[[#This Row],[Construction $ (Add/Ded)]]</f>
        <v>227000</v>
      </c>
      <c r="N188" s="129">
        <f>Master201722[[#This Row],[Total Add]]+Master201722[[#This Row],[Current Available Balance]]+Master201722[[#This Row],[Previously Committed Funds]]</f>
        <v>227000</v>
      </c>
      <c r="O188" s="113">
        <v>2017</v>
      </c>
      <c r="P188" s="111" t="s">
        <v>29</v>
      </c>
      <c r="Q188" s="111"/>
      <c r="R188" s="113">
        <v>1</v>
      </c>
      <c r="S188" s="111"/>
      <c r="T188" s="111" t="s">
        <v>37</v>
      </c>
      <c r="U188" s="111"/>
      <c r="V188" s="111" t="s">
        <v>38</v>
      </c>
      <c r="W188" s="111"/>
      <c r="X188" s="111"/>
      <c r="Y188" s="111"/>
      <c r="Z188" s="111"/>
      <c r="AA188" s="111"/>
      <c r="AB188" s="111"/>
      <c r="AC188" s="111"/>
      <c r="AD188" s="111" t="s">
        <v>29</v>
      </c>
      <c r="AE188" s="111">
        <f>VLOOKUP(Master201722[[#This Row],[Elevated Priority]],Epriority,2,)</f>
        <v>0</v>
      </c>
      <c r="AF188" s="113">
        <f>IF(Master201722[[#This Row],[Status]]="Active",Master201722[[#This Row],[Status_Score]],IF(C188="","",Q188+G188+S188+U188+AE188-5))</f>
        <v>995</v>
      </c>
      <c r="AG188" s="113" t="s">
        <v>715</v>
      </c>
      <c r="AH188" s="113">
        <v>2017</v>
      </c>
      <c r="AI188" s="113">
        <v>2020</v>
      </c>
      <c r="AJ188" s="111"/>
    </row>
    <row r="189" spans="1:36" ht="30" hidden="1" x14ac:dyDescent="0.25">
      <c r="A189" s="103">
        <f t="shared" si="25"/>
        <v>183</v>
      </c>
      <c r="B189" s="120" t="s">
        <v>65</v>
      </c>
      <c r="C189" s="111" t="s">
        <v>869</v>
      </c>
      <c r="D189" s="111" t="s">
        <v>709</v>
      </c>
      <c r="E189" s="111" t="s">
        <v>870</v>
      </c>
      <c r="F189" s="111" t="s">
        <v>816</v>
      </c>
      <c r="G189" s="111">
        <f t="shared" si="28"/>
        <v>1000</v>
      </c>
      <c r="H189" s="121">
        <v>450000</v>
      </c>
      <c r="I189" s="121">
        <v>101407.72</v>
      </c>
      <c r="J189" s="121">
        <f>Master201722[[#This Row],[Initial Budget]]-Master201722[[#This Row],[Previously Committed Funds]]</f>
        <v>348592.28</v>
      </c>
      <c r="K189" s="121">
        <v>21160</v>
      </c>
      <c r="L189" s="122">
        <f>635435-Master201722[[#This Row],[Design $ (Add/Deduct)]]-Master201722[[#This Row],[Current Available Balance]]-Master201722[[#This Row],[Previously Committed Funds]]</f>
        <v>164274.99999999997</v>
      </c>
      <c r="M189" s="128">
        <f>Master201722[[#This Row],[Design $ (Add/Deduct)]]+Master201722[[#This Row],[Construction $ (Add/Ded)]]</f>
        <v>185434.99999999997</v>
      </c>
      <c r="N189" s="129">
        <f>Master201722[[#This Row],[Total Add]]+Master201722[[#This Row],[Current Available Balance]]+Master201722[[#This Row],[Previously Committed Funds]]</f>
        <v>635435</v>
      </c>
      <c r="O189" s="113">
        <v>2017</v>
      </c>
      <c r="P189" s="111" t="s">
        <v>29</v>
      </c>
      <c r="Q189" s="111"/>
      <c r="R189" s="113">
        <v>1</v>
      </c>
      <c r="S189" s="111"/>
      <c r="T189" s="111" t="s">
        <v>37</v>
      </c>
      <c r="U189" s="111"/>
      <c r="V189" s="111" t="s">
        <v>38</v>
      </c>
      <c r="W189" s="111"/>
      <c r="X189" s="111"/>
      <c r="Y189" s="111"/>
      <c r="Z189" s="111"/>
      <c r="AA189" s="111"/>
      <c r="AB189" s="111"/>
      <c r="AC189" s="111"/>
      <c r="AD189" s="111" t="s">
        <v>29</v>
      </c>
      <c r="AE189" s="111">
        <f>VLOOKUP(Master201722[[#This Row],[Elevated Priority]],Epriority,2,)</f>
        <v>0</v>
      </c>
      <c r="AF189" s="113">
        <f>IF(Master201722[[#This Row],[Status]]="Active",Master201722[[#This Row],[Status_Score]],IF(C189="","",Q189+G189+S189+U189+AE189-5))</f>
        <v>995</v>
      </c>
      <c r="AG189" s="113" t="s">
        <v>715</v>
      </c>
      <c r="AH189" s="113">
        <v>2017</v>
      </c>
      <c r="AI189" s="113">
        <v>2020</v>
      </c>
      <c r="AJ189" s="111"/>
    </row>
    <row r="190" spans="1:36" x14ac:dyDescent="0.25">
      <c r="A190" s="103">
        <f t="shared" si="25"/>
        <v>184</v>
      </c>
      <c r="B190" s="48" t="s">
        <v>94</v>
      </c>
      <c r="C190" s="10" t="s">
        <v>592</v>
      </c>
      <c r="D190" s="10" t="s">
        <v>593</v>
      </c>
      <c r="E190" s="10"/>
      <c r="F190" s="10" t="s">
        <v>816</v>
      </c>
      <c r="G190" s="10">
        <f t="shared" si="28"/>
        <v>1000</v>
      </c>
      <c r="H190" s="51"/>
      <c r="I190" s="51"/>
      <c r="J190" s="51">
        <f>Master201722[[#This Row],[Initial Budget]]-Master201722[[#This Row],[Previously Committed Funds]]</f>
        <v>0</v>
      </c>
      <c r="K190" s="51"/>
      <c r="L190" s="124"/>
      <c r="M190" s="118">
        <f>Master201722[[#This Row],[Design $ (Add/Deduct)]]+Master201722[[#This Row],[Construction $ (Add/Ded)]]</f>
        <v>0</v>
      </c>
      <c r="N190" s="126">
        <v>350000</v>
      </c>
      <c r="O190" s="17">
        <v>2019</v>
      </c>
      <c r="P190" s="10" t="s">
        <v>686</v>
      </c>
      <c r="Q190" s="8">
        <f>VLOOKUP(P190,Importance,2,FALSE)</f>
        <v>60</v>
      </c>
      <c r="R190" s="8">
        <v>16</v>
      </c>
      <c r="S190" s="8">
        <f t="shared" ref="S190:S199" si="32">VLOOKUP(R190,Department,2,FALSE)</f>
        <v>24</v>
      </c>
      <c r="T190" s="8" t="s">
        <v>43</v>
      </c>
      <c r="U190" s="8">
        <f t="shared" ref="U190:U199" si="33">VLOOKUP(T190,Urgency,2,FALSE)</f>
        <v>16</v>
      </c>
      <c r="V190" s="8" t="s">
        <v>34</v>
      </c>
      <c r="W190" s="114">
        <v>0</v>
      </c>
      <c r="X190" s="8">
        <v>0</v>
      </c>
      <c r="Y190" s="8">
        <v>-3</v>
      </c>
      <c r="Z190" s="8">
        <v>0</v>
      </c>
      <c r="AA190" s="8">
        <v>0</v>
      </c>
      <c r="AB190" s="8">
        <v>0</v>
      </c>
      <c r="AC190" s="8">
        <v>0</v>
      </c>
      <c r="AD190" s="17" t="s">
        <v>29</v>
      </c>
      <c r="AE190" s="8">
        <f>VLOOKUP(Master201722[[#This Row],[Elevated Priority]],Epriority,2,)</f>
        <v>0</v>
      </c>
      <c r="AF190" s="8">
        <f>IF(Master201722[[#This Row],[Status]]="Active",Master201722[[#This Row],[Status_Score]],IF(C190="","",Q190+G190+S190+U190+AE190-5))</f>
        <v>1095</v>
      </c>
      <c r="AG190" s="8"/>
      <c r="AH190" s="8"/>
      <c r="AI190" s="8"/>
      <c r="AJ190" s="10" t="s">
        <v>985</v>
      </c>
    </row>
    <row r="191" spans="1:36" ht="60" hidden="1" x14ac:dyDescent="0.25">
      <c r="A191" s="103">
        <f t="shared" si="25"/>
        <v>185</v>
      </c>
      <c r="B191" s="120" t="s">
        <v>91</v>
      </c>
      <c r="C191" s="111" t="s">
        <v>677</v>
      </c>
      <c r="D191" s="111" t="s">
        <v>678</v>
      </c>
      <c r="E191" s="111" t="s">
        <v>98</v>
      </c>
      <c r="F191" s="111" t="s">
        <v>816</v>
      </c>
      <c r="G191" s="111">
        <f t="shared" si="28"/>
        <v>1000</v>
      </c>
      <c r="H191" s="121">
        <v>35000</v>
      </c>
      <c r="I191" s="121">
        <v>14750</v>
      </c>
      <c r="J191" s="121">
        <f>Master201722[[#This Row],[Initial Budget]]-Master201722[[#This Row],[Previously Committed Funds]]</f>
        <v>20250</v>
      </c>
      <c r="K191" s="121"/>
      <c r="L191" s="122">
        <v>600000</v>
      </c>
      <c r="M191" s="128">
        <f>Master201722[[#This Row],[Design $ (Add/Deduct)]]+Master201722[[#This Row],[Construction $ (Add/Ded)]]</f>
        <v>600000</v>
      </c>
      <c r="N191" s="140">
        <v>350000</v>
      </c>
      <c r="O191" s="114">
        <v>2018</v>
      </c>
      <c r="P191" s="111" t="s">
        <v>32</v>
      </c>
      <c r="Q191" s="114">
        <f>VLOOKUP(P191,Importance,2,FALSE)</f>
        <v>1</v>
      </c>
      <c r="R191" s="114">
        <v>1</v>
      </c>
      <c r="S191" s="114">
        <f t="shared" si="32"/>
        <v>3</v>
      </c>
      <c r="T191" s="114" t="s">
        <v>37</v>
      </c>
      <c r="U191" s="114">
        <f t="shared" si="33"/>
        <v>3</v>
      </c>
      <c r="V191" s="114" t="s">
        <v>30</v>
      </c>
      <c r="W191" s="114">
        <v>0</v>
      </c>
      <c r="X191" s="114">
        <v>0</v>
      </c>
      <c r="Y191" s="114">
        <v>0</v>
      </c>
      <c r="Z191" s="114">
        <v>0</v>
      </c>
      <c r="AA191" s="114">
        <v>0</v>
      </c>
      <c r="AB191" s="114">
        <v>0</v>
      </c>
      <c r="AC191" s="114">
        <v>0</v>
      </c>
      <c r="AD191" s="113" t="s">
        <v>29</v>
      </c>
      <c r="AE191" s="114">
        <f>VLOOKUP(Master201722[[#This Row],[Elevated Priority]],Epriority,2,)</f>
        <v>0</v>
      </c>
      <c r="AF191" s="114">
        <f>IF(Master201722[[#This Row],[Status]]="Active",Master201722[[#This Row],[Status_Score]],IF(C191="","",Q191+G191+S191+U191+AE191-5))</f>
        <v>1002</v>
      </c>
      <c r="AG191" s="114" t="s">
        <v>754</v>
      </c>
      <c r="AH191" s="114">
        <v>2019</v>
      </c>
      <c r="AI191" s="114">
        <v>2020</v>
      </c>
      <c r="AJ191" s="111" t="s">
        <v>747</v>
      </c>
    </row>
    <row r="192" spans="1:36" ht="60" hidden="1" x14ac:dyDescent="0.25">
      <c r="A192" s="103">
        <f t="shared" si="25"/>
        <v>186</v>
      </c>
      <c r="B192" s="120" t="s">
        <v>72</v>
      </c>
      <c r="C192" s="111" t="s">
        <v>74</v>
      </c>
      <c r="D192" s="111" t="s">
        <v>844</v>
      </c>
      <c r="E192" s="111" t="s">
        <v>843</v>
      </c>
      <c r="F192" s="111" t="s">
        <v>816</v>
      </c>
      <c r="G192" s="111">
        <f t="shared" si="28"/>
        <v>1000</v>
      </c>
      <c r="H192" s="121"/>
      <c r="I192" s="121"/>
      <c r="J192" s="121">
        <f>Master201722[[#This Row],[Initial Budget]]-Master201722[[#This Row],[Previously Committed Funds]]</f>
        <v>0</v>
      </c>
      <c r="K192" s="121"/>
      <c r="L192" s="122"/>
      <c r="M192" s="128">
        <f>Master201722[[#This Row],[Design $ (Add/Deduct)]]+Master201722[[#This Row],[Construction $ (Add/Ded)]]</f>
        <v>0</v>
      </c>
      <c r="N192" s="140">
        <v>500000</v>
      </c>
      <c r="O192" s="114">
        <v>2018</v>
      </c>
      <c r="P192" s="111" t="s">
        <v>32</v>
      </c>
      <c r="Q192" s="114">
        <f>VLOOKUP(P192,Importance, 2, FALSE)</f>
        <v>1</v>
      </c>
      <c r="R192" s="114">
        <v>1</v>
      </c>
      <c r="S192" s="114">
        <f t="shared" si="32"/>
        <v>3</v>
      </c>
      <c r="T192" s="114" t="s">
        <v>37</v>
      </c>
      <c r="U192" s="114">
        <f t="shared" si="33"/>
        <v>3</v>
      </c>
      <c r="V192" s="114" t="s">
        <v>38</v>
      </c>
      <c r="W192" s="114"/>
      <c r="X192" s="114"/>
      <c r="Y192" s="114"/>
      <c r="Z192" s="114"/>
      <c r="AA192" s="114"/>
      <c r="AB192" s="114"/>
      <c r="AC192" s="114"/>
      <c r="AD192" s="113" t="s">
        <v>29</v>
      </c>
      <c r="AE192" s="114">
        <f>VLOOKUP(Master201722[[#This Row],[Elevated Priority]],Epriority,2,)</f>
        <v>0</v>
      </c>
      <c r="AF192" s="114">
        <f>IF(Master201722[[#This Row],[Status]]="Active",Master201722[[#This Row],[Status_Score]],IF(C192="","",Q192+G192+S192+U192+AE192-5))</f>
        <v>1002</v>
      </c>
      <c r="AG192" s="114" t="s">
        <v>758</v>
      </c>
      <c r="AH192" s="114">
        <v>2019</v>
      </c>
      <c r="AI192" s="114">
        <v>2020</v>
      </c>
      <c r="AJ192" s="111"/>
    </row>
    <row r="193" spans="1:36" ht="30" hidden="1" x14ac:dyDescent="0.25">
      <c r="A193" s="103">
        <f t="shared" si="25"/>
        <v>187</v>
      </c>
      <c r="B193" s="120" t="s">
        <v>646</v>
      </c>
      <c r="C193" s="111" t="s">
        <v>721</v>
      </c>
      <c r="D193" s="111" t="s">
        <v>871</v>
      </c>
      <c r="E193" s="111" t="s">
        <v>683</v>
      </c>
      <c r="F193" s="111" t="s">
        <v>816</v>
      </c>
      <c r="G193" s="111">
        <f t="shared" si="28"/>
        <v>1000</v>
      </c>
      <c r="H193" s="121">
        <v>1400000</v>
      </c>
      <c r="I193" s="121">
        <v>17787.71</v>
      </c>
      <c r="J193" s="121">
        <f>Master201722[[#This Row],[Initial Budget]]-Master201722[[#This Row],[Previously Committed Funds]]</f>
        <v>1382212.29</v>
      </c>
      <c r="K193" s="121">
        <v>0</v>
      </c>
      <c r="L193" s="122">
        <v>-750000</v>
      </c>
      <c r="M193" s="128">
        <f>Master201722[[#This Row],[Design $ (Add/Deduct)]]+Master201722[[#This Row],[Construction $ (Add/Ded)]]</f>
        <v>-750000</v>
      </c>
      <c r="N193" s="129">
        <f>Master201722[[#This Row],[Total Add]]+Master201722[[#This Row],[Current Available Balance]]+Master201722[[#This Row],[Previously Committed Funds]]</f>
        <v>650000</v>
      </c>
      <c r="O193" s="114">
        <v>2019</v>
      </c>
      <c r="P193" s="111" t="s">
        <v>36</v>
      </c>
      <c r="Q193" s="114">
        <f>VLOOKUP(P193,Importance, 2, FALSE)</f>
        <v>10</v>
      </c>
      <c r="R193" s="114">
        <v>1</v>
      </c>
      <c r="S193" s="114">
        <f t="shared" si="32"/>
        <v>3</v>
      </c>
      <c r="T193" s="114" t="s">
        <v>37</v>
      </c>
      <c r="U193" s="114">
        <f t="shared" si="33"/>
        <v>3</v>
      </c>
      <c r="V193" s="114" t="s">
        <v>38</v>
      </c>
      <c r="W193" s="114"/>
      <c r="X193" s="114"/>
      <c r="Y193" s="114"/>
      <c r="Z193" s="114"/>
      <c r="AA193" s="114"/>
      <c r="AB193" s="114"/>
      <c r="AC193" s="114"/>
      <c r="AD193" s="113" t="s">
        <v>29</v>
      </c>
      <c r="AE193" s="114">
        <f>VLOOKUP(Master201722[[#This Row],[Elevated Priority]],Epriority,2,)</f>
        <v>0</v>
      </c>
      <c r="AF193" s="114">
        <f>IF(Master201722[[#This Row],[Status]]="Active",Master201722[[#This Row],[Status_Score]],IF(C193="","",Q193+G193+S193+U193+AE193-5))</f>
        <v>1011</v>
      </c>
      <c r="AG193" s="114" t="s">
        <v>758</v>
      </c>
      <c r="AH193" s="114">
        <v>2019</v>
      </c>
      <c r="AI193" s="114">
        <v>2020</v>
      </c>
      <c r="AJ193" s="111" t="s">
        <v>713</v>
      </c>
    </row>
    <row r="194" spans="1:36" ht="60" hidden="1" x14ac:dyDescent="0.25">
      <c r="A194" s="103">
        <f t="shared" si="25"/>
        <v>188</v>
      </c>
      <c r="B194" s="120" t="s">
        <v>61</v>
      </c>
      <c r="C194" s="111" t="s">
        <v>742</v>
      </c>
      <c r="D194" s="111" t="s">
        <v>847</v>
      </c>
      <c r="E194" s="111" t="s">
        <v>848</v>
      </c>
      <c r="F194" s="111" t="s">
        <v>816</v>
      </c>
      <c r="G194" s="111">
        <f t="shared" si="28"/>
        <v>1000</v>
      </c>
      <c r="H194" s="121">
        <v>350000</v>
      </c>
      <c r="I194" s="121">
        <v>287550</v>
      </c>
      <c r="J194" s="121">
        <f>Master201722[[#This Row],[Initial Budget]]-Master201722[[#This Row],[Previously Committed Funds]]</f>
        <v>62450</v>
      </c>
      <c r="K194" s="121">
        <v>30000</v>
      </c>
      <c r="L194" s="122">
        <v>2200000</v>
      </c>
      <c r="M194" s="128">
        <f>Master201722[[#This Row],[Design $ (Add/Deduct)]]+Master201722[[#This Row],[Construction $ (Add/Ded)]]</f>
        <v>2230000</v>
      </c>
      <c r="N194" s="129">
        <f>Master201722[[#This Row],[Total Add]]+Master201722[[#This Row],[Current Available Balance]]+Master201722[[#This Row],[Previously Committed Funds]]</f>
        <v>2580000</v>
      </c>
      <c r="O194" s="113">
        <v>2018</v>
      </c>
      <c r="P194" s="111" t="s">
        <v>29</v>
      </c>
      <c r="Q194" s="111">
        <f>VLOOKUP(P194,Importance, 2, FALSE)</f>
        <v>0</v>
      </c>
      <c r="R194" s="113" t="s">
        <v>29</v>
      </c>
      <c r="S194" s="111">
        <f t="shared" si="32"/>
        <v>0</v>
      </c>
      <c r="T194" s="111" t="s">
        <v>29</v>
      </c>
      <c r="U194" s="111">
        <f t="shared" si="33"/>
        <v>0</v>
      </c>
      <c r="V194" s="111" t="s">
        <v>38</v>
      </c>
      <c r="W194" s="111"/>
      <c r="X194" s="111"/>
      <c r="Y194" s="111"/>
      <c r="Z194" s="111"/>
      <c r="AA194" s="111"/>
      <c r="AB194" s="111"/>
      <c r="AC194" s="111"/>
      <c r="AD194" s="111" t="s">
        <v>29</v>
      </c>
      <c r="AE194" s="111">
        <f>VLOOKUP(Master201722[[#This Row],[Elevated Priority]],Epriority,2,)</f>
        <v>0</v>
      </c>
      <c r="AF194" s="113">
        <f>IF(Master201722[[#This Row],[Status]]="Active",Master201722[[#This Row],[Status_Score]],IF(C194="","",Q194+G194+S194+U194+AE194-5))</f>
        <v>995</v>
      </c>
      <c r="AG194" s="114" t="s">
        <v>757</v>
      </c>
      <c r="AH194" s="114">
        <v>2018</v>
      </c>
      <c r="AI194" s="114">
        <v>2020</v>
      </c>
      <c r="AJ194" s="111"/>
    </row>
    <row r="195" spans="1:36" ht="75" hidden="1" x14ac:dyDescent="0.25">
      <c r="A195" s="103">
        <f t="shared" si="25"/>
        <v>189</v>
      </c>
      <c r="B195" s="120" t="s">
        <v>61</v>
      </c>
      <c r="C195" s="111" t="s">
        <v>743</v>
      </c>
      <c r="D195" s="111" t="s">
        <v>849</v>
      </c>
      <c r="E195" s="111" t="s">
        <v>850</v>
      </c>
      <c r="F195" s="111" t="s">
        <v>816</v>
      </c>
      <c r="G195" s="111">
        <f t="shared" si="28"/>
        <v>1000</v>
      </c>
      <c r="H195" s="121">
        <v>0</v>
      </c>
      <c r="I195" s="121">
        <v>0</v>
      </c>
      <c r="J195" s="121">
        <f>Master201722[[#This Row],[Initial Budget]]-Master201722[[#This Row],[Previously Committed Funds]]</f>
        <v>0</v>
      </c>
      <c r="K195" s="121">
        <v>280000</v>
      </c>
      <c r="L195" s="122">
        <v>5000000</v>
      </c>
      <c r="M195" s="128">
        <f>Master201722[[#This Row],[Design $ (Add/Deduct)]]+Master201722[[#This Row],[Construction $ (Add/Ded)]]</f>
        <v>5280000</v>
      </c>
      <c r="N195" s="129">
        <f>Master201722[[#This Row],[Total Add]]+Master201722[[#This Row],[Current Available Balance]]+Master201722[[#This Row],[Previously Committed Funds]]</f>
        <v>5280000</v>
      </c>
      <c r="O195" s="113">
        <v>2018</v>
      </c>
      <c r="P195" s="111" t="s">
        <v>29</v>
      </c>
      <c r="Q195" s="111">
        <f>VLOOKUP(P195,Importance, 2, FALSE)</f>
        <v>0</v>
      </c>
      <c r="R195" s="113" t="s">
        <v>29</v>
      </c>
      <c r="S195" s="111">
        <f t="shared" si="32"/>
        <v>0</v>
      </c>
      <c r="T195" s="111" t="s">
        <v>29</v>
      </c>
      <c r="U195" s="111">
        <f t="shared" si="33"/>
        <v>0</v>
      </c>
      <c r="V195" s="111" t="s">
        <v>38</v>
      </c>
      <c r="W195" s="111"/>
      <c r="X195" s="111"/>
      <c r="Y195" s="111"/>
      <c r="Z195" s="111"/>
      <c r="AA195" s="111"/>
      <c r="AB195" s="111"/>
      <c r="AC195" s="111"/>
      <c r="AD195" s="111" t="s">
        <v>29</v>
      </c>
      <c r="AE195" s="111">
        <f>VLOOKUP(Master201722[[#This Row],[Elevated Priority]],Epriority,2,)</f>
        <v>0</v>
      </c>
      <c r="AF195" s="113">
        <f>IF(Master201722[[#This Row],[Status]]="Active",Master201722[[#This Row],[Status_Score]],IF(C195="","",Q195+G195+S195+U195+AE195-5))</f>
        <v>995</v>
      </c>
      <c r="AG195" s="114" t="s">
        <v>757</v>
      </c>
      <c r="AH195" s="114">
        <v>2018</v>
      </c>
      <c r="AI195" s="114">
        <v>2020</v>
      </c>
      <c r="AJ195" s="111"/>
    </row>
    <row r="196" spans="1:36" ht="150" hidden="1" x14ac:dyDescent="0.25">
      <c r="A196" s="103">
        <f t="shared" si="25"/>
        <v>190</v>
      </c>
      <c r="B196" s="120" t="s">
        <v>73</v>
      </c>
      <c r="C196" s="111" t="s">
        <v>640</v>
      </c>
      <c r="D196" s="111" t="s">
        <v>679</v>
      </c>
      <c r="E196" s="111" t="s">
        <v>877</v>
      </c>
      <c r="F196" s="111" t="s">
        <v>816</v>
      </c>
      <c r="G196" s="111">
        <f t="shared" si="28"/>
        <v>1000</v>
      </c>
      <c r="H196" s="121">
        <v>150000</v>
      </c>
      <c r="I196" s="121">
        <f>13467.55+12925.45</f>
        <v>26393</v>
      </c>
      <c r="J196" s="121">
        <f>Master201722[[#This Row],[Initial Budget]]-Master201722[[#This Row],[Previously Committed Funds]]</f>
        <v>123607</v>
      </c>
      <c r="K196" s="121"/>
      <c r="L196" s="122">
        <v>400000</v>
      </c>
      <c r="M196" s="128">
        <f>Master201722[[#This Row],[Design $ (Add/Deduct)]]+Master201722[[#This Row],[Construction $ (Add/Ded)]]</f>
        <v>400000</v>
      </c>
      <c r="N196" s="140">
        <v>650000</v>
      </c>
      <c r="O196" s="114">
        <v>2018</v>
      </c>
      <c r="P196" s="111" t="s">
        <v>36</v>
      </c>
      <c r="Q196" s="114">
        <f>VLOOKUP(P196,Importance,2,FALSE)</f>
        <v>10</v>
      </c>
      <c r="R196" s="114">
        <v>1</v>
      </c>
      <c r="S196" s="114">
        <f t="shared" si="32"/>
        <v>3</v>
      </c>
      <c r="T196" s="114" t="s">
        <v>33</v>
      </c>
      <c r="U196" s="114">
        <f t="shared" si="33"/>
        <v>1</v>
      </c>
      <c r="V196" s="114" t="s">
        <v>30</v>
      </c>
      <c r="W196" s="114">
        <v>0</v>
      </c>
      <c r="X196" s="114">
        <v>0</v>
      </c>
      <c r="Y196" s="114">
        <v>0</v>
      </c>
      <c r="Z196" s="114">
        <v>0</v>
      </c>
      <c r="AA196" s="114">
        <v>0</v>
      </c>
      <c r="AB196" s="114">
        <v>0</v>
      </c>
      <c r="AC196" s="114">
        <v>0</v>
      </c>
      <c r="AD196" s="113" t="s">
        <v>29</v>
      </c>
      <c r="AE196" s="114">
        <f>VLOOKUP(Master201722[[#This Row],[Elevated Priority]],Epriority,2,)</f>
        <v>0</v>
      </c>
      <c r="AF196" s="114">
        <f>IF(Master201722[[#This Row],[Status]]="Active",Master201722[[#This Row],[Status_Score]],IF(C196="","",Q196+G196+S196+U196+AE196-5))</f>
        <v>1009</v>
      </c>
      <c r="AG196" s="114" t="s">
        <v>715</v>
      </c>
      <c r="AH196" s="114">
        <v>2019</v>
      </c>
      <c r="AI196" s="114">
        <v>2020</v>
      </c>
      <c r="AJ196" s="111" t="s">
        <v>157</v>
      </c>
    </row>
    <row r="197" spans="1:36" ht="45" hidden="1" x14ac:dyDescent="0.25">
      <c r="A197" s="103">
        <f t="shared" si="25"/>
        <v>191</v>
      </c>
      <c r="B197" s="120" t="s">
        <v>655</v>
      </c>
      <c r="C197" s="111" t="s">
        <v>753</v>
      </c>
      <c r="D197" s="111" t="s">
        <v>854</v>
      </c>
      <c r="E197" s="111" t="s">
        <v>880</v>
      </c>
      <c r="F197" s="111" t="s">
        <v>816</v>
      </c>
      <c r="G197" s="111">
        <f t="shared" si="28"/>
        <v>1000</v>
      </c>
      <c r="H197" s="121"/>
      <c r="I197" s="121"/>
      <c r="J197" s="121">
        <f>Master201722[[#This Row],[Initial Budget]]-Master201722[[#This Row],[Previously Committed Funds]]</f>
        <v>0</v>
      </c>
      <c r="K197" s="121"/>
      <c r="L197" s="122"/>
      <c r="M197" s="128">
        <f>Master201722[[#This Row],[Design $ (Add/Deduct)]]+Master201722[[#This Row],[Construction $ (Add/Ded)]]</f>
        <v>0</v>
      </c>
      <c r="N197" s="140">
        <v>300000</v>
      </c>
      <c r="O197" s="113">
        <v>2019</v>
      </c>
      <c r="P197" s="111" t="s">
        <v>36</v>
      </c>
      <c r="Q197" s="114">
        <f>VLOOKUP(P197,Importance,2,FALSE)</f>
        <v>10</v>
      </c>
      <c r="R197" s="114">
        <v>10</v>
      </c>
      <c r="S197" s="114">
        <f t="shared" si="32"/>
        <v>21</v>
      </c>
      <c r="T197" s="114" t="s">
        <v>33</v>
      </c>
      <c r="U197" s="114">
        <f t="shared" si="33"/>
        <v>1</v>
      </c>
      <c r="V197" s="114" t="s">
        <v>30</v>
      </c>
      <c r="W197" s="114">
        <v>0</v>
      </c>
      <c r="X197" s="114">
        <v>0</v>
      </c>
      <c r="Y197" s="114">
        <v>0</v>
      </c>
      <c r="Z197" s="114">
        <v>0</v>
      </c>
      <c r="AA197" s="114">
        <v>0</v>
      </c>
      <c r="AB197" s="114">
        <v>0</v>
      </c>
      <c r="AC197" s="114">
        <v>0</v>
      </c>
      <c r="AD197" s="113" t="s">
        <v>29</v>
      </c>
      <c r="AE197" s="114">
        <f>VLOOKUP(Master201722[[#This Row],[Elevated Priority]],Epriority,2,)</f>
        <v>0</v>
      </c>
      <c r="AF197" s="114">
        <f>IF(Master201722[[#This Row],[Status]]="Active",Master201722[[#This Row],[Status_Score]],IF(C197="","",Q197+G197+S197+U197+AE197-5))</f>
        <v>1027</v>
      </c>
      <c r="AG197" s="114"/>
      <c r="AH197" s="114">
        <v>2019</v>
      </c>
      <c r="AI197" s="114">
        <v>2020</v>
      </c>
      <c r="AJ197" s="111" t="s">
        <v>654</v>
      </c>
    </row>
    <row r="198" spans="1:36" ht="30" hidden="1" x14ac:dyDescent="0.25">
      <c r="A198" s="103">
        <f t="shared" si="25"/>
        <v>192</v>
      </c>
      <c r="B198" s="120" t="s">
        <v>79</v>
      </c>
      <c r="C198" s="111" t="s">
        <v>199</v>
      </c>
      <c r="D198" s="111" t="s">
        <v>200</v>
      </c>
      <c r="E198" s="111" t="s">
        <v>201</v>
      </c>
      <c r="F198" s="111" t="s">
        <v>816</v>
      </c>
      <c r="G198" s="111">
        <f t="shared" si="28"/>
        <v>1000</v>
      </c>
      <c r="H198" s="121"/>
      <c r="I198" s="121"/>
      <c r="J198" s="121">
        <f>Master201722[[#This Row],[Initial Budget]]-Master201722[[#This Row],[Previously Committed Funds]]</f>
        <v>0</v>
      </c>
      <c r="K198" s="121"/>
      <c r="L198" s="122"/>
      <c r="M198" s="128">
        <f>Master201722[[#This Row],[Design $ (Add/Deduct)]]+Master201722[[#This Row],[Construction $ (Add/Ded)]]</f>
        <v>0</v>
      </c>
      <c r="N198" s="140">
        <v>30000</v>
      </c>
      <c r="O198" s="114">
        <v>2018</v>
      </c>
      <c r="P198" s="111" t="s">
        <v>36</v>
      </c>
      <c r="Q198" s="114">
        <f>VLOOKUP(P198,Importance,2,FALSE)</f>
        <v>10</v>
      </c>
      <c r="R198" s="114">
        <v>4</v>
      </c>
      <c r="S198" s="114">
        <f t="shared" si="32"/>
        <v>12</v>
      </c>
      <c r="T198" s="114" t="s">
        <v>41</v>
      </c>
      <c r="U198" s="114">
        <f t="shared" si="33"/>
        <v>4</v>
      </c>
      <c r="V198" s="114" t="s">
        <v>30</v>
      </c>
      <c r="W198" s="8">
        <v>0</v>
      </c>
      <c r="X198" s="114">
        <v>0</v>
      </c>
      <c r="Y198" s="114">
        <v>0</v>
      </c>
      <c r="Z198" s="114">
        <v>0</v>
      </c>
      <c r="AA198" s="114">
        <v>0</v>
      </c>
      <c r="AB198" s="114">
        <v>0</v>
      </c>
      <c r="AC198" s="114">
        <v>0</v>
      </c>
      <c r="AD198" s="113" t="s">
        <v>29</v>
      </c>
      <c r="AE198" s="114">
        <f>VLOOKUP(Master201722[[#This Row],[Elevated Priority]],Epriority,2,)</f>
        <v>0</v>
      </c>
      <c r="AF198" s="114">
        <f>IF(Master201722[[#This Row],[Status]]="Active",Master201722[[#This Row],[Status_Score]],IF(C198="","",Q198+G198+S198+U198+AE198-5))</f>
        <v>1021</v>
      </c>
      <c r="AG198" s="114"/>
      <c r="AH198" s="114"/>
      <c r="AI198" s="114">
        <v>2020</v>
      </c>
      <c r="AJ198" s="111"/>
    </row>
    <row r="199" spans="1:36" ht="60" x14ac:dyDescent="0.25">
      <c r="A199" s="103">
        <f t="shared" si="25"/>
        <v>193</v>
      </c>
      <c r="B199" s="120" t="s">
        <v>61</v>
      </c>
      <c r="C199" s="111" t="s">
        <v>478</v>
      </c>
      <c r="D199" s="111" t="s">
        <v>711</v>
      </c>
      <c r="E199" s="111" t="s">
        <v>480</v>
      </c>
      <c r="F199" s="111" t="s">
        <v>816</v>
      </c>
      <c r="G199" s="111">
        <f t="shared" si="28"/>
        <v>1000</v>
      </c>
      <c r="H199" s="121">
        <f>326250+108750</f>
        <v>435000</v>
      </c>
      <c r="I199" s="121">
        <v>15857</v>
      </c>
      <c r="J199" s="121">
        <f>Master201722[[#This Row],[Initial Budget]]-Master201722[[#This Row],[Previously Committed Funds]]</f>
        <v>419143</v>
      </c>
      <c r="K199" s="121">
        <v>0</v>
      </c>
      <c r="L199" s="122">
        <v>0</v>
      </c>
      <c r="M199" s="128">
        <f>Master201722[[#This Row],[Design $ (Add/Deduct)]]+Master201722[[#This Row],[Construction $ (Add/Ded)]]</f>
        <v>0</v>
      </c>
      <c r="N199" s="129">
        <f>Master201722[[#This Row],[Total Add]]+Master201722[[#This Row],[Current Available Balance]]+Master201722[[#This Row],[Previously Committed Funds]]</f>
        <v>435000</v>
      </c>
      <c r="O199" s="114">
        <v>2018</v>
      </c>
      <c r="P199" s="111" t="s">
        <v>686</v>
      </c>
      <c r="Q199" s="114">
        <f>VLOOKUP(P199,Importance,2,FALSE)</f>
        <v>60</v>
      </c>
      <c r="R199" s="114">
        <v>1</v>
      </c>
      <c r="S199" s="114">
        <f t="shared" si="32"/>
        <v>3</v>
      </c>
      <c r="T199" s="114" t="s">
        <v>37</v>
      </c>
      <c r="U199" s="114">
        <f t="shared" si="33"/>
        <v>3</v>
      </c>
      <c r="V199" s="114" t="s">
        <v>34</v>
      </c>
      <c r="W199" s="114">
        <v>0</v>
      </c>
      <c r="X199" s="8">
        <v>0</v>
      </c>
      <c r="Y199" s="114">
        <v>0</v>
      </c>
      <c r="Z199" s="114">
        <v>0</v>
      </c>
      <c r="AA199" s="8">
        <v>0</v>
      </c>
      <c r="AB199" s="8">
        <v>0</v>
      </c>
      <c r="AC199" s="8">
        <v>0</v>
      </c>
      <c r="AD199" s="113" t="s">
        <v>29</v>
      </c>
      <c r="AE199" s="114">
        <f>VLOOKUP(Master201722[[#This Row],[Elevated Priority]],Epriority,2,)</f>
        <v>0</v>
      </c>
      <c r="AF199" s="114">
        <f>IF(Master201722[[#This Row],[Status]]="Active",Master201722[[#This Row],[Status_Score]],IF(C199="","",Q199+G199+S199+U199+AE199-5))</f>
        <v>1061</v>
      </c>
      <c r="AG199" s="114" t="s">
        <v>759</v>
      </c>
      <c r="AH199" s="114">
        <v>2018</v>
      </c>
      <c r="AI199" s="114">
        <v>2020</v>
      </c>
      <c r="AJ199" s="111" t="s">
        <v>748</v>
      </c>
    </row>
    <row r="200" spans="1:36" ht="45" hidden="1" x14ac:dyDescent="0.25">
      <c r="A200" s="103">
        <f t="shared" si="25"/>
        <v>194</v>
      </c>
      <c r="B200" s="120" t="s">
        <v>761</v>
      </c>
      <c r="C200" s="111" t="s">
        <v>745</v>
      </c>
      <c r="D200" s="111" t="s">
        <v>675</v>
      </c>
      <c r="E200" s="111" t="s">
        <v>676</v>
      </c>
      <c r="F200" s="111" t="s">
        <v>816</v>
      </c>
      <c r="G200" s="111">
        <f t="shared" ref="G200:G205" si="34">VLOOKUP(F200,Status_Score,2,FALSE)</f>
        <v>1000</v>
      </c>
      <c r="H200" s="121">
        <v>200000</v>
      </c>
      <c r="I200" s="121">
        <v>19607</v>
      </c>
      <c r="J200" s="121">
        <f>Master201722[[#This Row],[Initial Budget]]-Master201722[[#This Row],[Previously Committed Funds]]</f>
        <v>180393</v>
      </c>
      <c r="K200" s="121">
        <v>0</v>
      </c>
      <c r="L200" s="122">
        <v>0</v>
      </c>
      <c r="M200" s="128">
        <f>Master201722[[#This Row],[Design $ (Add/Deduct)]]+Master201722[[#This Row],[Construction $ (Add/Ded)]]</f>
        <v>0</v>
      </c>
      <c r="N200" s="141">
        <v>250000</v>
      </c>
      <c r="O200" s="114">
        <v>2019</v>
      </c>
      <c r="P200" s="111" t="s">
        <v>686</v>
      </c>
      <c r="Q200" s="114">
        <f t="shared" ref="Q200:Q205" si="35">VLOOKUP(P200,Importance,2,FALSE)</f>
        <v>60</v>
      </c>
      <c r="R200" s="114">
        <v>1</v>
      </c>
      <c r="S200" s="114">
        <f t="shared" ref="S200:S205" si="36">VLOOKUP(R200,Department,2,FALSE)</f>
        <v>3</v>
      </c>
      <c r="T200" s="114" t="s">
        <v>47</v>
      </c>
      <c r="U200" s="114">
        <f t="shared" ref="U200:U205" si="37">VLOOKUP(T200,Urgency,2,FALSE)</f>
        <v>64</v>
      </c>
      <c r="V200" s="114" t="s">
        <v>38</v>
      </c>
      <c r="W200" s="114"/>
      <c r="X200" s="114"/>
      <c r="Y200" s="114"/>
      <c r="Z200" s="114"/>
      <c r="AA200" s="114"/>
      <c r="AB200" s="114"/>
      <c r="AC200" s="114"/>
      <c r="AD200" s="113" t="s">
        <v>29</v>
      </c>
      <c r="AE200" s="114">
        <f>VLOOKUP(Master201722[[#This Row],[Elevated Priority]],Epriority,2,)</f>
        <v>0</v>
      </c>
      <c r="AF200" s="114">
        <f>IF(C200="","",Q200+G200+S200+U200+AE200-5)</f>
        <v>1122</v>
      </c>
      <c r="AG200" s="114" t="s">
        <v>758</v>
      </c>
      <c r="AH200" s="114">
        <v>2019</v>
      </c>
      <c r="AI200" s="114">
        <v>2020</v>
      </c>
      <c r="AJ200" s="111"/>
    </row>
    <row r="201" spans="1:36" ht="30" hidden="1" x14ac:dyDescent="0.25">
      <c r="A201" s="103">
        <f t="shared" si="25"/>
        <v>195</v>
      </c>
      <c r="B201" s="120" t="s">
        <v>94</v>
      </c>
      <c r="C201" s="111" t="s">
        <v>139</v>
      </c>
      <c r="D201" s="111" t="s">
        <v>137</v>
      </c>
      <c r="E201" s="111" t="s">
        <v>879</v>
      </c>
      <c r="F201" s="111" t="s">
        <v>816</v>
      </c>
      <c r="G201" s="111">
        <f t="shared" si="34"/>
        <v>1000</v>
      </c>
      <c r="H201" s="121">
        <v>50000</v>
      </c>
      <c r="I201" s="121">
        <v>48635</v>
      </c>
      <c r="J201" s="121">
        <f>Master201722[[#This Row],[Initial Budget]]-Master201722[[#This Row],[Previously Committed Funds]]</f>
        <v>1365</v>
      </c>
      <c r="K201" s="121">
        <v>0</v>
      </c>
      <c r="L201" s="122">
        <v>0</v>
      </c>
      <c r="M201" s="128">
        <f>Master201722[[#This Row],[Design $ (Add/Deduct)]]+Master201722[[#This Row],[Construction $ (Add/Ded)]]</f>
        <v>0</v>
      </c>
      <c r="N201" s="129">
        <f>Master201722[[#This Row],[Total Add]]+Master201722[[#This Row],[Current Available Balance]]+Master201722[[#This Row],[Previously Committed Funds]]</f>
        <v>50000</v>
      </c>
      <c r="O201" s="114">
        <v>2018</v>
      </c>
      <c r="P201" s="111" t="s">
        <v>140</v>
      </c>
      <c r="Q201" s="114">
        <f t="shared" si="35"/>
        <v>10</v>
      </c>
      <c r="R201" s="114">
        <v>1</v>
      </c>
      <c r="S201" s="114">
        <f t="shared" si="36"/>
        <v>3</v>
      </c>
      <c r="T201" s="114" t="s">
        <v>33</v>
      </c>
      <c r="U201" s="114">
        <f t="shared" si="37"/>
        <v>1</v>
      </c>
      <c r="V201" s="114" t="s">
        <v>30</v>
      </c>
      <c r="W201" s="8">
        <v>0</v>
      </c>
      <c r="X201" s="8">
        <v>0</v>
      </c>
      <c r="Y201" s="8">
        <v>0</v>
      </c>
      <c r="Z201" s="8">
        <v>0</v>
      </c>
      <c r="AA201" s="8">
        <v>0</v>
      </c>
      <c r="AB201" s="8">
        <v>0</v>
      </c>
      <c r="AC201" s="8">
        <v>0</v>
      </c>
      <c r="AD201" s="113" t="s">
        <v>29</v>
      </c>
      <c r="AE201" s="114">
        <f>VLOOKUP(Master201722[[#This Row],[Elevated Priority]],Epriority,2,)</f>
        <v>0</v>
      </c>
      <c r="AF201" s="8">
        <f>IF(Master201722[[#This Row],[Status]]="Active",Master201722[[#This Row],[Status_Score]],IF(C201="","",Q201+G201+S201+U201+AE201-5))</f>
        <v>1009</v>
      </c>
      <c r="AG201" s="114" t="s">
        <v>716</v>
      </c>
      <c r="AH201" s="114"/>
      <c r="AI201" s="114"/>
      <c r="AJ201" s="111" t="s">
        <v>937</v>
      </c>
    </row>
    <row r="202" spans="1:36" ht="90" hidden="1" x14ac:dyDescent="0.25">
      <c r="A202" s="103">
        <f t="shared" si="25"/>
        <v>196</v>
      </c>
      <c r="B202" s="48" t="s">
        <v>73</v>
      </c>
      <c r="C202" s="10" t="s">
        <v>438</v>
      </c>
      <c r="D202" s="10" t="s">
        <v>439</v>
      </c>
      <c r="E202" s="10" t="s">
        <v>918</v>
      </c>
      <c r="F202" s="10" t="s">
        <v>816</v>
      </c>
      <c r="G202" s="10">
        <f t="shared" si="34"/>
        <v>1000</v>
      </c>
      <c r="H202" s="51"/>
      <c r="I202" s="51"/>
      <c r="J202" s="51">
        <f>Master201722[[#This Row],[Initial Budget]]-Master201722[[#This Row],[Previously Committed Funds]]</f>
        <v>0</v>
      </c>
      <c r="K202" s="51"/>
      <c r="L202" s="124"/>
      <c r="M202" s="118">
        <f>Master201722[[#This Row],[Design $ (Add/Deduct)]]+Master201722[[#This Row],[Construction $ (Add/Ded)]]</f>
        <v>0</v>
      </c>
      <c r="N202" s="126">
        <v>15000</v>
      </c>
      <c r="O202" s="8">
        <v>2018</v>
      </c>
      <c r="P202" s="10" t="s">
        <v>687</v>
      </c>
      <c r="Q202" s="8">
        <f t="shared" si="35"/>
        <v>30</v>
      </c>
      <c r="R202" s="8">
        <v>3</v>
      </c>
      <c r="S202" s="8">
        <f t="shared" si="36"/>
        <v>9</v>
      </c>
      <c r="T202" s="8" t="s">
        <v>43</v>
      </c>
      <c r="U202" s="8">
        <f t="shared" si="37"/>
        <v>16</v>
      </c>
      <c r="V202" s="8" t="s">
        <v>30</v>
      </c>
      <c r="W202" s="8">
        <v>0</v>
      </c>
      <c r="X202" s="8">
        <v>0</v>
      </c>
      <c r="Y202" s="8">
        <v>0</v>
      </c>
      <c r="Z202" s="8">
        <v>0</v>
      </c>
      <c r="AA202" s="8">
        <v>0</v>
      </c>
      <c r="AB202" s="8">
        <v>0</v>
      </c>
      <c r="AC202" s="8">
        <v>0</v>
      </c>
      <c r="AD202" s="17" t="s">
        <v>39</v>
      </c>
      <c r="AE202" s="8">
        <f>VLOOKUP(Master201722[[#This Row],[Elevated Priority]],Epriority,2,)</f>
        <v>-30</v>
      </c>
      <c r="AF202" s="8">
        <f>IF(Master201722[[#This Row],[Status]]="Active",Master201722[[#This Row],[Status_Score]],IF(C202="","",Q202+G202+S202+U202+AE202-5))</f>
        <v>1020</v>
      </c>
      <c r="AG202" s="8"/>
      <c r="AH202" s="8"/>
      <c r="AI202" s="8"/>
      <c r="AJ202" s="10"/>
    </row>
    <row r="203" spans="1:36" hidden="1" x14ac:dyDescent="0.25">
      <c r="A203" s="103">
        <f t="shared" si="25"/>
        <v>197</v>
      </c>
      <c r="B203" s="48" t="s">
        <v>79</v>
      </c>
      <c r="C203" s="10" t="s">
        <v>248</v>
      </c>
      <c r="D203" s="10" t="s">
        <v>249</v>
      </c>
      <c r="E203" s="10" t="s">
        <v>250</v>
      </c>
      <c r="F203" s="10" t="s">
        <v>816</v>
      </c>
      <c r="G203" s="10">
        <f t="shared" si="34"/>
        <v>1000</v>
      </c>
      <c r="H203" s="51"/>
      <c r="I203" s="51"/>
      <c r="J203" s="51">
        <f>Master201722[[#This Row],[Initial Budget]]-Master201722[[#This Row],[Previously Committed Funds]]</f>
        <v>0</v>
      </c>
      <c r="K203" s="51"/>
      <c r="L203" s="124"/>
      <c r="M203" s="118">
        <f>Master201722[[#This Row],[Design $ (Add/Deduct)]]+Master201722[[#This Row],[Construction $ (Add/Ded)]]</f>
        <v>0</v>
      </c>
      <c r="N203" s="126">
        <v>50000</v>
      </c>
      <c r="O203" s="8">
        <v>2018</v>
      </c>
      <c r="P203" s="10" t="s">
        <v>36</v>
      </c>
      <c r="Q203" s="8">
        <f t="shared" si="35"/>
        <v>10</v>
      </c>
      <c r="R203" s="8">
        <v>6</v>
      </c>
      <c r="S203" s="8">
        <f t="shared" si="36"/>
        <v>18</v>
      </c>
      <c r="T203" s="8" t="s">
        <v>41</v>
      </c>
      <c r="U203" s="8">
        <f t="shared" si="37"/>
        <v>4</v>
      </c>
      <c r="V203" s="8" t="s">
        <v>30</v>
      </c>
      <c r="W203" s="8">
        <v>0</v>
      </c>
      <c r="X203" s="8">
        <v>0</v>
      </c>
      <c r="Y203" s="8">
        <v>0</v>
      </c>
      <c r="Z203" s="8">
        <v>0</v>
      </c>
      <c r="AA203" s="8">
        <v>0</v>
      </c>
      <c r="AB203" s="8">
        <v>0</v>
      </c>
      <c r="AC203" s="8">
        <v>0</v>
      </c>
      <c r="AD203" s="17" t="s">
        <v>29</v>
      </c>
      <c r="AE203" s="8">
        <f>VLOOKUP(Master201722[[#This Row],[Elevated Priority]],Epriority,2,)</f>
        <v>0</v>
      </c>
      <c r="AF203" s="8">
        <f>IF(Master201722[[#This Row],[Status]]="Active",Master201722[[#This Row],[Status_Score]],IF(C203="","",Q203+G203+S203+U203+AE203-5))</f>
        <v>1027</v>
      </c>
      <c r="AG203" s="8"/>
      <c r="AH203" s="8"/>
      <c r="AI203" s="8"/>
      <c r="AJ203" s="10"/>
    </row>
    <row r="204" spans="1:36" ht="60" hidden="1" x14ac:dyDescent="0.25">
      <c r="A204" s="103">
        <f t="shared" si="25"/>
        <v>198</v>
      </c>
      <c r="B204" s="48" t="s">
        <v>70</v>
      </c>
      <c r="C204" s="10" t="s">
        <v>296</v>
      </c>
      <c r="D204" s="10" t="s">
        <v>297</v>
      </c>
      <c r="E204" s="10" t="s">
        <v>298</v>
      </c>
      <c r="F204" s="10" t="s">
        <v>816</v>
      </c>
      <c r="G204" s="10">
        <f t="shared" si="34"/>
        <v>1000</v>
      </c>
      <c r="H204" s="51"/>
      <c r="I204" s="51"/>
      <c r="J204" s="51">
        <f>Master201722[[#This Row],[Initial Budget]]-Master201722[[#This Row],[Previously Committed Funds]]</f>
        <v>0</v>
      </c>
      <c r="K204" s="51"/>
      <c r="L204" s="124"/>
      <c r="M204" s="118">
        <f>Master201722[[#This Row],[Design $ (Add/Deduct)]]+Master201722[[#This Row],[Construction $ (Add/Ded)]]</f>
        <v>0</v>
      </c>
      <c r="N204" s="126">
        <v>25000</v>
      </c>
      <c r="O204" s="8">
        <v>2018</v>
      </c>
      <c r="P204" s="10" t="s">
        <v>687</v>
      </c>
      <c r="Q204" s="8">
        <f t="shared" si="35"/>
        <v>30</v>
      </c>
      <c r="R204" s="8">
        <v>4</v>
      </c>
      <c r="S204" s="8">
        <f t="shared" si="36"/>
        <v>12</v>
      </c>
      <c r="T204" s="8" t="s">
        <v>41</v>
      </c>
      <c r="U204" s="8">
        <f t="shared" si="37"/>
        <v>4</v>
      </c>
      <c r="V204" s="8" t="s">
        <v>30</v>
      </c>
      <c r="W204" s="8">
        <v>0</v>
      </c>
      <c r="X204" s="8">
        <v>0</v>
      </c>
      <c r="Y204" s="8">
        <v>0</v>
      </c>
      <c r="Z204" s="8">
        <v>0</v>
      </c>
      <c r="AA204" s="8">
        <v>0</v>
      </c>
      <c r="AB204" s="8">
        <v>0</v>
      </c>
      <c r="AC204" s="8">
        <v>0</v>
      </c>
      <c r="AD204" s="17" t="s">
        <v>29</v>
      </c>
      <c r="AE204" s="8">
        <f>VLOOKUP(Master201722[[#This Row],[Elevated Priority]],Epriority,2,)</f>
        <v>0</v>
      </c>
      <c r="AF204" s="8">
        <f>IF(Master201722[[#This Row],[Status]]="Active",Master201722[[#This Row],[Status_Score]],IF(C204="","",Q204+G204+S204+U204+AE204-5))</f>
        <v>1041</v>
      </c>
      <c r="AG204" s="8"/>
      <c r="AH204" s="8"/>
      <c r="AI204" s="8"/>
      <c r="AJ204" s="10" t="s">
        <v>667</v>
      </c>
    </row>
    <row r="205" spans="1:36" ht="75" hidden="1" x14ac:dyDescent="0.25">
      <c r="A205" s="103">
        <f t="shared" si="25"/>
        <v>199</v>
      </c>
      <c r="B205" s="10" t="s">
        <v>143</v>
      </c>
      <c r="C205" s="10" t="s">
        <v>333</v>
      </c>
      <c r="D205" s="10" t="s">
        <v>334</v>
      </c>
      <c r="E205" s="10" t="s">
        <v>894</v>
      </c>
      <c r="F205" s="10" t="s">
        <v>816</v>
      </c>
      <c r="G205" s="10">
        <f t="shared" si="34"/>
        <v>1000</v>
      </c>
      <c r="H205" s="49"/>
      <c r="I205" s="49"/>
      <c r="J205" s="49">
        <f>Master201722[[#This Row],[Initial Budget]]-Master201722[[#This Row],[Previously Committed Funds]]</f>
        <v>0</v>
      </c>
      <c r="K205" s="49"/>
      <c r="L205" s="49"/>
      <c r="M205" s="97">
        <f>Master201722[[#This Row],[Design $ (Add/Deduct)]]+Master201722[[#This Row],[Construction $ (Add/Ded)]]</f>
        <v>0</v>
      </c>
      <c r="N205" s="49">
        <v>40000</v>
      </c>
      <c r="O205" s="8">
        <v>2018</v>
      </c>
      <c r="P205" s="10" t="s">
        <v>686</v>
      </c>
      <c r="Q205" s="8">
        <f t="shared" si="35"/>
        <v>60</v>
      </c>
      <c r="R205" s="17">
        <v>1</v>
      </c>
      <c r="S205" s="8">
        <f t="shared" si="36"/>
        <v>3</v>
      </c>
      <c r="T205" s="17" t="s">
        <v>41</v>
      </c>
      <c r="U205" s="8">
        <f t="shared" si="37"/>
        <v>4</v>
      </c>
      <c r="V205" s="8" t="s">
        <v>30</v>
      </c>
      <c r="W205" s="8">
        <v>0</v>
      </c>
      <c r="X205" s="8">
        <v>0</v>
      </c>
      <c r="Y205" s="8">
        <v>0</v>
      </c>
      <c r="Z205" s="8">
        <v>0</v>
      </c>
      <c r="AA205" s="8">
        <v>0</v>
      </c>
      <c r="AB205" s="8">
        <v>0</v>
      </c>
      <c r="AC205" s="8">
        <v>0</v>
      </c>
      <c r="AD205" s="17" t="s">
        <v>29</v>
      </c>
      <c r="AE205" s="8">
        <f>VLOOKUP(Master201722[[#This Row],[Elevated Priority]],Epriority,2,)</f>
        <v>0</v>
      </c>
      <c r="AF205" s="8">
        <f>IF(Master201722[[#This Row],[Status]]="Active",Master201722[[#This Row],[Status_Score]],IF(C205="","",Q205+G205+S205+U205+AE205-5))</f>
        <v>1062</v>
      </c>
      <c r="AG205" s="8"/>
      <c r="AH205" s="8"/>
      <c r="AI205" s="8"/>
      <c r="AJ205" s="10" t="s">
        <v>664</v>
      </c>
    </row>
    <row r="206" spans="1:36" x14ac:dyDescent="0.25">
      <c r="B206" s="48"/>
      <c r="E206" s="10"/>
      <c r="F206" s="10"/>
      <c r="G206" s="23"/>
      <c r="H206" s="51"/>
      <c r="I206" s="51"/>
      <c r="J206" s="51"/>
      <c r="K206" s="51"/>
      <c r="L206" s="51"/>
      <c r="M206" s="118"/>
      <c r="N206" s="51"/>
      <c r="O206" s="8"/>
      <c r="R206" s="26"/>
      <c r="T206" s="17"/>
      <c r="U206" s="25"/>
      <c r="V206" s="25"/>
      <c r="W206" s="25"/>
      <c r="X206" s="25"/>
      <c r="Y206" s="25"/>
      <c r="Z206" s="25"/>
      <c r="AA206" s="25"/>
      <c r="AB206" s="25"/>
      <c r="AC206" s="25"/>
      <c r="AD206" s="26"/>
      <c r="AE206" s="25"/>
      <c r="AF206" s="25"/>
    </row>
    <row r="207" spans="1:36" x14ac:dyDescent="0.25">
      <c r="A207" s="103">
        <f>A205+1</f>
        <v>200</v>
      </c>
      <c r="B207" s="48"/>
      <c r="C207" s="67"/>
      <c r="D207" s="67"/>
      <c r="E207" s="110"/>
      <c r="F207" s="10"/>
      <c r="G207" s="23"/>
      <c r="H207" s="51"/>
      <c r="I207" s="51"/>
      <c r="J207" s="51"/>
      <c r="K207" s="51"/>
      <c r="L207" s="51"/>
      <c r="M207" s="118"/>
      <c r="N207" s="82"/>
      <c r="O207" s="8"/>
      <c r="R207" s="25"/>
      <c r="U207" s="25"/>
      <c r="V207" s="25"/>
      <c r="W207" s="25"/>
      <c r="X207" s="25"/>
      <c r="Y207" s="25"/>
      <c r="Z207" s="25"/>
      <c r="AA207" s="25"/>
      <c r="AB207" s="25"/>
      <c r="AC207" s="25"/>
      <c r="AD207" s="26"/>
      <c r="AE207" s="25"/>
      <c r="AF207" s="25"/>
    </row>
  </sheetData>
  <conditionalFormatting sqref="B49:B50">
    <cfRule type="duplicateValues" priority="7"/>
  </conditionalFormatting>
  <conditionalFormatting sqref="B51:B52">
    <cfRule type="duplicateValues" priority="5"/>
  </conditionalFormatting>
  <conditionalFormatting sqref="B62">
    <cfRule type="duplicateValues" priority="2"/>
  </conditionalFormatting>
  <conditionalFormatting sqref="B64">
    <cfRule type="duplicateValues" priority="1"/>
  </conditionalFormatting>
  <conditionalFormatting sqref="C40">
    <cfRule type="duplicateValues" priority="15"/>
  </conditionalFormatting>
  <conditionalFormatting sqref="C47">
    <cfRule type="duplicateValues" priority="18"/>
  </conditionalFormatting>
  <conditionalFormatting sqref="C51:C52">
    <cfRule type="duplicateValues" priority="6"/>
  </conditionalFormatting>
  <conditionalFormatting sqref="C53">
    <cfRule type="duplicateValues" priority="14"/>
  </conditionalFormatting>
  <conditionalFormatting sqref="C167">
    <cfRule type="duplicateValues" priority="17"/>
  </conditionalFormatting>
  <conditionalFormatting sqref="C168:C172">
    <cfRule type="duplicateValues" priority="16"/>
  </conditionalFormatting>
  <conditionalFormatting sqref="C177">
    <cfRule type="duplicateValues" priority="21"/>
  </conditionalFormatting>
  <conditionalFormatting sqref="C178 C175:C176">
    <cfRule type="duplicateValues" priority="20"/>
  </conditionalFormatting>
  <conditionalFormatting sqref="C182">
    <cfRule type="duplicateValues" priority="13"/>
  </conditionalFormatting>
  <conditionalFormatting sqref="C183">
    <cfRule type="duplicateValues" priority="12"/>
  </conditionalFormatting>
  <conditionalFormatting sqref="C184">
    <cfRule type="duplicateValues" priority="11"/>
  </conditionalFormatting>
  <conditionalFormatting sqref="C205:C206">
    <cfRule type="duplicateValues" priority="3"/>
  </conditionalFormatting>
  <conditionalFormatting sqref="C208:C1048576 C48:C50 C1 C173:C174 C41:C46 C181 C54:C166 C9:C39">
    <cfRule type="duplicateValues" priority="19"/>
  </conditionalFormatting>
  <conditionalFormatting sqref="C185:D204">
    <cfRule type="duplicateValues" priority="9"/>
  </conditionalFormatting>
  <conditionalFormatting sqref="C207:D207">
    <cfRule type="duplicateValues" priority="10"/>
  </conditionalFormatting>
  <conditionalFormatting sqref="D43">
    <cfRule type="duplicateValues" priority="8"/>
  </conditionalFormatting>
  <conditionalFormatting sqref="D46">
    <cfRule type="duplicateValues" priority="4"/>
  </conditionalFormatting>
  <dataValidations count="13">
    <dataValidation type="list" allowBlank="1" showInputMessage="1" showErrorMessage="1" sqref="N208:O219" xr:uid="{00000000-0002-0000-0400-000000000000}">
      <formula1>"implist"</formula1>
    </dataValidation>
    <dataValidation type="list" allowBlank="1" showInputMessage="1" showErrorMessage="1" sqref="W2:AC5 W7:AC8 AB188 AB207 AB191 AB10:AB13 AB24 W207:X207 X188 W34:X34 W24:X24 W10:X13 AB34 V2:V207" xr:uid="{00000000-0002-0000-0400-000001000000}">
      <formula1>Funding</formula1>
    </dataValidation>
    <dataValidation type="list" allowBlank="1" showInputMessage="1" showErrorMessage="1" sqref="X25:X26 X21:X22 X9 X33 X39 X43:X44 X50 X59 X66:X67 X71 X73 X77 X80 X84 X88 X92 X94:X95 X100 X102 X107 X114 X120:X121 X123:X125 X132:X134 X137:X139 X141:X142 X145 X147:X148 X156 X158:X160 X162:X167 X170:X171 X173:X175 X177:X180 X183 X185:X187 X189:X191 X150:X154" xr:uid="{00000000-0002-0000-0400-000002000000}">
      <formula1>Energy</formula1>
    </dataValidation>
    <dataValidation type="list" allowBlank="1" showInputMessage="1" showErrorMessage="1" sqref="W9 W21:W22 W25:W26 W33 W39 W43:W44 W50 W59 W66:W67 W71 W73 W77 W80 W84 W88 W92 W94:W95 W100 W102 W107 W114 W120:W121 W123:W125 W132:W134 W137:W139 W141:W142 W145 W147:W148 W156 W158:W160 W162:W167 W170:W171 W173:W175 W177:W180 W150:W154 W183:W189" xr:uid="{00000000-0002-0000-0400-000003000000}">
      <formula1>Revenue</formula1>
    </dataValidation>
    <dataValidation type="list" allowBlank="1" showInputMessage="1" showErrorMessage="1" sqref="AB39 AB33 AB25:AB26 AB21:AB22 AB9" xr:uid="{00000000-0002-0000-0400-000004000000}">
      <formula1>MasterPlan</formula1>
    </dataValidation>
    <dataValidation type="list" allowBlank="1" showInputMessage="1" showErrorMessage="1" sqref="F2:F207" xr:uid="{00000000-0002-0000-0400-000005000000}">
      <formula1>Status</formula1>
    </dataValidation>
    <dataValidation type="list" allowBlank="1" showInputMessage="1" showErrorMessage="1" sqref="R2:R207" xr:uid="{00000000-0002-0000-0400-000006000000}">
      <formula1>Department_List</formula1>
    </dataValidation>
    <dataValidation type="list" allowBlank="1" showInputMessage="1" showErrorMessage="1" sqref="T2:T207" xr:uid="{00000000-0002-0000-0400-000007000000}">
      <formula1>Urgency_List</formula1>
    </dataValidation>
    <dataValidation type="list" allowBlank="1" showInputMessage="1" showErrorMessage="1" sqref="AD2:AD207" xr:uid="{00000000-0002-0000-0400-000008000000}">
      <formula1>ele_pri</formula1>
    </dataValidation>
    <dataValidation type="list" allowBlank="1" showInputMessage="1" showErrorMessage="1" sqref="Y9:Y207" xr:uid="{00000000-0002-0000-0400-000009000000}">
      <formula1>Age_Inf</formula1>
    </dataValidation>
    <dataValidation type="list" allowBlank="1" showInputMessage="1" showErrorMessage="1" sqref="Z9:Z207" xr:uid="{00000000-0002-0000-0400-00000A000000}">
      <formula1>Com_Need</formula1>
    </dataValidation>
    <dataValidation type="list" allowBlank="1" showInputMessage="1" showErrorMessage="1" sqref="AA9:AA207" xr:uid="{00000000-0002-0000-0400-00000B000000}">
      <formula1>Com_Request</formula1>
    </dataValidation>
    <dataValidation type="list" allowBlank="1" showInputMessage="1" showErrorMessage="1" sqref="AC9:AC207" xr:uid="{00000000-0002-0000-0400-00000C000000}">
      <formula1>Risk</formula1>
    </dataValidation>
  </dataValidations>
  <pageMargins left="0.7" right="0.7" top="0.75" bottom="0.75" header="0.3" footer="0.3"/>
  <pageSetup paperSize="3"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D000000}">
          <x14:formula1>
            <xm:f>Database!$U$3:$U$4</xm:f>
          </x14:formula1>
          <xm:sqref>W172 W23 W93 W6 W176 W181:W182 W14:W20 W35:W38 W40:W42 W45:W49 W51:W58 W60:W65 W68:W70 W72 W74:W76 W78:W79 W81:W83 W85:W87 W89:W91 W96:W99 W101 W103:W106 W108:W113 W115:W119 W122 W126:W131 W135:W136 W140 W143:W144 W146 W149 W155 W157 W161 W168:W169 W27:W32</xm:sqref>
        </x14:dataValidation>
        <x14:dataValidation type="list" allowBlank="1" showInputMessage="1" showErrorMessage="1" xr:uid="{00000000-0002-0000-0400-00000E000000}">
          <x14:formula1>
            <xm:f>Database!$U$3:$U$8</xm:f>
          </x14:formula1>
          <xm:sqref>W190:W206</xm:sqref>
        </x14:dataValidation>
        <x14:dataValidation type="list" allowBlank="1" showInputMessage="1" showErrorMessage="1" xr:uid="{00000000-0002-0000-0400-00000F000000}">
          <x14:formula1>
            <xm:f>Database!$U$8:$U$9</xm:f>
          </x14:formula1>
          <xm:sqref>X6 X14:X20 X23 X45:X49 X51:X53 X181 X192:X206 X72 X74 X65 X68 X62:X63 X55:X58 X60 X35:X38 X40:X41 X76 X79 X81 X83 X85:X87 X89 X91 X96:X97 X99 X103:X104 X106 X108:X113 X115:X118 X128:X130 X135 X143 X168 X27:X32</xm:sqref>
        </x14:dataValidation>
        <x14:dataValidation type="list" allowBlank="1" showInputMessage="1" showErrorMessage="1" xr:uid="{00000000-0002-0000-0400-000010000000}">
          <x14:formula1>
            <xm:f>Database!$U$14:$U$15</xm:f>
          </x14:formula1>
          <xm:sqref>Z6</xm:sqref>
        </x14:dataValidation>
        <x14:dataValidation type="list" allowBlank="1" showInputMessage="1" showErrorMessage="1" xr:uid="{00000000-0002-0000-0400-000011000000}">
          <x14:formula1>
            <xm:f>Database!$U$8:$U$10</xm:f>
          </x14:formula1>
          <xm:sqref>X69:X70 X64 X61 X54 X42 X75 X78 X82 X90 X93 X98 X105 X119 X122 X126:X127 X131 X136 X140 X144 X146 X149 X155 X157 X161 X169 X172 X176 X182 X184 X101</xm:sqref>
        </x14:dataValidation>
        <x14:dataValidation type="list" allowBlank="1" showInputMessage="1" showErrorMessage="1" xr:uid="{00000000-0002-0000-0400-000012000000}">
          <x14:formula1>
            <xm:f>Database!$U$13:$U$13</xm:f>
          </x14:formula1>
          <xm:sqref>Y6</xm:sqref>
        </x14:dataValidation>
        <x14:dataValidation type="list" allowBlank="1" showInputMessage="1" showErrorMessage="1" xr:uid="{00000000-0002-0000-0400-000013000000}">
          <x14:formula1>
            <xm:f>Database!$U$16:$U$17</xm:f>
          </x14:formula1>
          <xm:sqref>AA6</xm:sqref>
        </x14:dataValidation>
        <x14:dataValidation type="list" allowBlank="1" showInputMessage="1" showErrorMessage="1" xr:uid="{00000000-0002-0000-0400-000014000000}">
          <x14:formula1>
            <xm:f>Database!$W$11:$W$16</xm:f>
          </x14:formula1>
          <xm:sqref>AB6 AB40:AB187 AB189:AB190 AB192:AB206 AB14:AB20 AB23 AB35:AB38 AB27:AB32</xm:sqref>
        </x14:dataValidation>
        <x14:dataValidation type="list" allowBlank="1" showInputMessage="1" showErrorMessage="1" xr:uid="{00000000-0002-0000-0400-000015000000}">
          <x14:formula1>
            <xm:f>Database!$U$24:$U$25</xm:f>
          </x14:formula1>
          <xm:sqref>AC6</xm:sqref>
        </x14:dataValidation>
        <x14:dataValidation type="list" allowBlank="1" showInputMessage="1" showErrorMessage="1" xr:uid="{00000000-0002-0000-0400-000016000000}">
          <x14:formula1>
            <xm:f>Database!$D$3:$D$12</xm:f>
          </x14:formula1>
          <xm:sqref>P2:P207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U226"/>
  <sheetViews>
    <sheetView zoomScaleNormal="100" workbookViewId="0">
      <pane ySplit="1" topLeftCell="A2" activePane="bottomLeft" state="frozen"/>
      <selection activeCell="B18" sqref="B18"/>
      <selection pane="bottomLeft" activeCell="B18" sqref="B18"/>
    </sheetView>
  </sheetViews>
  <sheetFormatPr defaultColWidth="9.140625" defaultRowHeight="15" x14ac:dyDescent="0.25"/>
  <cols>
    <col min="1" max="1" width="9.42578125" style="1" customWidth="1"/>
    <col min="2" max="2" width="17.42578125" style="1" customWidth="1"/>
    <col min="3" max="3" width="35" style="10" customWidth="1"/>
    <col min="4" max="4" width="24.7109375" style="10" customWidth="1"/>
    <col min="5" max="5" width="24.7109375" style="3" customWidth="1"/>
    <col min="6" max="7" width="12.42578125" style="3" customWidth="1"/>
    <col min="8" max="8" width="18.85546875" style="32" customWidth="1"/>
    <col min="9" max="9" width="18.85546875" style="33" customWidth="1"/>
    <col min="10" max="10" width="24.7109375" style="10" customWidth="1"/>
    <col min="11" max="11" width="14.7109375" style="8" customWidth="1"/>
    <col min="12" max="12" width="16" style="8" customWidth="1"/>
    <col min="13" max="13" width="14.7109375" style="8" customWidth="1"/>
    <col min="14" max="14" width="16.85546875" style="8" customWidth="1"/>
    <col min="15" max="18" width="14.7109375" style="8" customWidth="1"/>
    <col min="19" max="19" width="18.7109375" style="8" customWidth="1"/>
    <col min="20" max="20" width="20.28515625" style="1" hidden="1" customWidth="1"/>
    <col min="21" max="21" width="33" bestFit="1" customWidth="1"/>
  </cols>
  <sheetData>
    <row r="1" spans="1:21" ht="30" x14ac:dyDescent="0.25">
      <c r="A1" s="1" t="s">
        <v>48</v>
      </c>
      <c r="B1" s="4" t="s">
        <v>49</v>
      </c>
      <c r="C1" s="5" t="s">
        <v>50</v>
      </c>
      <c r="D1" s="5" t="s">
        <v>51</v>
      </c>
      <c r="E1" s="5" t="s">
        <v>52</v>
      </c>
      <c r="F1" s="5" t="s">
        <v>53</v>
      </c>
      <c r="G1" s="5" t="s">
        <v>645</v>
      </c>
      <c r="H1" s="6" t="s">
        <v>54</v>
      </c>
      <c r="I1" s="6" t="s">
        <v>55</v>
      </c>
      <c r="J1" s="4" t="s">
        <v>26</v>
      </c>
      <c r="K1" s="4" t="s">
        <v>56</v>
      </c>
      <c r="L1" s="4" t="s">
        <v>27</v>
      </c>
      <c r="M1" s="4" t="s">
        <v>57</v>
      </c>
      <c r="N1" s="4" t="s">
        <v>28</v>
      </c>
      <c r="O1" s="7" t="s">
        <v>58</v>
      </c>
      <c r="P1" s="7" t="s">
        <v>23</v>
      </c>
      <c r="Q1" s="4" t="s">
        <v>24</v>
      </c>
      <c r="R1" s="8" t="s">
        <v>25</v>
      </c>
      <c r="S1" s="7" t="s">
        <v>59</v>
      </c>
      <c r="T1" s="7" t="s">
        <v>60</v>
      </c>
      <c r="U1" s="77" t="s">
        <v>680</v>
      </c>
    </row>
    <row r="2" spans="1:21" hidden="1" x14ac:dyDescent="0.25">
      <c r="A2" s="1">
        <v>1</v>
      </c>
      <c r="B2" s="71" t="s">
        <v>61</v>
      </c>
      <c r="C2" s="13" t="s">
        <v>4</v>
      </c>
      <c r="D2" s="13" t="s">
        <v>62</v>
      </c>
      <c r="E2" s="13"/>
      <c r="F2" s="13" t="s">
        <v>598</v>
      </c>
      <c r="G2" s="13">
        <f t="shared" ref="G2:G65" si="0">VLOOKUP(F2,Status_Score,2,FALSE)</f>
        <v>-100</v>
      </c>
      <c r="H2" s="14">
        <v>4500000</v>
      </c>
      <c r="I2" s="15">
        <v>2018</v>
      </c>
      <c r="J2" s="13" t="s">
        <v>29</v>
      </c>
      <c r="K2" s="15">
        <f t="shared" ref="K2:K13" si="1">VLOOKUP(J2,Importance, 2, FALSE)</f>
        <v>0</v>
      </c>
      <c r="L2" s="15" t="s">
        <v>29</v>
      </c>
      <c r="M2" s="15">
        <f t="shared" ref="M2:M65" si="2">VLOOKUP(L2,Department,2,FALSE)</f>
        <v>0</v>
      </c>
      <c r="N2" s="15" t="s">
        <v>29</v>
      </c>
      <c r="O2" s="15">
        <f t="shared" ref="O2:O28" si="3">VLOOKUP(N2,Urgency,2,FALSE)</f>
        <v>0</v>
      </c>
      <c r="P2" s="15" t="s">
        <v>38</v>
      </c>
      <c r="Q2" s="16" t="s">
        <v>29</v>
      </c>
      <c r="R2" s="15">
        <f>VLOOKUP(Master19[[#This Row],[Elevated Priority]],Epriority,2,)</f>
        <v>0</v>
      </c>
      <c r="S2" s="15">
        <f>IF(Master19[[#This Row],[Status]]="Active",Master19[[#This Row],[Status_Score]],IF(C2="","",K2+G2+M2+O2+R2-5))</f>
        <v>-100</v>
      </c>
      <c r="T2" s="78"/>
      <c r="U2" s="9"/>
    </row>
    <row r="3" spans="1:21" hidden="1" x14ac:dyDescent="0.25">
      <c r="A3" s="1">
        <v>2</v>
      </c>
      <c r="B3" s="71" t="s">
        <v>61</v>
      </c>
      <c r="C3" s="13" t="s">
        <v>5</v>
      </c>
      <c r="D3" s="13" t="s">
        <v>62</v>
      </c>
      <c r="E3" s="13"/>
      <c r="F3" s="13" t="s">
        <v>598</v>
      </c>
      <c r="G3" s="13">
        <f t="shared" si="0"/>
        <v>-100</v>
      </c>
      <c r="H3" s="14">
        <v>750000</v>
      </c>
      <c r="I3" s="15">
        <v>2018</v>
      </c>
      <c r="J3" s="13" t="s">
        <v>29</v>
      </c>
      <c r="K3" s="15">
        <f t="shared" si="1"/>
        <v>0</v>
      </c>
      <c r="L3" s="15" t="s">
        <v>29</v>
      </c>
      <c r="M3" s="15">
        <f t="shared" si="2"/>
        <v>0</v>
      </c>
      <c r="N3" s="15" t="s">
        <v>29</v>
      </c>
      <c r="O3" s="15">
        <f t="shared" si="3"/>
        <v>0</v>
      </c>
      <c r="P3" s="15" t="s">
        <v>38</v>
      </c>
      <c r="Q3" s="16" t="s">
        <v>29</v>
      </c>
      <c r="R3" s="15">
        <f>VLOOKUP(Master19[[#This Row],[Elevated Priority]],Epriority,2,)</f>
        <v>0</v>
      </c>
      <c r="S3" s="15">
        <f>IF(Master19[[#This Row],[Status]]="Active",Master19[[#This Row],[Status_Score]],IF(C3="","",K3+G3+M3+O3+R3-5))</f>
        <v>-100</v>
      </c>
      <c r="T3" s="78"/>
      <c r="U3" s="9"/>
    </row>
    <row r="4" spans="1:21" hidden="1" x14ac:dyDescent="0.25">
      <c r="A4" s="1">
        <v>3</v>
      </c>
      <c r="B4" s="71" t="s">
        <v>65</v>
      </c>
      <c r="C4" s="13" t="s">
        <v>66</v>
      </c>
      <c r="D4" s="13" t="s">
        <v>62</v>
      </c>
      <c r="E4" s="13"/>
      <c r="F4" s="13" t="s">
        <v>598</v>
      </c>
      <c r="G4" s="13">
        <f t="shared" si="0"/>
        <v>-100</v>
      </c>
      <c r="H4" s="14">
        <v>3500000</v>
      </c>
      <c r="I4" s="15">
        <v>2018</v>
      </c>
      <c r="J4" s="13" t="s">
        <v>29</v>
      </c>
      <c r="K4" s="15">
        <f t="shared" si="1"/>
        <v>0</v>
      </c>
      <c r="L4" s="15" t="s">
        <v>29</v>
      </c>
      <c r="M4" s="15">
        <f t="shared" si="2"/>
        <v>0</v>
      </c>
      <c r="N4" s="15" t="s">
        <v>29</v>
      </c>
      <c r="O4" s="15">
        <f t="shared" si="3"/>
        <v>0</v>
      </c>
      <c r="P4" s="15" t="s">
        <v>38</v>
      </c>
      <c r="Q4" s="16" t="s">
        <v>29</v>
      </c>
      <c r="R4" s="15">
        <f>VLOOKUP(Master19[[#This Row],[Elevated Priority]],Epriority,2,)</f>
        <v>0</v>
      </c>
      <c r="S4" s="15">
        <f>IF(Master19[[#This Row],[Status]]="Active",Master19[[#This Row],[Status_Score]],IF(C4="","",K4+G4+M4+O4+R4-5))</f>
        <v>-100</v>
      </c>
      <c r="T4" s="78"/>
      <c r="U4" s="9"/>
    </row>
    <row r="5" spans="1:21" ht="30" hidden="1" x14ac:dyDescent="0.25">
      <c r="A5" s="1">
        <v>4</v>
      </c>
      <c r="B5" s="71" t="s">
        <v>67</v>
      </c>
      <c r="C5" s="13" t="s">
        <v>68</v>
      </c>
      <c r="D5" s="13" t="s">
        <v>62</v>
      </c>
      <c r="E5" s="13"/>
      <c r="F5" s="13" t="s">
        <v>598</v>
      </c>
      <c r="G5" s="13">
        <f t="shared" si="0"/>
        <v>-100</v>
      </c>
      <c r="H5" s="14">
        <v>4000000</v>
      </c>
      <c r="I5" s="15">
        <v>2018</v>
      </c>
      <c r="J5" s="13" t="s">
        <v>29</v>
      </c>
      <c r="K5" s="15">
        <f t="shared" si="1"/>
        <v>0</v>
      </c>
      <c r="L5" s="15" t="s">
        <v>29</v>
      </c>
      <c r="M5" s="15">
        <f t="shared" si="2"/>
        <v>0</v>
      </c>
      <c r="N5" s="15" t="s">
        <v>29</v>
      </c>
      <c r="O5" s="15">
        <f t="shared" si="3"/>
        <v>0</v>
      </c>
      <c r="P5" s="15" t="s">
        <v>38</v>
      </c>
      <c r="Q5" s="16" t="s">
        <v>29</v>
      </c>
      <c r="R5" s="15">
        <f>VLOOKUP(Master19[[#This Row],[Elevated Priority]],Epriority,2,)</f>
        <v>0</v>
      </c>
      <c r="S5" s="15">
        <f>IF(Master19[[#This Row],[Status]]="Active",Master19[[#This Row],[Status_Score]],IF(C5="","",K5+G5+M5+O5+R5-5))</f>
        <v>-100</v>
      </c>
      <c r="T5" s="66"/>
    </row>
    <row r="6" spans="1:21" hidden="1" x14ac:dyDescent="0.25">
      <c r="A6" s="1">
        <v>5</v>
      </c>
      <c r="B6" s="13" t="s">
        <v>69</v>
      </c>
      <c r="C6" s="13" t="s">
        <v>9</v>
      </c>
      <c r="D6" s="13" t="s">
        <v>62</v>
      </c>
      <c r="E6" s="13"/>
      <c r="F6" s="13" t="s">
        <v>598</v>
      </c>
      <c r="G6" s="13">
        <f t="shared" si="0"/>
        <v>-100</v>
      </c>
      <c r="H6" s="14">
        <v>500000</v>
      </c>
      <c r="I6" s="15">
        <v>2018</v>
      </c>
      <c r="J6" s="13" t="s">
        <v>29</v>
      </c>
      <c r="K6" s="15">
        <f t="shared" si="1"/>
        <v>0</v>
      </c>
      <c r="L6" s="15" t="s">
        <v>29</v>
      </c>
      <c r="M6" s="15">
        <f t="shared" si="2"/>
        <v>0</v>
      </c>
      <c r="N6" s="15" t="s">
        <v>29</v>
      </c>
      <c r="O6" s="15">
        <f t="shared" si="3"/>
        <v>0</v>
      </c>
      <c r="P6" s="15" t="s">
        <v>38</v>
      </c>
      <c r="Q6" s="16" t="s">
        <v>29</v>
      </c>
      <c r="R6" s="15">
        <f>VLOOKUP(Master19[[#This Row],[Elevated Priority]],Epriority,2,)</f>
        <v>0</v>
      </c>
      <c r="S6" s="15">
        <f>IF(Master19[[#This Row],[Status]]="Active",Master19[[#This Row],[Status_Score]],IF(C6="","",K6+G6+M6+O6+R6-5))</f>
        <v>-100</v>
      </c>
    </row>
    <row r="7" spans="1:21" hidden="1" x14ac:dyDescent="0.25">
      <c r="A7" s="1">
        <v>6</v>
      </c>
      <c r="B7" s="13" t="s">
        <v>70</v>
      </c>
      <c r="C7" s="13" t="s">
        <v>10</v>
      </c>
      <c r="D7" s="13" t="s">
        <v>62</v>
      </c>
      <c r="E7" s="13"/>
      <c r="F7" s="13" t="s">
        <v>598</v>
      </c>
      <c r="G7" s="13">
        <f t="shared" si="0"/>
        <v>-100</v>
      </c>
      <c r="H7" s="14">
        <v>2000000</v>
      </c>
      <c r="I7" s="15">
        <v>2018</v>
      </c>
      <c r="J7" s="13" t="s">
        <v>29</v>
      </c>
      <c r="K7" s="15">
        <f t="shared" si="1"/>
        <v>0</v>
      </c>
      <c r="L7" s="15" t="s">
        <v>29</v>
      </c>
      <c r="M7" s="15">
        <f t="shared" si="2"/>
        <v>0</v>
      </c>
      <c r="N7" s="15" t="s">
        <v>29</v>
      </c>
      <c r="O7" s="15">
        <f t="shared" si="3"/>
        <v>0</v>
      </c>
      <c r="P7" s="15" t="s">
        <v>38</v>
      </c>
      <c r="Q7" s="16" t="s">
        <v>29</v>
      </c>
      <c r="R7" s="15">
        <f>VLOOKUP(Master19[[#This Row],[Elevated Priority]],Epriority,2,)</f>
        <v>0</v>
      </c>
      <c r="S7" s="15">
        <f>IF(Master19[[#This Row],[Status]]="Active",Master19[[#This Row],[Status_Score]],IF(C7="","",K7+G7+M7+O7+R7-5))</f>
        <v>-100</v>
      </c>
    </row>
    <row r="8" spans="1:21" ht="30" hidden="1" x14ac:dyDescent="0.25">
      <c r="A8" s="1">
        <v>7</v>
      </c>
      <c r="B8" s="13" t="s">
        <v>71</v>
      </c>
      <c r="C8" s="13" t="s">
        <v>12</v>
      </c>
      <c r="D8" s="13" t="s">
        <v>62</v>
      </c>
      <c r="E8" s="13"/>
      <c r="F8" s="13" t="s">
        <v>598</v>
      </c>
      <c r="G8" s="13">
        <f t="shared" si="0"/>
        <v>-100</v>
      </c>
      <c r="H8" s="14">
        <v>2000000</v>
      </c>
      <c r="I8" s="15">
        <v>2018</v>
      </c>
      <c r="J8" s="13" t="s">
        <v>29</v>
      </c>
      <c r="K8" s="15">
        <f t="shared" si="1"/>
        <v>0</v>
      </c>
      <c r="L8" s="15" t="s">
        <v>29</v>
      </c>
      <c r="M8" s="15">
        <f t="shared" si="2"/>
        <v>0</v>
      </c>
      <c r="N8" s="15" t="s">
        <v>29</v>
      </c>
      <c r="O8" s="15">
        <f t="shared" si="3"/>
        <v>0</v>
      </c>
      <c r="P8" s="15" t="s">
        <v>38</v>
      </c>
      <c r="Q8" s="16" t="s">
        <v>29</v>
      </c>
      <c r="R8" s="15">
        <f>VLOOKUP(Master19[[#This Row],[Elevated Priority]],Epriority,2,)</f>
        <v>0</v>
      </c>
      <c r="S8" s="15">
        <f>IF(Master19[[#This Row],[Status]]="Active",Master19[[#This Row],[Status_Score]],IF(C8="","",K8+G8+M8+O8+R8-5))</f>
        <v>-100</v>
      </c>
    </row>
    <row r="9" spans="1:21" hidden="1" x14ac:dyDescent="0.25">
      <c r="A9" s="1">
        <v>8</v>
      </c>
      <c r="B9" s="13" t="s">
        <v>72</v>
      </c>
      <c r="C9" s="13" t="s">
        <v>13</v>
      </c>
      <c r="D9" s="13" t="s">
        <v>62</v>
      </c>
      <c r="E9" s="13"/>
      <c r="F9" s="13" t="s">
        <v>598</v>
      </c>
      <c r="G9" s="13">
        <f t="shared" si="0"/>
        <v>-100</v>
      </c>
      <c r="H9" s="14">
        <v>20000000</v>
      </c>
      <c r="I9" s="15">
        <v>2018</v>
      </c>
      <c r="J9" s="13" t="s">
        <v>29</v>
      </c>
      <c r="K9" s="15">
        <f t="shared" si="1"/>
        <v>0</v>
      </c>
      <c r="L9" s="15" t="s">
        <v>29</v>
      </c>
      <c r="M9" s="15">
        <f t="shared" si="2"/>
        <v>0</v>
      </c>
      <c r="N9" s="15" t="s">
        <v>29</v>
      </c>
      <c r="O9" s="15">
        <f t="shared" si="3"/>
        <v>0</v>
      </c>
      <c r="P9" s="15" t="s">
        <v>38</v>
      </c>
      <c r="Q9" s="16" t="s">
        <v>29</v>
      </c>
      <c r="R9" s="15">
        <f>VLOOKUP(Master19[[#This Row],[Elevated Priority]],Epriority,2,)</f>
        <v>0</v>
      </c>
      <c r="S9" s="15">
        <f>IF(Master19[[#This Row],[Status]]="Active",Master19[[#This Row],[Status_Score]],IF(C9="","",K9+G9+M9+O9+R9-5))</f>
        <v>-100</v>
      </c>
    </row>
    <row r="10" spans="1:21" hidden="1" x14ac:dyDescent="0.25">
      <c r="A10" s="1">
        <v>9</v>
      </c>
      <c r="B10" s="13" t="s">
        <v>70</v>
      </c>
      <c r="C10" s="13" t="s">
        <v>14</v>
      </c>
      <c r="D10" s="13" t="s">
        <v>62</v>
      </c>
      <c r="E10" s="13"/>
      <c r="F10" s="13" t="s">
        <v>598</v>
      </c>
      <c r="G10" s="13">
        <f t="shared" si="0"/>
        <v>-100</v>
      </c>
      <c r="H10" s="14">
        <v>2000000</v>
      </c>
      <c r="I10" s="15">
        <v>2018</v>
      </c>
      <c r="J10" s="13" t="s">
        <v>29</v>
      </c>
      <c r="K10" s="15">
        <f t="shared" si="1"/>
        <v>0</v>
      </c>
      <c r="L10" s="15" t="s">
        <v>29</v>
      </c>
      <c r="M10" s="15">
        <f t="shared" si="2"/>
        <v>0</v>
      </c>
      <c r="N10" s="15" t="s">
        <v>29</v>
      </c>
      <c r="O10" s="15">
        <f t="shared" si="3"/>
        <v>0</v>
      </c>
      <c r="P10" s="15" t="s">
        <v>38</v>
      </c>
      <c r="Q10" s="16" t="s">
        <v>29</v>
      </c>
      <c r="R10" s="15">
        <f>VLOOKUP(Master19[[#This Row],[Elevated Priority]],Epriority,2,)</f>
        <v>0</v>
      </c>
      <c r="S10" s="15">
        <f>IF(Master19[[#This Row],[Status]]="Active",Master19[[#This Row],[Status_Score]],IF(C10="","",K10+G10+M10+O10+R10-5))</f>
        <v>-100</v>
      </c>
    </row>
    <row r="11" spans="1:21" hidden="1" x14ac:dyDescent="0.25">
      <c r="A11" s="1">
        <v>10</v>
      </c>
      <c r="B11" s="13" t="s">
        <v>61</v>
      </c>
      <c r="C11" s="13" t="s">
        <v>17</v>
      </c>
      <c r="D11" s="13" t="s">
        <v>62</v>
      </c>
      <c r="E11" s="13"/>
      <c r="F11" s="13" t="s">
        <v>598</v>
      </c>
      <c r="G11" s="13">
        <f t="shared" si="0"/>
        <v>-100</v>
      </c>
      <c r="H11" s="14">
        <v>2000000</v>
      </c>
      <c r="I11" s="15">
        <v>2018</v>
      </c>
      <c r="J11" s="13" t="s">
        <v>29</v>
      </c>
      <c r="K11" s="15">
        <f t="shared" si="1"/>
        <v>0</v>
      </c>
      <c r="L11" s="15" t="s">
        <v>29</v>
      </c>
      <c r="M11" s="15">
        <f t="shared" si="2"/>
        <v>0</v>
      </c>
      <c r="N11" s="15" t="s">
        <v>29</v>
      </c>
      <c r="O11" s="15">
        <f t="shared" si="3"/>
        <v>0</v>
      </c>
      <c r="P11" s="15" t="s">
        <v>38</v>
      </c>
      <c r="Q11" s="16" t="s">
        <v>29</v>
      </c>
      <c r="R11" s="15">
        <f>VLOOKUP(Master19[[#This Row],[Elevated Priority]],Epriority,2,)</f>
        <v>0</v>
      </c>
      <c r="S11" s="15">
        <f>IF(Master19[[#This Row],[Status]]="Active",Master19[[#This Row],[Status_Score]],IF(C11="","",K11+G11+M11+O11+R11-5))</f>
        <v>-100</v>
      </c>
    </row>
    <row r="12" spans="1:21" hidden="1" x14ac:dyDescent="0.25">
      <c r="A12" s="1">
        <v>11</v>
      </c>
      <c r="B12" s="13" t="s">
        <v>70</v>
      </c>
      <c r="C12" s="13" t="s">
        <v>18</v>
      </c>
      <c r="D12" s="13" t="s">
        <v>62</v>
      </c>
      <c r="E12" s="13"/>
      <c r="F12" s="13" t="s">
        <v>598</v>
      </c>
      <c r="G12" s="13">
        <f t="shared" si="0"/>
        <v>-100</v>
      </c>
      <c r="H12" s="14">
        <v>1000000</v>
      </c>
      <c r="I12" s="15">
        <v>2018</v>
      </c>
      <c r="J12" s="13" t="s">
        <v>29</v>
      </c>
      <c r="K12" s="15">
        <f t="shared" si="1"/>
        <v>0</v>
      </c>
      <c r="L12" s="15" t="s">
        <v>29</v>
      </c>
      <c r="M12" s="15">
        <f t="shared" si="2"/>
        <v>0</v>
      </c>
      <c r="N12" s="15" t="s">
        <v>29</v>
      </c>
      <c r="O12" s="15">
        <f t="shared" si="3"/>
        <v>0</v>
      </c>
      <c r="P12" s="15" t="s">
        <v>38</v>
      </c>
      <c r="Q12" s="16" t="s">
        <v>29</v>
      </c>
      <c r="R12" s="15">
        <f>VLOOKUP(Master19[[#This Row],[Elevated Priority]],Epriority,2,)</f>
        <v>0</v>
      </c>
      <c r="S12" s="15">
        <f>IF(Master19[[#This Row],[Status]]="Active",Master19[[#This Row],[Status_Score]],IF(C12="","",K12+G12+M12+O12+R12-5))</f>
        <v>-100</v>
      </c>
    </row>
    <row r="13" spans="1:21" ht="30" hidden="1" x14ac:dyDescent="0.25">
      <c r="A13" s="1">
        <v>12</v>
      </c>
      <c r="B13" s="13" t="s">
        <v>674</v>
      </c>
      <c r="C13" s="13" t="s">
        <v>19</v>
      </c>
      <c r="D13" s="13" t="s">
        <v>673</v>
      </c>
      <c r="E13" s="13"/>
      <c r="F13" s="13" t="s">
        <v>598</v>
      </c>
      <c r="G13" s="13">
        <f t="shared" si="0"/>
        <v>-100</v>
      </c>
      <c r="H13" s="14">
        <v>2000000</v>
      </c>
      <c r="I13" s="15">
        <v>2018</v>
      </c>
      <c r="J13" s="13" t="s">
        <v>29</v>
      </c>
      <c r="K13" s="15">
        <f t="shared" si="1"/>
        <v>0</v>
      </c>
      <c r="L13" s="15" t="s">
        <v>29</v>
      </c>
      <c r="M13" s="15">
        <f t="shared" si="2"/>
        <v>0</v>
      </c>
      <c r="N13" s="15" t="s">
        <v>29</v>
      </c>
      <c r="O13" s="15">
        <f t="shared" si="3"/>
        <v>0</v>
      </c>
      <c r="P13" s="15" t="s">
        <v>38</v>
      </c>
      <c r="Q13" s="16" t="s">
        <v>29</v>
      </c>
      <c r="R13" s="15">
        <f>VLOOKUP(Master19[[#This Row],[Elevated Priority]],Epriority,2,)</f>
        <v>0</v>
      </c>
      <c r="S13" s="15">
        <f>IF(Master19[[#This Row],[Status]]="Active",Master19[[#This Row],[Status_Score]],IF(C13="","",K13+G13+M13+O13+R13-5))</f>
        <v>-100</v>
      </c>
    </row>
    <row r="14" spans="1:21" ht="60" hidden="1" x14ac:dyDescent="0.25">
      <c r="A14" s="1">
        <v>13</v>
      </c>
      <c r="B14" s="13" t="s">
        <v>94</v>
      </c>
      <c r="C14" s="13" t="s">
        <v>95</v>
      </c>
      <c r="D14" s="13" t="s">
        <v>638</v>
      </c>
      <c r="E14" s="13" t="s">
        <v>639</v>
      </c>
      <c r="F14" s="13" t="s">
        <v>598</v>
      </c>
      <c r="G14" s="13">
        <f t="shared" si="0"/>
        <v>-100</v>
      </c>
      <c r="H14" s="14">
        <v>375000</v>
      </c>
      <c r="I14" s="15">
        <v>2018</v>
      </c>
      <c r="J14" s="13" t="s">
        <v>32</v>
      </c>
      <c r="K14" s="15">
        <f>VLOOKUP(J14,Importance,2,FALSE)</f>
        <v>1</v>
      </c>
      <c r="L14" s="15">
        <v>1</v>
      </c>
      <c r="M14" s="15">
        <f t="shared" si="2"/>
        <v>3</v>
      </c>
      <c r="N14" s="15" t="s">
        <v>33</v>
      </c>
      <c r="O14" s="15">
        <f t="shared" si="3"/>
        <v>1</v>
      </c>
      <c r="P14" s="15" t="s">
        <v>30</v>
      </c>
      <c r="Q14" s="16" t="s">
        <v>29</v>
      </c>
      <c r="R14" s="15">
        <f>VLOOKUP(Master19[[#This Row],[Elevated Priority]],Epriority,2,)</f>
        <v>0</v>
      </c>
      <c r="S14" s="15">
        <f>IF(Master19[[#This Row],[Status]]="Active",Master19[[#This Row],[Status_Score]],IF(C14="","",K14+G14+M14+O14+R14-5))</f>
        <v>-100</v>
      </c>
      <c r="T14" s="12"/>
    </row>
    <row r="15" spans="1:21" ht="30" hidden="1" x14ac:dyDescent="0.25">
      <c r="A15" s="1">
        <v>14</v>
      </c>
      <c r="B15" s="13" t="s">
        <v>70</v>
      </c>
      <c r="C15" s="13" t="s">
        <v>122</v>
      </c>
      <c r="D15" s="13" t="s">
        <v>651</v>
      </c>
      <c r="E15" s="13" t="s">
        <v>123</v>
      </c>
      <c r="F15" s="13" t="s">
        <v>598</v>
      </c>
      <c r="G15" s="13">
        <f t="shared" si="0"/>
        <v>-100</v>
      </c>
      <c r="H15" s="14">
        <v>500000</v>
      </c>
      <c r="I15" s="15">
        <v>2018</v>
      </c>
      <c r="J15" s="13" t="s">
        <v>36</v>
      </c>
      <c r="K15" s="15">
        <f>VLOOKUP(J15,Importance,2,FALSE)</f>
        <v>10</v>
      </c>
      <c r="L15" s="15">
        <v>1</v>
      </c>
      <c r="M15" s="15">
        <f t="shared" si="2"/>
        <v>3</v>
      </c>
      <c r="N15" s="15" t="s">
        <v>33</v>
      </c>
      <c r="O15" s="15">
        <f t="shared" si="3"/>
        <v>1</v>
      </c>
      <c r="P15" s="15" t="s">
        <v>30</v>
      </c>
      <c r="Q15" s="16" t="s">
        <v>29</v>
      </c>
      <c r="R15" s="15">
        <f>VLOOKUP(Master19[[#This Row],[Elevated Priority]],Epriority,2,)</f>
        <v>0</v>
      </c>
      <c r="S15" s="15">
        <f>IF(Master19[[#This Row],[Status]]="Active",Master19[[#This Row],[Status_Score]],IF(C15="","",K15+G15+M15+O15+R15-5))</f>
        <v>-100</v>
      </c>
    </row>
    <row r="16" spans="1:21" ht="105" x14ac:dyDescent="0.25">
      <c r="A16" s="1">
        <v>15</v>
      </c>
      <c r="B16" s="13" t="s">
        <v>87</v>
      </c>
      <c r="C16" s="13" t="s">
        <v>84</v>
      </c>
      <c r="D16" s="13" t="s">
        <v>85</v>
      </c>
      <c r="E16" s="13" t="s">
        <v>86</v>
      </c>
      <c r="F16" s="13" t="s">
        <v>598</v>
      </c>
      <c r="G16" s="13">
        <f t="shared" si="0"/>
        <v>-100</v>
      </c>
      <c r="H16" s="14">
        <v>100000</v>
      </c>
      <c r="I16" s="15">
        <v>2018</v>
      </c>
      <c r="J16" s="13" t="s">
        <v>32</v>
      </c>
      <c r="K16" s="15">
        <f>VLOOKUP(J16,Importance,2,FALSE)</f>
        <v>1</v>
      </c>
      <c r="L16" s="15">
        <v>1</v>
      </c>
      <c r="M16" s="15">
        <f t="shared" si="2"/>
        <v>3</v>
      </c>
      <c r="N16" s="15" t="s">
        <v>33</v>
      </c>
      <c r="O16" s="15">
        <f t="shared" si="3"/>
        <v>1</v>
      </c>
      <c r="P16" s="15" t="s">
        <v>30</v>
      </c>
      <c r="Q16" s="16" t="s">
        <v>29</v>
      </c>
      <c r="R16" s="15">
        <f>VLOOKUP(Master19[[#This Row],[Elevated Priority]],Epriority,2,)</f>
        <v>0</v>
      </c>
      <c r="S16" s="15">
        <f>IF(Master19[[#This Row],[Status]]="Active",Master19[[#This Row],[Status_Score]],IF(C16="","",K16+G16+M16+O16+R16-5))</f>
        <v>-100</v>
      </c>
      <c r="U16" t="s">
        <v>681</v>
      </c>
    </row>
    <row r="17" spans="1:21" ht="195" hidden="1" x14ac:dyDescent="0.25">
      <c r="A17" s="1">
        <v>15</v>
      </c>
      <c r="B17" s="13" t="s">
        <v>73</v>
      </c>
      <c r="C17" s="13" t="s">
        <v>640</v>
      </c>
      <c r="D17" s="13" t="s">
        <v>679</v>
      </c>
      <c r="E17" s="13" t="s">
        <v>83</v>
      </c>
      <c r="F17" s="13" t="s">
        <v>598</v>
      </c>
      <c r="G17" s="13">
        <f t="shared" si="0"/>
        <v>-100</v>
      </c>
      <c r="H17" s="14">
        <v>650000</v>
      </c>
      <c r="I17" s="15">
        <v>2018</v>
      </c>
      <c r="J17" s="13" t="s">
        <v>36</v>
      </c>
      <c r="K17" s="15">
        <f>VLOOKUP(J17,Importance,2,FALSE)</f>
        <v>10</v>
      </c>
      <c r="L17" s="15">
        <v>1</v>
      </c>
      <c r="M17" s="15">
        <f t="shared" si="2"/>
        <v>3</v>
      </c>
      <c r="N17" s="15" t="s">
        <v>33</v>
      </c>
      <c r="O17" s="15">
        <f t="shared" si="3"/>
        <v>1</v>
      </c>
      <c r="P17" s="15" t="s">
        <v>30</v>
      </c>
      <c r="Q17" s="16" t="s">
        <v>29</v>
      </c>
      <c r="R17" s="15">
        <f>VLOOKUP(Master19[[#This Row],[Elevated Priority]],Epriority,2,)</f>
        <v>0</v>
      </c>
      <c r="S17" s="15">
        <f>IF(Master19[[#This Row],[Status]]="Active",Master19[[#This Row],[Status_Score]],IF(C17="","",K17+G17+M17+O17+R17-5))</f>
        <v>-100</v>
      </c>
    </row>
    <row r="18" spans="1:21" ht="45" hidden="1" x14ac:dyDescent="0.25">
      <c r="A18" s="1">
        <v>16</v>
      </c>
      <c r="B18" s="13" t="s">
        <v>646</v>
      </c>
      <c r="C18" s="13" t="s">
        <v>647</v>
      </c>
      <c r="D18" s="13" t="s">
        <v>682</v>
      </c>
      <c r="E18" s="13" t="s">
        <v>683</v>
      </c>
      <c r="F18" s="13" t="s">
        <v>598</v>
      </c>
      <c r="G18" s="13">
        <f t="shared" si="0"/>
        <v>-100</v>
      </c>
      <c r="H18" s="76">
        <v>500000</v>
      </c>
      <c r="I18" s="15">
        <v>2019</v>
      </c>
      <c r="J18" s="13" t="s">
        <v>36</v>
      </c>
      <c r="K18" s="15">
        <f>VLOOKUP(J18,Importance, 2, FALSE)</f>
        <v>10</v>
      </c>
      <c r="L18" s="15">
        <v>1</v>
      </c>
      <c r="M18" s="15">
        <f t="shared" si="2"/>
        <v>3</v>
      </c>
      <c r="N18" s="15" t="s">
        <v>37</v>
      </c>
      <c r="O18" s="15">
        <f t="shared" si="3"/>
        <v>3</v>
      </c>
      <c r="P18" s="15" t="s">
        <v>38</v>
      </c>
      <c r="Q18" s="16"/>
      <c r="R18" s="15" t="e">
        <f>VLOOKUP(Master19[[#This Row],[Elevated Priority]],Epriority,2,)</f>
        <v>#N/A</v>
      </c>
      <c r="S18" s="15">
        <f>IF(Master19[[#This Row],[Status]]="Active",Master19[[#This Row],[Status_Score]],IF(C18="","",K18+G18+M18+O18+R18-5))</f>
        <v>-100</v>
      </c>
      <c r="T18" s="8"/>
      <c r="U18" s="9"/>
    </row>
    <row r="19" spans="1:21" ht="60" hidden="1" x14ac:dyDescent="0.25">
      <c r="A19" s="1">
        <v>17</v>
      </c>
      <c r="B19" s="13" t="s">
        <v>646</v>
      </c>
      <c r="C19" s="13" t="s">
        <v>648</v>
      </c>
      <c r="D19" s="13" t="s">
        <v>675</v>
      </c>
      <c r="E19" s="13" t="s">
        <v>676</v>
      </c>
      <c r="F19" s="13" t="s">
        <v>598</v>
      </c>
      <c r="G19" s="13">
        <f t="shared" si="0"/>
        <v>-100</v>
      </c>
      <c r="H19" s="76">
        <v>250000</v>
      </c>
      <c r="I19" s="15">
        <v>2019</v>
      </c>
      <c r="J19" s="13" t="s">
        <v>44</v>
      </c>
      <c r="K19" s="15" t="e">
        <f>VLOOKUP(J19,Importance, 2, FALSE)</f>
        <v>#N/A</v>
      </c>
      <c r="L19" s="15">
        <v>1</v>
      </c>
      <c r="M19" s="15">
        <f t="shared" si="2"/>
        <v>3</v>
      </c>
      <c r="N19" s="15" t="s">
        <v>37</v>
      </c>
      <c r="O19" s="15">
        <f t="shared" si="3"/>
        <v>3</v>
      </c>
      <c r="P19" s="15" t="s">
        <v>38</v>
      </c>
      <c r="Q19" s="16"/>
      <c r="R19" s="15" t="e">
        <f>VLOOKUP(Master19[[#This Row],[Elevated Priority]],Epriority,2,)</f>
        <v>#N/A</v>
      </c>
      <c r="S19" s="15">
        <f>IF(Master19[[#This Row],[Status]]="Active",Master19[[#This Row],[Status_Score]],IF(C19="","",K19+G19+M19+O19+R19-5))</f>
        <v>-100</v>
      </c>
      <c r="T19" s="8"/>
      <c r="U19" s="9"/>
    </row>
    <row r="20" spans="1:21" ht="90" hidden="1" x14ac:dyDescent="0.25">
      <c r="A20" s="1">
        <v>18</v>
      </c>
      <c r="B20" s="13" t="s">
        <v>61</v>
      </c>
      <c r="C20" s="13" t="s">
        <v>3</v>
      </c>
      <c r="D20" s="13" t="s">
        <v>62</v>
      </c>
      <c r="E20" s="13" t="s">
        <v>63</v>
      </c>
      <c r="F20" s="13" t="s">
        <v>598</v>
      </c>
      <c r="G20" s="13">
        <f t="shared" si="0"/>
        <v>-100</v>
      </c>
      <c r="H20" s="14" t="s">
        <v>64</v>
      </c>
      <c r="I20" s="15">
        <v>2018</v>
      </c>
      <c r="J20" s="13" t="s">
        <v>40</v>
      </c>
      <c r="K20" s="15" t="e">
        <f>VLOOKUP(J20,Importance, 2, FALSE)</f>
        <v>#N/A</v>
      </c>
      <c r="L20" s="15" t="s">
        <v>29</v>
      </c>
      <c r="M20" s="15">
        <f t="shared" si="2"/>
        <v>0</v>
      </c>
      <c r="N20" s="15" t="s">
        <v>37</v>
      </c>
      <c r="O20" s="15">
        <f t="shared" si="3"/>
        <v>3</v>
      </c>
      <c r="P20" s="15" t="s">
        <v>38</v>
      </c>
      <c r="Q20" s="16" t="s">
        <v>29</v>
      </c>
      <c r="R20" s="15">
        <f>VLOOKUP(Master19[[#This Row],[Elevated Priority]],Epriority,2,)</f>
        <v>0</v>
      </c>
      <c r="S20" s="15">
        <f>IF(Master19[[#This Row],[Status]]="Active",Master19[[#This Row],[Status_Score]],IF(C20="","",K20+G20+M20+O20+R20-5))</f>
        <v>-100</v>
      </c>
      <c r="T20" s="10"/>
      <c r="U20" s="9"/>
    </row>
    <row r="21" spans="1:21" ht="30" hidden="1" x14ac:dyDescent="0.25">
      <c r="A21" s="1">
        <v>19</v>
      </c>
      <c r="B21" s="13" t="s">
        <v>72</v>
      </c>
      <c r="C21" s="13" t="s">
        <v>74</v>
      </c>
      <c r="D21" s="13" t="s">
        <v>62</v>
      </c>
      <c r="E21" s="13" t="s">
        <v>75</v>
      </c>
      <c r="F21" s="13" t="s">
        <v>598</v>
      </c>
      <c r="G21" s="13">
        <f t="shared" si="0"/>
        <v>-100</v>
      </c>
      <c r="H21" s="14">
        <v>500000</v>
      </c>
      <c r="I21" s="15">
        <v>2018</v>
      </c>
      <c r="J21" s="13" t="s">
        <v>32</v>
      </c>
      <c r="K21" s="15">
        <f>VLOOKUP(J21,Importance, 2, FALSE)</f>
        <v>1</v>
      </c>
      <c r="L21" s="15">
        <v>1</v>
      </c>
      <c r="M21" s="15">
        <f t="shared" si="2"/>
        <v>3</v>
      </c>
      <c r="N21" s="15" t="s">
        <v>37</v>
      </c>
      <c r="O21" s="15">
        <f t="shared" si="3"/>
        <v>3</v>
      </c>
      <c r="P21" s="15" t="s">
        <v>38</v>
      </c>
      <c r="Q21" s="16" t="s">
        <v>29</v>
      </c>
      <c r="R21" s="15">
        <f>VLOOKUP(Master19[[#This Row],[Elevated Priority]],Epriority,2,)</f>
        <v>0</v>
      </c>
      <c r="S21" s="15">
        <f>IF(Master19[[#This Row],[Status]]="Active",Master19[[#This Row],[Status_Score]],IF(C21="","",K21+G21+M21+O21+R21-5))</f>
        <v>-100</v>
      </c>
    </row>
    <row r="22" spans="1:21" ht="75" hidden="1" x14ac:dyDescent="0.25">
      <c r="A22" s="1">
        <v>20</v>
      </c>
      <c r="B22" s="13" t="s">
        <v>91</v>
      </c>
      <c r="C22" s="13" t="s">
        <v>677</v>
      </c>
      <c r="D22" s="13" t="s">
        <v>678</v>
      </c>
      <c r="E22" s="13" t="s">
        <v>98</v>
      </c>
      <c r="F22" s="13" t="s">
        <v>598</v>
      </c>
      <c r="G22" s="13">
        <f t="shared" si="0"/>
        <v>-100</v>
      </c>
      <c r="H22" s="14">
        <v>350000</v>
      </c>
      <c r="I22" s="15">
        <v>2018</v>
      </c>
      <c r="J22" s="13" t="s">
        <v>32</v>
      </c>
      <c r="K22" s="15">
        <f t="shared" ref="K22:K53" si="4">VLOOKUP(J22,Importance,2,FALSE)</f>
        <v>1</v>
      </c>
      <c r="L22" s="15">
        <v>1</v>
      </c>
      <c r="M22" s="15">
        <f t="shared" si="2"/>
        <v>3</v>
      </c>
      <c r="N22" s="15" t="s">
        <v>37</v>
      </c>
      <c r="O22" s="15">
        <f t="shared" si="3"/>
        <v>3</v>
      </c>
      <c r="P22" s="15" t="s">
        <v>30</v>
      </c>
      <c r="Q22" s="16" t="s">
        <v>29</v>
      </c>
      <c r="R22" s="15">
        <f>VLOOKUP(Master19[[#This Row],[Elevated Priority]],Epriority,2,)</f>
        <v>0</v>
      </c>
      <c r="S22" s="15">
        <f>IF(Master19[[#This Row],[Status]]="Active",Master19[[#This Row],[Status_Score]],IF(C22="","",K22+G22+M22+O22+R22-5))</f>
        <v>-100</v>
      </c>
      <c r="T22" s="12"/>
    </row>
    <row r="23" spans="1:21" ht="300" hidden="1" x14ac:dyDescent="0.25">
      <c r="A23" s="1">
        <v>15</v>
      </c>
      <c r="B23" s="13" t="s">
        <v>152</v>
      </c>
      <c r="C23" s="13" t="s">
        <v>185</v>
      </c>
      <c r="D23" s="13" t="s">
        <v>186</v>
      </c>
      <c r="E23" s="13" t="s">
        <v>187</v>
      </c>
      <c r="F23" s="13" t="s">
        <v>598</v>
      </c>
      <c r="G23" s="13">
        <f t="shared" si="0"/>
        <v>-100</v>
      </c>
      <c r="H23" s="14">
        <v>170000</v>
      </c>
      <c r="I23" s="15">
        <v>2018</v>
      </c>
      <c r="J23" s="13" t="s">
        <v>40</v>
      </c>
      <c r="K23" s="15" t="e">
        <f t="shared" si="4"/>
        <v>#N/A</v>
      </c>
      <c r="L23" s="15">
        <v>1</v>
      </c>
      <c r="M23" s="15">
        <f t="shared" si="2"/>
        <v>3</v>
      </c>
      <c r="N23" s="15" t="s">
        <v>37</v>
      </c>
      <c r="O23" s="15">
        <f t="shared" si="3"/>
        <v>3</v>
      </c>
      <c r="P23" s="15" t="s">
        <v>30</v>
      </c>
      <c r="Q23" s="16" t="s">
        <v>29</v>
      </c>
      <c r="R23" s="15">
        <f>VLOOKUP(Master19[[#This Row],[Elevated Priority]],Epriority,2,)</f>
        <v>0</v>
      </c>
      <c r="S23" s="15">
        <f>IF(Master19[[#This Row],[Status]]="Active",Master19[[#This Row],[Status_Score]],IF(C23="","",K23+G23+M23+O23+R23-5))</f>
        <v>-100</v>
      </c>
    </row>
    <row r="24" spans="1:21" ht="150" hidden="1" x14ac:dyDescent="0.25">
      <c r="A24" s="1">
        <v>15</v>
      </c>
      <c r="B24" s="13" t="s">
        <v>152</v>
      </c>
      <c r="C24" s="13" t="s">
        <v>153</v>
      </c>
      <c r="D24" s="13" t="s">
        <v>154</v>
      </c>
      <c r="E24" s="13" t="s">
        <v>155</v>
      </c>
      <c r="F24" s="13" t="s">
        <v>598</v>
      </c>
      <c r="G24" s="13">
        <f t="shared" si="0"/>
        <v>-100</v>
      </c>
      <c r="H24" s="14">
        <v>28000</v>
      </c>
      <c r="I24" s="15">
        <v>2018</v>
      </c>
      <c r="J24" s="13" t="s">
        <v>36</v>
      </c>
      <c r="K24" s="15">
        <f t="shared" si="4"/>
        <v>10</v>
      </c>
      <c r="L24" s="15">
        <v>1</v>
      </c>
      <c r="M24" s="15">
        <f t="shared" si="2"/>
        <v>3</v>
      </c>
      <c r="N24" s="15" t="s">
        <v>37</v>
      </c>
      <c r="O24" s="15">
        <f t="shared" si="3"/>
        <v>3</v>
      </c>
      <c r="P24" s="15" t="s">
        <v>30</v>
      </c>
      <c r="Q24" s="16" t="s">
        <v>29</v>
      </c>
      <c r="R24" s="15">
        <f>VLOOKUP(Master19[[#This Row],[Elevated Priority]],Epriority,2,)</f>
        <v>0</v>
      </c>
      <c r="S24" s="15">
        <f>IF(Master19[[#This Row],[Status]]="Active",Master19[[#This Row],[Status_Score]],IF(C24="","",K24+G24+M24+O24+R24-5))</f>
        <v>-100</v>
      </c>
    </row>
    <row r="25" spans="1:21" ht="30" hidden="1" x14ac:dyDescent="0.25">
      <c r="A25" s="1">
        <v>15</v>
      </c>
      <c r="B25" s="13" t="s">
        <v>94</v>
      </c>
      <c r="C25" s="13" t="s">
        <v>237</v>
      </c>
      <c r="D25" s="13" t="s">
        <v>238</v>
      </c>
      <c r="E25" s="13" t="s">
        <v>650</v>
      </c>
      <c r="F25" s="13" t="s">
        <v>598</v>
      </c>
      <c r="G25" s="13">
        <f t="shared" si="0"/>
        <v>-100</v>
      </c>
      <c r="H25" s="14">
        <v>150000</v>
      </c>
      <c r="I25" s="15">
        <v>2018</v>
      </c>
      <c r="J25" s="13" t="s">
        <v>40</v>
      </c>
      <c r="K25" s="15" t="e">
        <f t="shared" si="4"/>
        <v>#N/A</v>
      </c>
      <c r="L25" s="15">
        <v>1</v>
      </c>
      <c r="M25" s="15">
        <f t="shared" si="2"/>
        <v>3</v>
      </c>
      <c r="N25" s="15" t="s">
        <v>41</v>
      </c>
      <c r="O25" s="15">
        <f t="shared" si="3"/>
        <v>4</v>
      </c>
      <c r="P25" s="15" t="s">
        <v>30</v>
      </c>
      <c r="Q25" s="16" t="s">
        <v>29</v>
      </c>
      <c r="R25" s="15">
        <f>VLOOKUP(Master19[[#This Row],[Elevated Priority]],Epriority,2,)</f>
        <v>0</v>
      </c>
      <c r="S25" s="15">
        <f>IF(Master19[[#This Row],[Status]]="Active",Master19[[#This Row],[Status_Score]],IF(C25="","",K25+G25+M25+O25+R25-5))</f>
        <v>-100</v>
      </c>
    </row>
    <row r="26" spans="1:21" ht="75" hidden="1" x14ac:dyDescent="0.25">
      <c r="A26" s="1">
        <v>15</v>
      </c>
      <c r="B26" s="13" t="s">
        <v>61</v>
      </c>
      <c r="C26" s="13" t="s">
        <v>498</v>
      </c>
      <c r="D26" s="13" t="s">
        <v>499</v>
      </c>
      <c r="E26" s="13" t="s">
        <v>458</v>
      </c>
      <c r="F26" s="13" t="s">
        <v>598</v>
      </c>
      <c r="G26" s="13">
        <f t="shared" si="0"/>
        <v>-100</v>
      </c>
      <c r="H26" s="14">
        <v>4000000</v>
      </c>
      <c r="I26" s="15">
        <v>2018</v>
      </c>
      <c r="J26" s="13" t="s">
        <v>46</v>
      </c>
      <c r="K26" s="15">
        <f t="shared" si="4"/>
        <v>50</v>
      </c>
      <c r="L26" s="15">
        <v>2</v>
      </c>
      <c r="M26" s="15">
        <f t="shared" si="2"/>
        <v>6</v>
      </c>
      <c r="N26" s="15" t="s">
        <v>41</v>
      </c>
      <c r="O26" s="15">
        <f t="shared" si="3"/>
        <v>4</v>
      </c>
      <c r="P26" s="15" t="s">
        <v>34</v>
      </c>
      <c r="Q26" s="16" t="s">
        <v>29</v>
      </c>
      <c r="R26" s="15">
        <f>VLOOKUP(Master19[[#This Row],[Elevated Priority]],Epriority,2,)</f>
        <v>0</v>
      </c>
      <c r="S26" s="15">
        <f>IF(Master19[[#This Row],[Status]]="Active",Master19[[#This Row],[Status_Score]],IF(C26="","",K26+G26+M26+O26+R26-5))</f>
        <v>-100</v>
      </c>
    </row>
    <row r="27" spans="1:21" ht="75" hidden="1" x14ac:dyDescent="0.25">
      <c r="A27" s="1">
        <v>15</v>
      </c>
      <c r="B27" s="13" t="s">
        <v>61</v>
      </c>
      <c r="C27" s="13" t="s">
        <v>478</v>
      </c>
      <c r="D27" s="13" t="s">
        <v>479</v>
      </c>
      <c r="E27" s="13" t="s">
        <v>480</v>
      </c>
      <c r="F27" s="13" t="s">
        <v>598</v>
      </c>
      <c r="G27" s="13">
        <f t="shared" si="0"/>
        <v>-100</v>
      </c>
      <c r="H27" s="14">
        <v>300000</v>
      </c>
      <c r="I27" s="15">
        <v>2018</v>
      </c>
      <c r="J27" s="13" t="s">
        <v>44</v>
      </c>
      <c r="K27" s="15" t="e">
        <f t="shared" si="4"/>
        <v>#N/A</v>
      </c>
      <c r="L27" s="15">
        <v>4</v>
      </c>
      <c r="M27" s="15">
        <f t="shared" si="2"/>
        <v>12</v>
      </c>
      <c r="N27" s="15" t="s">
        <v>43</v>
      </c>
      <c r="O27" s="15">
        <f t="shared" si="3"/>
        <v>16</v>
      </c>
      <c r="P27" s="15" t="s">
        <v>34</v>
      </c>
      <c r="Q27" s="16" t="s">
        <v>29</v>
      </c>
      <c r="R27" s="15">
        <f>VLOOKUP(Master19[[#This Row],[Elevated Priority]],Epriority,2,)</f>
        <v>0</v>
      </c>
      <c r="S27" s="15">
        <f>IF(Master19[[#This Row],[Status]]="Active",Master19[[#This Row],[Status_Score]],IF(C27="","",K27+G27+M27+O27+R27-5))</f>
        <v>-100</v>
      </c>
    </row>
    <row r="28" spans="1:21" ht="90" hidden="1" x14ac:dyDescent="0.25">
      <c r="A28" s="1">
        <v>15</v>
      </c>
      <c r="B28" s="13" t="s">
        <v>214</v>
      </c>
      <c r="C28" s="13" t="s">
        <v>559</v>
      </c>
      <c r="D28" s="13" t="s">
        <v>560</v>
      </c>
      <c r="E28" s="13" t="s">
        <v>561</v>
      </c>
      <c r="F28" s="13" t="s">
        <v>598</v>
      </c>
      <c r="G28" s="13">
        <f t="shared" si="0"/>
        <v>-100</v>
      </c>
      <c r="H28" s="14">
        <v>28000000</v>
      </c>
      <c r="I28" s="15">
        <v>2018</v>
      </c>
      <c r="J28" s="13" t="s">
        <v>46</v>
      </c>
      <c r="K28" s="15">
        <f t="shared" si="4"/>
        <v>50</v>
      </c>
      <c r="L28" s="15">
        <v>3</v>
      </c>
      <c r="M28" s="15">
        <f t="shared" si="2"/>
        <v>9</v>
      </c>
      <c r="N28" s="15" t="s">
        <v>45</v>
      </c>
      <c r="O28" s="15">
        <f t="shared" si="3"/>
        <v>32</v>
      </c>
      <c r="P28" s="15" t="s">
        <v>34</v>
      </c>
      <c r="Q28" s="16" t="s">
        <v>29</v>
      </c>
      <c r="R28" s="15">
        <f>VLOOKUP(Master19[[#This Row],[Elevated Priority]],Epriority,2,)</f>
        <v>0</v>
      </c>
      <c r="S28" s="15">
        <f>IF(Master19[[#This Row],[Status]]="Active",Master19[[#This Row],[Status_Score]],IF(C28="","",K28+G28+M28+O28+R28-5))</f>
        <v>-100</v>
      </c>
    </row>
    <row r="29" spans="1:21" ht="90" hidden="1" x14ac:dyDescent="0.25">
      <c r="A29" s="1">
        <v>15</v>
      </c>
      <c r="B29" s="13" t="s">
        <v>91</v>
      </c>
      <c r="C29" s="13" t="s">
        <v>194</v>
      </c>
      <c r="D29" s="13" t="s">
        <v>195</v>
      </c>
      <c r="E29" s="13" t="s">
        <v>649</v>
      </c>
      <c r="F29" s="13" t="s">
        <v>598</v>
      </c>
      <c r="G29" s="13">
        <f t="shared" si="0"/>
        <v>-100</v>
      </c>
      <c r="H29" s="14">
        <v>10000</v>
      </c>
      <c r="I29" s="15">
        <v>2018</v>
      </c>
      <c r="J29" s="13" t="s">
        <v>29</v>
      </c>
      <c r="K29" s="15">
        <f t="shared" si="4"/>
        <v>0</v>
      </c>
      <c r="L29" s="15">
        <v>1</v>
      </c>
      <c r="M29" s="15">
        <f t="shared" si="2"/>
        <v>3</v>
      </c>
      <c r="N29" s="15" t="s">
        <v>37</v>
      </c>
      <c r="O29" s="15"/>
      <c r="P29" s="15" t="s">
        <v>30</v>
      </c>
      <c r="Q29" s="16" t="s">
        <v>39</v>
      </c>
      <c r="R29" s="15">
        <f>VLOOKUP(Master19[[#This Row],[Elevated Priority]],Epriority,2,)</f>
        <v>-30</v>
      </c>
      <c r="S29" s="15">
        <f>IF(Master19[[#This Row],[Status]]="Active",Master19[[#This Row],[Status_Score]],IF(C29="","",K29+G29+M29+O29+R29-5))</f>
        <v>-100</v>
      </c>
    </row>
    <row r="30" spans="1:21" ht="45" hidden="1" x14ac:dyDescent="0.25">
      <c r="A30" s="1">
        <v>29</v>
      </c>
      <c r="B30" s="10" t="s">
        <v>684</v>
      </c>
      <c r="C30" s="10" t="s">
        <v>80</v>
      </c>
      <c r="D30" s="10" t="s">
        <v>81</v>
      </c>
      <c r="E30" s="10" t="s">
        <v>82</v>
      </c>
      <c r="F30" s="10" t="s">
        <v>29</v>
      </c>
      <c r="G30" s="10">
        <f t="shared" si="0"/>
        <v>0</v>
      </c>
      <c r="H30" s="11">
        <v>120000</v>
      </c>
      <c r="I30" s="8">
        <v>2018</v>
      </c>
      <c r="J30" s="10" t="s">
        <v>32</v>
      </c>
      <c r="K30" s="8">
        <f t="shared" si="4"/>
        <v>1</v>
      </c>
      <c r="L30" s="8">
        <v>1</v>
      </c>
      <c r="M30" s="8">
        <f t="shared" si="2"/>
        <v>3</v>
      </c>
      <c r="N30" s="8" t="s">
        <v>33</v>
      </c>
      <c r="O30" s="8">
        <f t="shared" ref="O30:O61" si="5">VLOOKUP(N30,Urgency,2,FALSE)</f>
        <v>1</v>
      </c>
      <c r="P30" s="8" t="s">
        <v>30</v>
      </c>
      <c r="Q30" s="17" t="s">
        <v>39</v>
      </c>
      <c r="R30" s="8">
        <f>VLOOKUP(Master19[[#This Row],[Elevated Priority]],Epriority,2,)</f>
        <v>-30</v>
      </c>
      <c r="S30" s="8">
        <f>IF(Master19[[#This Row],[Status]]="Active",Master19[[#This Row],[Status_Score]],IF(C30="","",K30+G30+M30+O30+R30-5))</f>
        <v>-30</v>
      </c>
    </row>
    <row r="31" spans="1:21" ht="30" hidden="1" x14ac:dyDescent="0.25">
      <c r="A31" s="1">
        <v>30</v>
      </c>
      <c r="B31" s="10" t="s">
        <v>70</v>
      </c>
      <c r="C31" s="10" t="s">
        <v>96</v>
      </c>
      <c r="D31" s="10" t="s">
        <v>97</v>
      </c>
      <c r="E31" s="10"/>
      <c r="F31" s="10" t="s">
        <v>29</v>
      </c>
      <c r="G31" s="10">
        <f t="shared" si="0"/>
        <v>0</v>
      </c>
      <c r="H31" s="11">
        <v>5000</v>
      </c>
      <c r="I31" s="8">
        <v>2018</v>
      </c>
      <c r="J31" s="10" t="s">
        <v>32</v>
      </c>
      <c r="K31" s="8">
        <f t="shared" si="4"/>
        <v>1</v>
      </c>
      <c r="L31" s="8">
        <v>1</v>
      </c>
      <c r="M31" s="8">
        <f t="shared" si="2"/>
        <v>3</v>
      </c>
      <c r="N31" s="8" t="s">
        <v>37</v>
      </c>
      <c r="O31" s="8">
        <f t="shared" si="5"/>
        <v>3</v>
      </c>
      <c r="P31" s="8" t="s">
        <v>30</v>
      </c>
      <c r="Q31" s="17" t="s">
        <v>39</v>
      </c>
      <c r="R31" s="8">
        <f>VLOOKUP(Master19[[#This Row],[Elevated Priority]],Epriority,2,)</f>
        <v>-30</v>
      </c>
      <c r="S31" s="8">
        <f>IF(Master19[[#This Row],[Status]]="Active",Master19[[#This Row],[Status_Score]],IF(C31="","",K31+G31+M31+O31+R31-5))</f>
        <v>-28</v>
      </c>
    </row>
    <row r="32" spans="1:21" ht="45" hidden="1" x14ac:dyDescent="0.25">
      <c r="A32" s="1">
        <v>31</v>
      </c>
      <c r="B32" s="10" t="s">
        <v>72</v>
      </c>
      <c r="C32" s="10" t="s">
        <v>110</v>
      </c>
      <c r="D32" s="10" t="s">
        <v>111</v>
      </c>
      <c r="E32" s="10" t="s">
        <v>112</v>
      </c>
      <c r="F32" s="10" t="s">
        <v>29</v>
      </c>
      <c r="G32" s="10">
        <f t="shared" si="0"/>
        <v>0</v>
      </c>
      <c r="H32" s="11">
        <v>90000</v>
      </c>
      <c r="I32" s="8">
        <v>2018</v>
      </c>
      <c r="J32" s="10" t="s">
        <v>32</v>
      </c>
      <c r="K32" s="8">
        <f t="shared" si="4"/>
        <v>1</v>
      </c>
      <c r="L32" s="8">
        <v>2</v>
      </c>
      <c r="M32" s="8">
        <f t="shared" si="2"/>
        <v>6</v>
      </c>
      <c r="N32" s="8" t="s">
        <v>41</v>
      </c>
      <c r="O32" s="8">
        <f t="shared" si="5"/>
        <v>4</v>
      </c>
      <c r="P32" s="8" t="s">
        <v>34</v>
      </c>
      <c r="Q32" s="17" t="s">
        <v>39</v>
      </c>
      <c r="R32" s="8">
        <f>VLOOKUP(Master19[[#This Row],[Elevated Priority]],Epriority,2,)</f>
        <v>-30</v>
      </c>
      <c r="S32" s="8">
        <f>IF(Master19[[#This Row],[Status]]="Active",Master19[[#This Row],[Status_Score]],IF(C32="","",K32+G32+M32+O32+R32-5))</f>
        <v>-24</v>
      </c>
      <c r="U32" t="s">
        <v>652</v>
      </c>
    </row>
    <row r="33" spans="1:21" ht="30" x14ac:dyDescent="0.25">
      <c r="A33" s="1">
        <v>32</v>
      </c>
      <c r="B33" s="10" t="s">
        <v>87</v>
      </c>
      <c r="C33" s="10" t="s">
        <v>88</v>
      </c>
      <c r="D33" s="10" t="s">
        <v>89</v>
      </c>
      <c r="E33" s="10" t="s">
        <v>90</v>
      </c>
      <c r="F33" s="10" t="s">
        <v>29</v>
      </c>
      <c r="G33" s="10">
        <f t="shared" si="0"/>
        <v>0</v>
      </c>
      <c r="H33" s="11"/>
      <c r="I33" s="8">
        <v>2018</v>
      </c>
      <c r="J33" s="10" t="s">
        <v>32</v>
      </c>
      <c r="K33" s="8">
        <f t="shared" si="4"/>
        <v>1</v>
      </c>
      <c r="L33" s="8">
        <v>1</v>
      </c>
      <c r="M33" s="8">
        <f t="shared" si="2"/>
        <v>3</v>
      </c>
      <c r="N33" s="8" t="s">
        <v>33</v>
      </c>
      <c r="O33" s="8">
        <f t="shared" si="5"/>
        <v>1</v>
      </c>
      <c r="P33" s="8" t="s">
        <v>34</v>
      </c>
      <c r="Q33" s="17" t="s">
        <v>29</v>
      </c>
      <c r="R33" s="8">
        <f>VLOOKUP(Master19[[#This Row],[Elevated Priority]],Epriority,2,)</f>
        <v>0</v>
      </c>
      <c r="S33" s="8">
        <f>IF(Master19[[#This Row],[Status]]="Active",Master19[[#This Row],[Status_Score]],IF(C33="","",K33+G33+M33+O33+R33-5))</f>
        <v>0</v>
      </c>
    </row>
    <row r="34" spans="1:21" ht="45" hidden="1" x14ac:dyDescent="0.25">
      <c r="A34" s="1">
        <v>33</v>
      </c>
      <c r="B34" s="10" t="s">
        <v>70</v>
      </c>
      <c r="C34" s="10" t="s">
        <v>76</v>
      </c>
      <c r="D34" s="10" t="s">
        <v>77</v>
      </c>
      <c r="E34" s="10" t="s">
        <v>78</v>
      </c>
      <c r="F34" s="10" t="s">
        <v>29</v>
      </c>
      <c r="G34" s="10">
        <f t="shared" si="0"/>
        <v>0</v>
      </c>
      <c r="H34" s="11">
        <v>4000</v>
      </c>
      <c r="I34" s="8">
        <v>2018</v>
      </c>
      <c r="J34" s="10" t="s">
        <v>32</v>
      </c>
      <c r="K34" s="8">
        <f t="shared" si="4"/>
        <v>1</v>
      </c>
      <c r="L34" s="8">
        <v>1</v>
      </c>
      <c r="M34" s="8">
        <f t="shared" si="2"/>
        <v>3</v>
      </c>
      <c r="N34" s="8" t="s">
        <v>37</v>
      </c>
      <c r="O34" s="8">
        <f t="shared" si="5"/>
        <v>3</v>
      </c>
      <c r="P34" s="8" t="s">
        <v>30</v>
      </c>
      <c r="Q34" s="17" t="s">
        <v>29</v>
      </c>
      <c r="R34" s="8">
        <f>VLOOKUP(Master19[[#This Row],[Elevated Priority]],Epriority,2,)</f>
        <v>0</v>
      </c>
      <c r="S34" s="8">
        <f>IF(Master19[[#This Row],[Status]]="Active",Master19[[#This Row],[Status_Score]],IF(C34="","",K34+G34+M34+O34+R34-5))</f>
        <v>2</v>
      </c>
      <c r="U34" t="s">
        <v>653</v>
      </c>
    </row>
    <row r="35" spans="1:21" ht="30" hidden="1" x14ac:dyDescent="0.25">
      <c r="A35" s="1">
        <v>34</v>
      </c>
      <c r="B35" s="10" t="s">
        <v>94</v>
      </c>
      <c r="C35" s="10" t="s">
        <v>99</v>
      </c>
      <c r="D35" s="10" t="s">
        <v>100</v>
      </c>
      <c r="E35" s="10" t="s">
        <v>101</v>
      </c>
      <c r="F35" s="10" t="s">
        <v>29</v>
      </c>
      <c r="G35" s="10">
        <f t="shared" si="0"/>
        <v>0</v>
      </c>
      <c r="H35" s="11">
        <v>1500000</v>
      </c>
      <c r="I35" s="8">
        <v>2018</v>
      </c>
      <c r="J35" s="10" t="s">
        <v>32</v>
      </c>
      <c r="K35" s="8">
        <f t="shared" si="4"/>
        <v>1</v>
      </c>
      <c r="L35" s="8">
        <v>1</v>
      </c>
      <c r="M35" s="8">
        <f t="shared" si="2"/>
        <v>3</v>
      </c>
      <c r="N35" s="8" t="s">
        <v>37</v>
      </c>
      <c r="O35" s="8">
        <f t="shared" si="5"/>
        <v>3</v>
      </c>
      <c r="P35" s="8" t="s">
        <v>30</v>
      </c>
      <c r="Q35" s="17" t="s">
        <v>29</v>
      </c>
      <c r="R35" s="8">
        <f>VLOOKUP(Master19[[#This Row],[Elevated Priority]],Epriority,2,)</f>
        <v>0</v>
      </c>
      <c r="S35" s="8">
        <f>IF(Master19[[#This Row],[Status]]="Active",Master19[[#This Row],[Status_Score]],IF(C35="","",K35+G35+M35+O35+R35-5))</f>
        <v>2</v>
      </c>
    </row>
    <row r="36" spans="1:21" ht="30" hidden="1" x14ac:dyDescent="0.25">
      <c r="A36" s="1">
        <v>35</v>
      </c>
      <c r="B36" s="10" t="s">
        <v>91</v>
      </c>
      <c r="C36" s="10" t="s">
        <v>92</v>
      </c>
      <c r="D36" s="10" t="s">
        <v>93</v>
      </c>
      <c r="E36" s="10" t="s">
        <v>641</v>
      </c>
      <c r="F36" s="10" t="s">
        <v>29</v>
      </c>
      <c r="G36" s="10">
        <f t="shared" si="0"/>
        <v>0</v>
      </c>
      <c r="H36" s="11">
        <v>250000</v>
      </c>
      <c r="I36" s="8">
        <v>2018</v>
      </c>
      <c r="J36" s="10" t="s">
        <v>32</v>
      </c>
      <c r="K36" s="8">
        <f t="shared" si="4"/>
        <v>1</v>
      </c>
      <c r="L36" s="8">
        <v>2</v>
      </c>
      <c r="M36" s="8">
        <f t="shared" si="2"/>
        <v>6</v>
      </c>
      <c r="N36" s="8" t="s">
        <v>33</v>
      </c>
      <c r="O36" s="8">
        <f t="shared" si="5"/>
        <v>1</v>
      </c>
      <c r="P36" s="8" t="s">
        <v>30</v>
      </c>
      <c r="Q36" s="17" t="s">
        <v>29</v>
      </c>
      <c r="R36" s="8">
        <f>VLOOKUP(Master19[[#This Row],[Elevated Priority]],Epriority,2,)</f>
        <v>0</v>
      </c>
      <c r="S36" s="8">
        <f>IF(Master19[[#This Row],[Status]]="Active",Master19[[#This Row],[Status_Score]],IF(C36="","",K36+G36+M36+O36+R36-5))</f>
        <v>3</v>
      </c>
    </row>
    <row r="37" spans="1:21" ht="60" x14ac:dyDescent="0.25">
      <c r="A37" s="1">
        <v>36</v>
      </c>
      <c r="B37" s="10" t="s">
        <v>87</v>
      </c>
      <c r="C37" s="10" t="s">
        <v>102</v>
      </c>
      <c r="D37" s="10" t="s">
        <v>103</v>
      </c>
      <c r="E37" s="10" t="s">
        <v>104</v>
      </c>
      <c r="F37" s="10" t="s">
        <v>29</v>
      </c>
      <c r="G37" s="10">
        <f t="shared" si="0"/>
        <v>0</v>
      </c>
      <c r="H37" s="11"/>
      <c r="I37" s="8">
        <v>2018</v>
      </c>
      <c r="J37" s="10" t="s">
        <v>32</v>
      </c>
      <c r="K37" s="8">
        <f t="shared" si="4"/>
        <v>1</v>
      </c>
      <c r="L37" s="8">
        <v>2</v>
      </c>
      <c r="M37" s="8">
        <f t="shared" si="2"/>
        <v>6</v>
      </c>
      <c r="N37" s="8" t="s">
        <v>37</v>
      </c>
      <c r="O37" s="8">
        <f t="shared" si="5"/>
        <v>3</v>
      </c>
      <c r="P37" s="8" t="s">
        <v>30</v>
      </c>
      <c r="Q37" s="17" t="s">
        <v>29</v>
      </c>
      <c r="R37" s="8">
        <f>VLOOKUP(Master19[[#This Row],[Elevated Priority]],Epriority,2,)</f>
        <v>0</v>
      </c>
      <c r="S37" s="8">
        <f>IF(Master19[[#This Row],[Status]]="Active",Master19[[#This Row],[Status_Score]],IF(C37="","",K37+G37+M37+O37+R37-5))</f>
        <v>5</v>
      </c>
    </row>
    <row r="38" spans="1:21" ht="60" x14ac:dyDescent="0.25">
      <c r="A38" s="1">
        <v>37</v>
      </c>
      <c r="B38" s="10" t="s">
        <v>87</v>
      </c>
      <c r="C38" s="10" t="s">
        <v>105</v>
      </c>
      <c r="D38" s="10" t="s">
        <v>106</v>
      </c>
      <c r="E38" s="10"/>
      <c r="F38" s="10" t="s">
        <v>29</v>
      </c>
      <c r="G38" s="10">
        <f t="shared" si="0"/>
        <v>0</v>
      </c>
      <c r="H38" s="11">
        <v>20000</v>
      </c>
      <c r="I38" s="8">
        <v>2018</v>
      </c>
      <c r="J38" s="10" t="s">
        <v>32</v>
      </c>
      <c r="K38" s="8">
        <f t="shared" si="4"/>
        <v>1</v>
      </c>
      <c r="L38" s="8">
        <v>2</v>
      </c>
      <c r="M38" s="8">
        <f t="shared" si="2"/>
        <v>6</v>
      </c>
      <c r="N38" s="8" t="s">
        <v>37</v>
      </c>
      <c r="O38" s="8">
        <f t="shared" si="5"/>
        <v>3</v>
      </c>
      <c r="P38" s="8" t="s">
        <v>30</v>
      </c>
      <c r="Q38" s="17" t="s">
        <v>29</v>
      </c>
      <c r="R38" s="8">
        <f>VLOOKUP(Master19[[#This Row],[Elevated Priority]],Epriority,2,)</f>
        <v>0</v>
      </c>
      <c r="S38" s="8">
        <f>IF(Master19[[#This Row],[Status]]="Active",Master19[[#This Row],[Status_Score]],IF(C38="","",K38+G38+M38+O38+R38-5))</f>
        <v>5</v>
      </c>
    </row>
    <row r="39" spans="1:21" ht="45" hidden="1" x14ac:dyDescent="0.25">
      <c r="A39" s="1">
        <v>38</v>
      </c>
      <c r="B39" s="10" t="s">
        <v>61</v>
      </c>
      <c r="C39" s="10" t="s">
        <v>119</v>
      </c>
      <c r="D39" s="10" t="s">
        <v>120</v>
      </c>
      <c r="E39" s="10" t="s">
        <v>121</v>
      </c>
      <c r="F39" s="10" t="s">
        <v>29</v>
      </c>
      <c r="G39" s="10">
        <f t="shared" si="0"/>
        <v>0</v>
      </c>
      <c r="H39" s="11">
        <v>125000</v>
      </c>
      <c r="I39" s="8">
        <v>2018</v>
      </c>
      <c r="J39" s="10" t="s">
        <v>36</v>
      </c>
      <c r="K39" s="8">
        <f t="shared" si="4"/>
        <v>10</v>
      </c>
      <c r="L39" s="8">
        <v>1</v>
      </c>
      <c r="M39" s="8">
        <f t="shared" si="2"/>
        <v>3</v>
      </c>
      <c r="N39" s="8" t="s">
        <v>33</v>
      </c>
      <c r="O39" s="8">
        <f t="shared" si="5"/>
        <v>1</v>
      </c>
      <c r="P39" s="8" t="s">
        <v>30</v>
      </c>
      <c r="Q39" s="17" t="s">
        <v>29</v>
      </c>
      <c r="R39" s="8">
        <f>VLOOKUP(Master19[[#This Row],[Elevated Priority]],Epriority,2,)</f>
        <v>0</v>
      </c>
      <c r="S39" s="8">
        <f>IF(Master19[[#This Row],[Status]]="Active",Master19[[#This Row],[Status_Score]],IF(C39="","",K39+G39+M39+O39+R39-5))</f>
        <v>9</v>
      </c>
    </row>
    <row r="40" spans="1:21" ht="45" hidden="1" x14ac:dyDescent="0.25">
      <c r="A40" s="1">
        <v>39</v>
      </c>
      <c r="B40" s="10" t="s">
        <v>70</v>
      </c>
      <c r="C40" s="10" t="s">
        <v>122</v>
      </c>
      <c r="D40" s="10" t="s">
        <v>132</v>
      </c>
      <c r="E40" s="10" t="s">
        <v>133</v>
      </c>
      <c r="F40" s="10" t="s">
        <v>29</v>
      </c>
      <c r="G40" s="10">
        <f t="shared" si="0"/>
        <v>0</v>
      </c>
      <c r="H40" s="11">
        <v>250000</v>
      </c>
      <c r="I40" s="8">
        <v>2018</v>
      </c>
      <c r="J40" s="10" t="s">
        <v>36</v>
      </c>
      <c r="K40" s="8">
        <f t="shared" si="4"/>
        <v>10</v>
      </c>
      <c r="L40" s="8">
        <v>1</v>
      </c>
      <c r="M40" s="8">
        <f t="shared" si="2"/>
        <v>3</v>
      </c>
      <c r="N40" s="8" t="s">
        <v>33</v>
      </c>
      <c r="O40" s="8">
        <f t="shared" si="5"/>
        <v>1</v>
      </c>
      <c r="P40" s="8" t="s">
        <v>30</v>
      </c>
      <c r="Q40" s="17" t="s">
        <v>29</v>
      </c>
      <c r="R40" s="8">
        <f>VLOOKUP(Master19[[#This Row],[Elevated Priority]],Epriority,2,)</f>
        <v>0</v>
      </c>
      <c r="S40" s="8">
        <f>IF(Master19[[#This Row],[Status]]="Active",Master19[[#This Row],[Status_Score]],IF(C40="","",K40+G40+M40+O40+R40-5))</f>
        <v>9</v>
      </c>
    </row>
    <row r="41" spans="1:21" ht="30" hidden="1" x14ac:dyDescent="0.25">
      <c r="A41" s="1">
        <v>40</v>
      </c>
      <c r="B41" s="10" t="s">
        <v>61</v>
      </c>
      <c r="C41" s="10" t="s">
        <v>642</v>
      </c>
      <c r="D41" s="10" t="s">
        <v>643</v>
      </c>
      <c r="E41" s="10" t="s">
        <v>644</v>
      </c>
      <c r="F41" s="10" t="s">
        <v>29</v>
      </c>
      <c r="G41" s="10">
        <f t="shared" si="0"/>
        <v>0</v>
      </c>
      <c r="H41" s="11">
        <v>600000</v>
      </c>
      <c r="I41" s="8">
        <v>2018</v>
      </c>
      <c r="J41" s="10" t="s">
        <v>36</v>
      </c>
      <c r="K41" s="8">
        <f t="shared" si="4"/>
        <v>10</v>
      </c>
      <c r="L41" s="8">
        <v>1</v>
      </c>
      <c r="M41" s="8">
        <f t="shared" si="2"/>
        <v>3</v>
      </c>
      <c r="N41" s="8" t="s">
        <v>33</v>
      </c>
      <c r="O41" s="8">
        <f t="shared" si="5"/>
        <v>1</v>
      </c>
      <c r="P41" s="8" t="s">
        <v>30</v>
      </c>
      <c r="Q41" s="8" t="s">
        <v>29</v>
      </c>
      <c r="R41" s="8">
        <f>VLOOKUP(Master19[[#This Row],[Elevated Priority]],Epriority,2,)</f>
        <v>0</v>
      </c>
      <c r="S41" s="8">
        <f>IF(Master19[[#This Row],[Status]]="Active",Master19[[#This Row],[Status_Score]],IF(C41="","",K41+G41+M41+O41+R41-5))</f>
        <v>9</v>
      </c>
    </row>
    <row r="42" spans="1:21" ht="30" x14ac:dyDescent="0.25">
      <c r="A42" s="1">
        <v>41</v>
      </c>
      <c r="B42" s="10" t="s">
        <v>87</v>
      </c>
      <c r="C42" s="10" t="s">
        <v>124</v>
      </c>
      <c r="D42" s="10" t="s">
        <v>125</v>
      </c>
      <c r="E42" s="10"/>
      <c r="F42" s="10" t="s">
        <v>29</v>
      </c>
      <c r="G42" s="10">
        <f t="shared" si="0"/>
        <v>0</v>
      </c>
      <c r="H42" s="11">
        <v>4000</v>
      </c>
      <c r="I42" s="8">
        <v>2018</v>
      </c>
      <c r="J42" s="10" t="s">
        <v>36</v>
      </c>
      <c r="K42" s="8">
        <f t="shared" si="4"/>
        <v>10</v>
      </c>
      <c r="L42" s="8">
        <v>1</v>
      </c>
      <c r="M42" s="8">
        <f t="shared" si="2"/>
        <v>3</v>
      </c>
      <c r="N42" s="8" t="s">
        <v>33</v>
      </c>
      <c r="O42" s="8">
        <f t="shared" si="5"/>
        <v>1</v>
      </c>
      <c r="P42" s="8" t="s">
        <v>30</v>
      </c>
      <c r="Q42" s="17" t="s">
        <v>29</v>
      </c>
      <c r="R42" s="8">
        <f>VLOOKUP(Master19[[#This Row],[Elevated Priority]],Epriority,2,)</f>
        <v>0</v>
      </c>
      <c r="S42" s="8">
        <f>IF(Master19[[#This Row],[Status]]="Active",Master19[[#This Row],[Status_Score]],IF(C42="","",K42+G42+M42+O42+R42-5))</f>
        <v>9</v>
      </c>
    </row>
    <row r="43" spans="1:21" ht="30" hidden="1" x14ac:dyDescent="0.25">
      <c r="A43" s="1">
        <v>42</v>
      </c>
      <c r="B43" s="10" t="s">
        <v>94</v>
      </c>
      <c r="C43" s="10" t="s">
        <v>134</v>
      </c>
      <c r="D43" s="10" t="s">
        <v>135</v>
      </c>
      <c r="E43" s="10" t="s">
        <v>101</v>
      </c>
      <c r="F43" s="10" t="s">
        <v>29</v>
      </c>
      <c r="G43" s="10">
        <f t="shared" si="0"/>
        <v>0</v>
      </c>
      <c r="H43" s="11">
        <v>1500000</v>
      </c>
      <c r="I43" s="8">
        <v>2018</v>
      </c>
      <c r="J43" s="10" t="s">
        <v>36</v>
      </c>
      <c r="K43" s="8">
        <f t="shared" si="4"/>
        <v>10</v>
      </c>
      <c r="L43" s="8">
        <v>1</v>
      </c>
      <c r="M43" s="8">
        <f t="shared" si="2"/>
        <v>3</v>
      </c>
      <c r="N43" s="8" t="s">
        <v>33</v>
      </c>
      <c r="O43" s="8">
        <f t="shared" si="5"/>
        <v>1</v>
      </c>
      <c r="P43" s="8" t="s">
        <v>30</v>
      </c>
      <c r="Q43" s="17" t="s">
        <v>29</v>
      </c>
      <c r="R43" s="8">
        <f>VLOOKUP(Master19[[#This Row],[Elevated Priority]],Epriority,2,)</f>
        <v>0</v>
      </c>
      <c r="S43" s="8">
        <f>IF(Master19[[#This Row],[Status]]="Active",Master19[[#This Row],[Status_Score]],IF(C43="","",K43+G43+M43+O43+R43-5))</f>
        <v>9</v>
      </c>
    </row>
    <row r="44" spans="1:21" ht="30" hidden="1" x14ac:dyDescent="0.25">
      <c r="A44" s="1">
        <v>43</v>
      </c>
      <c r="B44" s="10" t="s">
        <v>94</v>
      </c>
      <c r="C44" s="10" t="s">
        <v>136</v>
      </c>
      <c r="D44" s="10" t="s">
        <v>137</v>
      </c>
      <c r="E44" s="10" t="s">
        <v>138</v>
      </c>
      <c r="F44" s="10" t="s">
        <v>29</v>
      </c>
      <c r="G44" s="10">
        <f t="shared" si="0"/>
        <v>0</v>
      </c>
      <c r="H44" s="11">
        <v>1500000</v>
      </c>
      <c r="I44" s="8">
        <v>2018</v>
      </c>
      <c r="J44" s="10" t="s">
        <v>36</v>
      </c>
      <c r="K44" s="8">
        <f t="shared" si="4"/>
        <v>10</v>
      </c>
      <c r="L44" s="8">
        <v>1</v>
      </c>
      <c r="M44" s="8">
        <f t="shared" si="2"/>
        <v>3</v>
      </c>
      <c r="N44" s="8" t="s">
        <v>33</v>
      </c>
      <c r="O44" s="8">
        <f t="shared" si="5"/>
        <v>1</v>
      </c>
      <c r="P44" s="8" t="s">
        <v>30</v>
      </c>
      <c r="Q44" s="17" t="s">
        <v>29</v>
      </c>
      <c r="R44" s="8">
        <f>VLOOKUP(Master19[[#This Row],[Elevated Priority]],Epriority,2,)</f>
        <v>0</v>
      </c>
      <c r="S44" s="8">
        <f>IF(Master19[[#This Row],[Status]]="Active",Master19[[#This Row],[Status_Score]],IF(C44="","",K44+G44+M44+O44+R44-5))</f>
        <v>9</v>
      </c>
    </row>
    <row r="45" spans="1:21" ht="30" hidden="1" x14ac:dyDescent="0.25">
      <c r="A45" s="1">
        <v>44</v>
      </c>
      <c r="B45" s="10" t="s">
        <v>94</v>
      </c>
      <c r="C45" s="10" t="s">
        <v>139</v>
      </c>
      <c r="D45" s="10" t="s">
        <v>137</v>
      </c>
      <c r="E45" s="10" t="s">
        <v>138</v>
      </c>
      <c r="F45" s="10" t="s">
        <v>29</v>
      </c>
      <c r="G45" s="10">
        <f t="shared" si="0"/>
        <v>0</v>
      </c>
      <c r="H45" s="11">
        <v>35000</v>
      </c>
      <c r="I45" s="8">
        <v>2018</v>
      </c>
      <c r="J45" s="10" t="s">
        <v>140</v>
      </c>
      <c r="K45" s="8">
        <f t="shared" si="4"/>
        <v>10</v>
      </c>
      <c r="L45" s="8">
        <v>1</v>
      </c>
      <c r="M45" s="8">
        <f t="shared" si="2"/>
        <v>3</v>
      </c>
      <c r="N45" s="8" t="s">
        <v>33</v>
      </c>
      <c r="O45" s="8">
        <f t="shared" si="5"/>
        <v>1</v>
      </c>
      <c r="P45" s="8" t="s">
        <v>30</v>
      </c>
      <c r="Q45" s="17" t="s">
        <v>29</v>
      </c>
      <c r="R45" s="8">
        <f>VLOOKUP(Master19[[#This Row],[Elevated Priority]],Epriority,2,)</f>
        <v>0</v>
      </c>
      <c r="S45" s="8">
        <f>IF(Master19[[#This Row],[Status]]="Active",Master19[[#This Row],[Status_Score]],IF(C45="","",K45+G45+M45+O45+R45-5))</f>
        <v>9</v>
      </c>
    </row>
    <row r="46" spans="1:21" ht="30" hidden="1" x14ac:dyDescent="0.25">
      <c r="A46" s="1">
        <v>45</v>
      </c>
      <c r="B46" s="10" t="s">
        <v>79</v>
      </c>
      <c r="C46" s="10" t="s">
        <v>113</v>
      </c>
      <c r="D46" s="10" t="s">
        <v>114</v>
      </c>
      <c r="E46" s="10" t="s">
        <v>115</v>
      </c>
      <c r="F46" s="10" t="s">
        <v>29</v>
      </c>
      <c r="G46" s="10">
        <f t="shared" si="0"/>
        <v>0</v>
      </c>
      <c r="H46" s="11">
        <v>25000</v>
      </c>
      <c r="I46" s="8">
        <v>2018</v>
      </c>
      <c r="J46" s="10" t="s">
        <v>32</v>
      </c>
      <c r="K46" s="8">
        <f t="shared" si="4"/>
        <v>1</v>
      </c>
      <c r="L46" s="8">
        <v>2</v>
      </c>
      <c r="M46" s="8">
        <f t="shared" si="2"/>
        <v>6</v>
      </c>
      <c r="N46" s="8" t="s">
        <v>41</v>
      </c>
      <c r="O46" s="8">
        <f t="shared" si="5"/>
        <v>4</v>
      </c>
      <c r="P46" s="8" t="s">
        <v>30</v>
      </c>
      <c r="Q46" s="17" t="s">
        <v>29</v>
      </c>
      <c r="R46" s="8">
        <f>VLOOKUP(Master19[[#This Row],[Elevated Priority]],Epriority,2,)</f>
        <v>0</v>
      </c>
      <c r="S46" s="8">
        <f>IF(Master19[[#This Row],[Status]]="Active",Master19[[#This Row],[Status_Score]],IF(C46="","",K46+G46+M46+O46+R46-5))</f>
        <v>6</v>
      </c>
    </row>
    <row r="47" spans="1:21" ht="75" hidden="1" x14ac:dyDescent="0.25">
      <c r="A47" s="1">
        <v>46</v>
      </c>
      <c r="B47" s="10" t="s">
        <v>61</v>
      </c>
      <c r="C47" s="10" t="s">
        <v>116</v>
      </c>
      <c r="D47" s="10" t="s">
        <v>117</v>
      </c>
      <c r="E47" s="10" t="s">
        <v>118</v>
      </c>
      <c r="F47" s="10" t="s">
        <v>29</v>
      </c>
      <c r="G47" s="10">
        <f t="shared" si="0"/>
        <v>0</v>
      </c>
      <c r="H47" s="11">
        <v>750000</v>
      </c>
      <c r="I47" s="8">
        <v>2018</v>
      </c>
      <c r="J47" s="10" t="s">
        <v>32</v>
      </c>
      <c r="K47" s="8">
        <f t="shared" si="4"/>
        <v>1</v>
      </c>
      <c r="L47" s="8">
        <v>2</v>
      </c>
      <c r="M47" s="8">
        <f t="shared" si="2"/>
        <v>6</v>
      </c>
      <c r="N47" s="8" t="s">
        <v>41</v>
      </c>
      <c r="O47" s="8">
        <f t="shared" si="5"/>
        <v>4</v>
      </c>
      <c r="P47" s="8" t="s">
        <v>30</v>
      </c>
      <c r="Q47" s="17" t="s">
        <v>29</v>
      </c>
      <c r="R47" s="8">
        <f>VLOOKUP(Master19[[#This Row],[Elevated Priority]],Epriority,2,)</f>
        <v>0</v>
      </c>
      <c r="S47" s="8">
        <f>IF(Master19[[#This Row],[Status]]="Active",Master19[[#This Row],[Status_Score]],IF(C47="","",K47+G47+M47+O47+R47-5))</f>
        <v>6</v>
      </c>
    </row>
    <row r="48" spans="1:21" ht="30" x14ac:dyDescent="0.25">
      <c r="A48" s="1">
        <v>47</v>
      </c>
      <c r="B48" s="10" t="s">
        <v>87</v>
      </c>
      <c r="C48" s="10" t="s">
        <v>126</v>
      </c>
      <c r="D48" s="10" t="s">
        <v>127</v>
      </c>
      <c r="E48" s="10" t="s">
        <v>128</v>
      </c>
      <c r="F48" s="10" t="s">
        <v>29</v>
      </c>
      <c r="G48" s="10">
        <f t="shared" si="0"/>
        <v>0</v>
      </c>
      <c r="H48" s="11">
        <v>100000</v>
      </c>
      <c r="I48" s="8">
        <v>2018</v>
      </c>
      <c r="J48" s="10" t="s">
        <v>32</v>
      </c>
      <c r="K48" s="8">
        <f t="shared" si="4"/>
        <v>1</v>
      </c>
      <c r="L48" s="8">
        <v>2</v>
      </c>
      <c r="M48" s="8">
        <f t="shared" si="2"/>
        <v>6</v>
      </c>
      <c r="N48" s="8" t="s">
        <v>41</v>
      </c>
      <c r="O48" s="8">
        <f t="shared" si="5"/>
        <v>4</v>
      </c>
      <c r="P48" s="8" t="s">
        <v>34</v>
      </c>
      <c r="Q48" s="17" t="s">
        <v>29</v>
      </c>
      <c r="R48" s="8">
        <f>VLOOKUP(Master19[[#This Row],[Elevated Priority]],Epriority,2,)</f>
        <v>0</v>
      </c>
      <c r="S48" s="8">
        <f>IF(Master19[[#This Row],[Status]]="Active",Master19[[#This Row],[Status_Score]],IF(C48="","",K48+G48+M48+O48+R48-5))</f>
        <v>6</v>
      </c>
    </row>
    <row r="49" spans="1:20" ht="30" x14ac:dyDescent="0.25">
      <c r="A49" s="1">
        <v>48</v>
      </c>
      <c r="B49" s="10" t="s">
        <v>87</v>
      </c>
      <c r="C49" s="10" t="s">
        <v>129</v>
      </c>
      <c r="D49" s="10" t="s">
        <v>130</v>
      </c>
      <c r="E49" s="10" t="s">
        <v>131</v>
      </c>
      <c r="F49" s="10" t="s">
        <v>29</v>
      </c>
      <c r="G49" s="10">
        <f t="shared" si="0"/>
        <v>0</v>
      </c>
      <c r="H49" s="11">
        <v>30000</v>
      </c>
      <c r="I49" s="8">
        <v>2018</v>
      </c>
      <c r="J49" s="10" t="s">
        <v>32</v>
      </c>
      <c r="K49" s="8">
        <f t="shared" si="4"/>
        <v>1</v>
      </c>
      <c r="L49" s="8">
        <v>2</v>
      </c>
      <c r="M49" s="8">
        <f t="shared" si="2"/>
        <v>6</v>
      </c>
      <c r="N49" s="8" t="s">
        <v>41</v>
      </c>
      <c r="O49" s="8">
        <f t="shared" si="5"/>
        <v>4</v>
      </c>
      <c r="P49" s="8" t="s">
        <v>30</v>
      </c>
      <c r="Q49" s="17" t="s">
        <v>29</v>
      </c>
      <c r="R49" s="8">
        <f>VLOOKUP(Master19[[#This Row],[Elevated Priority]],Epriority,2,)</f>
        <v>0</v>
      </c>
      <c r="S49" s="8">
        <f>IF(Master19[[#This Row],[Status]]="Active",Master19[[#This Row],[Status_Score]],IF(C49="","",K49+G49+M49+O49+R49-5))</f>
        <v>6</v>
      </c>
    </row>
    <row r="50" spans="1:20" ht="30" hidden="1" x14ac:dyDescent="0.25">
      <c r="A50" s="1">
        <v>49</v>
      </c>
      <c r="B50" s="10" t="s">
        <v>67</v>
      </c>
      <c r="C50" s="10" t="s">
        <v>425</v>
      </c>
      <c r="D50" s="10" t="s">
        <v>426</v>
      </c>
      <c r="E50" s="10" t="s">
        <v>427</v>
      </c>
      <c r="F50" s="10" t="s">
        <v>29</v>
      </c>
      <c r="G50" s="10">
        <f t="shared" si="0"/>
        <v>0</v>
      </c>
      <c r="H50" s="11">
        <v>275000</v>
      </c>
      <c r="I50" s="8">
        <v>2018</v>
      </c>
      <c r="J50" s="10" t="s">
        <v>36</v>
      </c>
      <c r="K50" s="8">
        <f t="shared" si="4"/>
        <v>10</v>
      </c>
      <c r="L50" s="8">
        <v>2</v>
      </c>
      <c r="M50" s="8">
        <f t="shared" si="2"/>
        <v>6</v>
      </c>
      <c r="N50" s="8" t="s">
        <v>29</v>
      </c>
      <c r="O50" s="8">
        <f t="shared" si="5"/>
        <v>0</v>
      </c>
      <c r="P50" s="8" t="s">
        <v>30</v>
      </c>
      <c r="Q50" s="17" t="s">
        <v>29</v>
      </c>
      <c r="R50" s="8">
        <f>VLOOKUP(Master19[[#This Row],[Elevated Priority]],Epriority,2,)</f>
        <v>0</v>
      </c>
      <c r="S50" s="8">
        <f>IF(Master19[[#This Row],[Status]]="Active",Master19[[#This Row],[Status_Score]],IF(C50="","",K50+G50+M50+O50+R50-5))</f>
        <v>11</v>
      </c>
    </row>
    <row r="51" spans="1:20" ht="120" hidden="1" x14ac:dyDescent="0.25">
      <c r="A51" s="1">
        <v>50</v>
      </c>
      <c r="B51" s="10" t="s">
        <v>70</v>
      </c>
      <c r="C51" s="10" t="s">
        <v>141</v>
      </c>
      <c r="D51" s="10" t="s">
        <v>142</v>
      </c>
      <c r="E51" s="10"/>
      <c r="F51" s="10" t="s">
        <v>29</v>
      </c>
      <c r="G51" s="10">
        <f t="shared" si="0"/>
        <v>0</v>
      </c>
      <c r="H51" s="11">
        <v>100000</v>
      </c>
      <c r="I51" s="8">
        <v>2018</v>
      </c>
      <c r="J51" s="10" t="s">
        <v>36</v>
      </c>
      <c r="K51" s="8">
        <f t="shared" si="4"/>
        <v>10</v>
      </c>
      <c r="L51" s="8">
        <v>1</v>
      </c>
      <c r="M51" s="8">
        <f t="shared" si="2"/>
        <v>3</v>
      </c>
      <c r="N51" s="8" t="s">
        <v>37</v>
      </c>
      <c r="O51" s="8">
        <f t="shared" si="5"/>
        <v>3</v>
      </c>
      <c r="P51" s="8" t="s">
        <v>30</v>
      </c>
      <c r="Q51" s="17" t="s">
        <v>29</v>
      </c>
      <c r="R51" s="8">
        <f>VLOOKUP(Master19[[#This Row],[Elevated Priority]],Epriority,2,)</f>
        <v>0</v>
      </c>
      <c r="S51" s="8">
        <f>IF(Master19[[#This Row],[Status]]="Active",Master19[[#This Row],[Status_Score]],IF(C51="","",K51+G51+M51+O51+R51-5))</f>
        <v>11</v>
      </c>
    </row>
    <row r="52" spans="1:20" ht="30" x14ac:dyDescent="0.25">
      <c r="A52" s="1">
        <v>51</v>
      </c>
      <c r="B52" s="10" t="s">
        <v>87</v>
      </c>
      <c r="C52" s="10" t="s">
        <v>149</v>
      </c>
      <c r="D52" s="10" t="s">
        <v>150</v>
      </c>
      <c r="E52" s="10" t="s">
        <v>151</v>
      </c>
      <c r="F52" s="10" t="s">
        <v>29</v>
      </c>
      <c r="G52" s="10">
        <f t="shared" si="0"/>
        <v>0</v>
      </c>
      <c r="H52" s="11">
        <v>30000</v>
      </c>
      <c r="I52" s="8">
        <v>2018</v>
      </c>
      <c r="J52" s="10" t="s">
        <v>36</v>
      </c>
      <c r="K52" s="8">
        <f t="shared" si="4"/>
        <v>10</v>
      </c>
      <c r="L52" s="8">
        <v>1</v>
      </c>
      <c r="M52" s="8">
        <f t="shared" si="2"/>
        <v>3</v>
      </c>
      <c r="N52" s="8" t="s">
        <v>37</v>
      </c>
      <c r="O52" s="8">
        <f t="shared" si="5"/>
        <v>3</v>
      </c>
      <c r="P52" s="8" t="s">
        <v>30</v>
      </c>
      <c r="Q52" s="17" t="s">
        <v>29</v>
      </c>
      <c r="R52" s="8">
        <f>VLOOKUP(Master19[[#This Row],[Elevated Priority]],Epriority,2,)</f>
        <v>0</v>
      </c>
      <c r="S52" s="8">
        <f>IF(Master19[[#This Row],[Status]]="Active",Master19[[#This Row],[Status_Score]],IF(C52="","",K52+G52+M52+O52+R52-5))</f>
        <v>11</v>
      </c>
    </row>
    <row r="53" spans="1:20" ht="30" hidden="1" x14ac:dyDescent="0.25">
      <c r="A53" s="1">
        <v>52</v>
      </c>
      <c r="B53" s="10" t="s">
        <v>72</v>
      </c>
      <c r="C53" s="10" t="s">
        <v>156</v>
      </c>
      <c r="D53" s="10" t="s">
        <v>157</v>
      </c>
      <c r="E53" s="10" t="s">
        <v>158</v>
      </c>
      <c r="F53" s="10" t="s">
        <v>29</v>
      </c>
      <c r="G53" s="10">
        <f t="shared" si="0"/>
        <v>0</v>
      </c>
      <c r="H53" s="11">
        <v>300000</v>
      </c>
      <c r="I53" s="8">
        <v>2018</v>
      </c>
      <c r="J53" s="10" t="s">
        <v>32</v>
      </c>
      <c r="K53" s="8">
        <f t="shared" si="4"/>
        <v>1</v>
      </c>
      <c r="L53" s="8">
        <v>3</v>
      </c>
      <c r="M53" s="8">
        <f t="shared" si="2"/>
        <v>9</v>
      </c>
      <c r="N53" s="8" t="s">
        <v>41</v>
      </c>
      <c r="O53" s="8">
        <f t="shared" si="5"/>
        <v>4</v>
      </c>
      <c r="P53" s="8" t="s">
        <v>34</v>
      </c>
      <c r="Q53" s="17" t="s">
        <v>29</v>
      </c>
      <c r="R53" s="8">
        <f>VLOOKUP(Master19[[#This Row],[Elevated Priority]],Epriority,2,)</f>
        <v>0</v>
      </c>
      <c r="S53" s="8">
        <f>IF(Master19[[#This Row],[Status]]="Active",Master19[[#This Row],[Status_Score]],IF(C53="","",K53+G53+M53+O53+R53-5))</f>
        <v>9</v>
      </c>
    </row>
    <row r="54" spans="1:20" ht="120" hidden="1" x14ac:dyDescent="0.25">
      <c r="A54" s="1">
        <v>53</v>
      </c>
      <c r="B54" s="74" t="s">
        <v>61</v>
      </c>
      <c r="C54" s="74" t="s">
        <v>629</v>
      </c>
      <c r="D54" s="74" t="s">
        <v>630</v>
      </c>
      <c r="E54" s="75" t="s">
        <v>631</v>
      </c>
      <c r="F54" s="10" t="s">
        <v>29</v>
      </c>
      <c r="G54" s="10">
        <f t="shared" si="0"/>
        <v>0</v>
      </c>
      <c r="H54" s="11">
        <v>750000</v>
      </c>
      <c r="I54" s="8">
        <v>2019</v>
      </c>
      <c r="J54" s="10" t="s">
        <v>36</v>
      </c>
      <c r="K54" s="8">
        <f t="shared" ref="K54:K85" si="6">VLOOKUP(J54,Importance,2,FALSE)</f>
        <v>10</v>
      </c>
      <c r="L54" s="8">
        <v>2</v>
      </c>
      <c r="M54" s="8">
        <f t="shared" si="2"/>
        <v>6</v>
      </c>
      <c r="N54" s="8" t="s">
        <v>37</v>
      </c>
      <c r="O54" s="8">
        <f t="shared" si="5"/>
        <v>3</v>
      </c>
      <c r="P54" s="8" t="s">
        <v>34</v>
      </c>
      <c r="Q54" s="8" t="s">
        <v>29</v>
      </c>
      <c r="R54" s="8">
        <f>VLOOKUP(Master19[[#This Row],[Elevated Priority]],Epriority,2,)</f>
        <v>0</v>
      </c>
      <c r="S54" s="8">
        <f>IF(Master19[[#This Row],[Status]]="Active",Master19[[#This Row],[Status_Score]],IF(C54="","",K54+G54+M54+O54+R54-5))</f>
        <v>14</v>
      </c>
      <c r="T54" s="65"/>
    </row>
    <row r="55" spans="1:20" ht="45" hidden="1" x14ac:dyDescent="0.25">
      <c r="A55" s="1">
        <v>54</v>
      </c>
      <c r="B55" s="10" t="s">
        <v>70</v>
      </c>
      <c r="C55" s="10" t="s">
        <v>228</v>
      </c>
      <c r="D55" s="10" t="s">
        <v>229</v>
      </c>
      <c r="E55" s="10"/>
      <c r="F55" s="10" t="s">
        <v>29</v>
      </c>
      <c r="G55" s="10">
        <f t="shared" si="0"/>
        <v>0</v>
      </c>
      <c r="H55" s="11">
        <v>100000</v>
      </c>
      <c r="I55" s="8">
        <v>2018</v>
      </c>
      <c r="J55" s="10" t="s">
        <v>36</v>
      </c>
      <c r="K55" s="8">
        <f t="shared" si="6"/>
        <v>10</v>
      </c>
      <c r="L55" s="8">
        <v>2</v>
      </c>
      <c r="M55" s="8">
        <f t="shared" si="2"/>
        <v>6</v>
      </c>
      <c r="N55" s="8" t="s">
        <v>37</v>
      </c>
      <c r="O55" s="8">
        <f t="shared" si="5"/>
        <v>3</v>
      </c>
      <c r="P55" s="8" t="s">
        <v>30</v>
      </c>
      <c r="Q55" s="17" t="s">
        <v>29</v>
      </c>
      <c r="R55" s="8">
        <f>VLOOKUP(Master19[[#This Row],[Elevated Priority]],Epriority,2,)</f>
        <v>0</v>
      </c>
      <c r="S55" s="8">
        <f>IF(Master19[[#This Row],[Status]]="Active",Master19[[#This Row],[Status_Score]],IF(C55="","",K55+G55+M55+O55+R55-5))</f>
        <v>14</v>
      </c>
    </row>
    <row r="56" spans="1:20" ht="135" hidden="1" x14ac:dyDescent="0.25">
      <c r="A56" s="1">
        <v>55</v>
      </c>
      <c r="B56" s="10" t="s">
        <v>73</v>
      </c>
      <c r="C56" s="10" t="s">
        <v>196</v>
      </c>
      <c r="D56" s="10" t="s">
        <v>197</v>
      </c>
      <c r="E56" s="10" t="s">
        <v>198</v>
      </c>
      <c r="F56" s="10" t="s">
        <v>29</v>
      </c>
      <c r="G56" s="10">
        <f t="shared" si="0"/>
        <v>0</v>
      </c>
      <c r="H56" s="11">
        <v>25000</v>
      </c>
      <c r="I56" s="8">
        <v>2018</v>
      </c>
      <c r="J56" s="10" t="s">
        <v>36</v>
      </c>
      <c r="K56" s="8">
        <f t="shared" si="6"/>
        <v>10</v>
      </c>
      <c r="L56" s="8">
        <v>2</v>
      </c>
      <c r="M56" s="8">
        <f t="shared" si="2"/>
        <v>6</v>
      </c>
      <c r="N56" s="8" t="s">
        <v>37</v>
      </c>
      <c r="O56" s="8">
        <f t="shared" si="5"/>
        <v>3</v>
      </c>
      <c r="P56" s="8" t="s">
        <v>34</v>
      </c>
      <c r="Q56" s="17" t="s">
        <v>29</v>
      </c>
      <c r="R56" s="8">
        <f>VLOOKUP(Master19[[#This Row],[Elevated Priority]],Epriority,2,)</f>
        <v>0</v>
      </c>
      <c r="S56" s="8">
        <f>IF(Master19[[#This Row],[Status]]="Active",Master19[[#This Row],[Status_Score]],IF(C56="","",K56+G56+M56+O56+R56-5))</f>
        <v>14</v>
      </c>
    </row>
    <row r="57" spans="1:20" ht="45" hidden="1" x14ac:dyDescent="0.25">
      <c r="A57" s="1">
        <v>56</v>
      </c>
      <c r="B57" s="10" t="s">
        <v>65</v>
      </c>
      <c r="C57" s="10" t="s">
        <v>160</v>
      </c>
      <c r="D57" s="10" t="s">
        <v>161</v>
      </c>
      <c r="E57" s="10" t="s">
        <v>162</v>
      </c>
      <c r="F57" s="10" t="s">
        <v>29</v>
      </c>
      <c r="G57" s="10">
        <f t="shared" si="0"/>
        <v>0</v>
      </c>
      <c r="H57" s="11">
        <v>90000</v>
      </c>
      <c r="I57" s="8">
        <v>2018</v>
      </c>
      <c r="J57" s="10" t="s">
        <v>36</v>
      </c>
      <c r="K57" s="8">
        <f t="shared" si="6"/>
        <v>10</v>
      </c>
      <c r="L57" s="8">
        <v>1</v>
      </c>
      <c r="M57" s="8">
        <f t="shared" si="2"/>
        <v>3</v>
      </c>
      <c r="N57" s="8" t="s">
        <v>41</v>
      </c>
      <c r="O57" s="8">
        <f t="shared" si="5"/>
        <v>4</v>
      </c>
      <c r="P57" s="8" t="s">
        <v>30</v>
      </c>
      <c r="Q57" s="17" t="s">
        <v>29</v>
      </c>
      <c r="R57" s="8">
        <f>VLOOKUP(Master19[[#This Row],[Elevated Priority]],Epriority,2,)</f>
        <v>0</v>
      </c>
      <c r="S57" s="8">
        <f>IF(Master19[[#This Row],[Status]]="Active",Master19[[#This Row],[Status_Score]],IF(C57="","",K57+G57+M57+O57+R57-5))</f>
        <v>12</v>
      </c>
    </row>
    <row r="58" spans="1:20" ht="30" hidden="1" x14ac:dyDescent="0.25">
      <c r="A58" s="1">
        <v>57</v>
      </c>
      <c r="B58" s="10" t="s">
        <v>72</v>
      </c>
      <c r="C58" s="10" t="s">
        <v>169</v>
      </c>
      <c r="D58" s="10" t="s">
        <v>170</v>
      </c>
      <c r="E58" s="10" t="s">
        <v>171</v>
      </c>
      <c r="F58" s="19" t="s">
        <v>29</v>
      </c>
      <c r="G58" s="67">
        <f t="shared" si="0"/>
        <v>0</v>
      </c>
      <c r="H58" s="68">
        <v>500000</v>
      </c>
      <c r="I58" s="69">
        <v>2018</v>
      </c>
      <c r="J58" s="67" t="s">
        <v>36</v>
      </c>
      <c r="K58" s="8">
        <f t="shared" si="6"/>
        <v>10</v>
      </c>
      <c r="L58" s="69">
        <v>2</v>
      </c>
      <c r="M58" s="8">
        <f t="shared" si="2"/>
        <v>6</v>
      </c>
      <c r="N58" s="69" t="s">
        <v>41</v>
      </c>
      <c r="O58" s="8">
        <f t="shared" si="5"/>
        <v>4</v>
      </c>
      <c r="P58" s="69" t="s">
        <v>30</v>
      </c>
      <c r="Q58" s="70" t="s">
        <v>29</v>
      </c>
      <c r="R58" s="8">
        <f>VLOOKUP(Master19[[#This Row],[Elevated Priority]],Epriority,2,)</f>
        <v>0</v>
      </c>
      <c r="S58" s="69">
        <f>IF(Master19[[#This Row],[Status]]="Active",Master19[[#This Row],[Status_Score]],IF(C58="","",K58+G58+M58+O58+R58-5))</f>
        <v>15</v>
      </c>
    </row>
    <row r="59" spans="1:20" ht="45" hidden="1" x14ac:dyDescent="0.25">
      <c r="A59" s="1">
        <v>58</v>
      </c>
      <c r="B59" s="10" t="s">
        <v>70</v>
      </c>
      <c r="C59" s="10" t="s">
        <v>363</v>
      </c>
      <c r="D59" s="10" t="s">
        <v>364</v>
      </c>
      <c r="E59" s="10" t="s">
        <v>365</v>
      </c>
      <c r="F59" s="10" t="s">
        <v>29</v>
      </c>
      <c r="G59" s="10">
        <f t="shared" si="0"/>
        <v>0</v>
      </c>
      <c r="H59" s="11">
        <v>250000</v>
      </c>
      <c r="I59" s="8">
        <v>2018</v>
      </c>
      <c r="J59" s="10" t="s">
        <v>36</v>
      </c>
      <c r="K59" s="8">
        <f t="shared" si="6"/>
        <v>10</v>
      </c>
      <c r="L59" s="8">
        <v>2</v>
      </c>
      <c r="M59" s="8">
        <f t="shared" si="2"/>
        <v>6</v>
      </c>
      <c r="N59" s="8" t="s">
        <v>41</v>
      </c>
      <c r="O59" s="8">
        <f t="shared" si="5"/>
        <v>4</v>
      </c>
      <c r="P59" s="8" t="s">
        <v>34</v>
      </c>
      <c r="Q59" s="17" t="s">
        <v>29</v>
      </c>
      <c r="R59" s="8">
        <f>VLOOKUP(Master19[[#This Row],[Elevated Priority]],Epriority,2,)</f>
        <v>0</v>
      </c>
      <c r="S59" s="8">
        <f>IF(Master19[[#This Row],[Status]]="Active",Master19[[#This Row],[Status_Score]],IF(C59="","",K59+G59+M59+O59+R59-5))</f>
        <v>15</v>
      </c>
    </row>
    <row r="60" spans="1:20" ht="60" hidden="1" x14ac:dyDescent="0.25">
      <c r="A60" s="1">
        <v>59</v>
      </c>
      <c r="B60" s="10" t="s">
        <v>70</v>
      </c>
      <c r="C60" s="10" t="s">
        <v>285</v>
      </c>
      <c r="D60" s="10" t="s">
        <v>286</v>
      </c>
      <c r="E60" s="10" t="s">
        <v>287</v>
      </c>
      <c r="F60" s="10" t="s">
        <v>29</v>
      </c>
      <c r="G60" s="10">
        <f t="shared" si="0"/>
        <v>0</v>
      </c>
      <c r="H60" s="11">
        <v>150000</v>
      </c>
      <c r="I60" s="8">
        <v>2018</v>
      </c>
      <c r="J60" s="10" t="s">
        <v>36</v>
      </c>
      <c r="K60" s="8">
        <f t="shared" si="6"/>
        <v>10</v>
      </c>
      <c r="L60" s="8">
        <v>2</v>
      </c>
      <c r="M60" s="8">
        <f t="shared" si="2"/>
        <v>6</v>
      </c>
      <c r="N60" s="8" t="s">
        <v>41</v>
      </c>
      <c r="O60" s="8">
        <f t="shared" si="5"/>
        <v>4</v>
      </c>
      <c r="P60" s="8" t="s">
        <v>30</v>
      </c>
      <c r="Q60" s="17" t="s">
        <v>29</v>
      </c>
      <c r="R60" s="8">
        <f>VLOOKUP(Master19[[#This Row],[Elevated Priority]],Epriority,2,)</f>
        <v>0</v>
      </c>
      <c r="S60" s="8">
        <f>IF(Master19[[#This Row],[Status]]="Active",Master19[[#This Row],[Status_Score]],IF(C60="","",K60+G60+M60+O60+R60-5))</f>
        <v>15</v>
      </c>
    </row>
    <row r="61" spans="1:20" ht="60" x14ac:dyDescent="0.25">
      <c r="A61" s="1">
        <v>60</v>
      </c>
      <c r="B61" s="10" t="s">
        <v>87</v>
      </c>
      <c r="C61" s="10" t="s">
        <v>173</v>
      </c>
      <c r="E61" s="10" t="s">
        <v>174</v>
      </c>
      <c r="F61" s="10" t="s">
        <v>29</v>
      </c>
      <c r="G61" s="10">
        <f t="shared" si="0"/>
        <v>0</v>
      </c>
      <c r="H61" s="11">
        <v>10000</v>
      </c>
      <c r="I61" s="8">
        <v>2018</v>
      </c>
      <c r="J61" s="10" t="s">
        <v>36</v>
      </c>
      <c r="K61" s="8">
        <f t="shared" si="6"/>
        <v>10</v>
      </c>
      <c r="L61" s="8">
        <v>2</v>
      </c>
      <c r="M61" s="8">
        <f t="shared" si="2"/>
        <v>6</v>
      </c>
      <c r="N61" s="8" t="s">
        <v>41</v>
      </c>
      <c r="O61" s="8">
        <f t="shared" si="5"/>
        <v>4</v>
      </c>
      <c r="P61" s="8" t="s">
        <v>30</v>
      </c>
      <c r="Q61" s="17" t="s">
        <v>29</v>
      </c>
      <c r="R61" s="8">
        <f>VLOOKUP(Master19[[#This Row],[Elevated Priority]],Epriority,2,)</f>
        <v>0</v>
      </c>
      <c r="S61" s="8">
        <f>IF(Master19[[#This Row],[Status]]="Active",Master19[[#This Row],[Status_Score]],IF(C61="","",K61+G61+M61+O61+R61-5))</f>
        <v>15</v>
      </c>
    </row>
    <row r="62" spans="1:20" ht="30" x14ac:dyDescent="0.25">
      <c r="A62" s="1">
        <v>61</v>
      </c>
      <c r="B62" s="10" t="s">
        <v>87</v>
      </c>
      <c r="C62" s="10" t="s">
        <v>175</v>
      </c>
      <c r="E62" s="10" t="s">
        <v>176</v>
      </c>
      <c r="F62" s="10" t="s">
        <v>29</v>
      </c>
      <c r="G62" s="10">
        <f t="shared" si="0"/>
        <v>0</v>
      </c>
      <c r="H62" s="11">
        <v>8000</v>
      </c>
      <c r="I62" s="8">
        <v>2018</v>
      </c>
      <c r="J62" s="10" t="s">
        <v>36</v>
      </c>
      <c r="K62" s="8">
        <f t="shared" si="6"/>
        <v>10</v>
      </c>
      <c r="L62" s="8">
        <v>2</v>
      </c>
      <c r="M62" s="8">
        <f t="shared" si="2"/>
        <v>6</v>
      </c>
      <c r="N62" s="8" t="s">
        <v>41</v>
      </c>
      <c r="O62" s="8">
        <f t="shared" ref="O62:O93" si="7">VLOOKUP(N62,Urgency,2,FALSE)</f>
        <v>4</v>
      </c>
      <c r="P62" s="8" t="s">
        <v>30</v>
      </c>
      <c r="Q62" s="17" t="s">
        <v>29</v>
      </c>
      <c r="R62" s="8">
        <f>VLOOKUP(Master19[[#This Row],[Elevated Priority]],Epriority,2,)</f>
        <v>0</v>
      </c>
      <c r="S62" s="8">
        <f>IF(Master19[[#This Row],[Status]]="Active",Master19[[#This Row],[Status_Score]],IF(C62="","",K62+G62+M62+O62+R62-5))</f>
        <v>15</v>
      </c>
    </row>
    <row r="63" spans="1:20" ht="105" hidden="1" x14ac:dyDescent="0.25">
      <c r="A63" s="1">
        <v>62</v>
      </c>
      <c r="B63" s="10" t="s">
        <v>73</v>
      </c>
      <c r="C63" s="48" t="s">
        <v>438</v>
      </c>
      <c r="D63" s="10" t="s">
        <v>439</v>
      </c>
      <c r="E63" s="10" t="s">
        <v>440</v>
      </c>
      <c r="F63" s="10" t="s">
        <v>29</v>
      </c>
      <c r="G63" s="10">
        <f t="shared" si="0"/>
        <v>0</v>
      </c>
      <c r="H63" s="11">
        <v>15000</v>
      </c>
      <c r="I63" s="8">
        <v>2018</v>
      </c>
      <c r="J63" s="10" t="s">
        <v>42</v>
      </c>
      <c r="K63" s="8" t="e">
        <f t="shared" si="6"/>
        <v>#N/A</v>
      </c>
      <c r="L63" s="8">
        <v>3</v>
      </c>
      <c r="M63" s="8">
        <f t="shared" si="2"/>
        <v>9</v>
      </c>
      <c r="N63" s="8" t="s">
        <v>43</v>
      </c>
      <c r="O63" s="8">
        <f t="shared" si="7"/>
        <v>16</v>
      </c>
      <c r="P63" s="8" t="s">
        <v>30</v>
      </c>
      <c r="Q63" s="17" t="s">
        <v>39</v>
      </c>
      <c r="R63" s="8">
        <f>VLOOKUP(Master19[[#This Row],[Elevated Priority]],Epriority,2,)</f>
        <v>-30</v>
      </c>
      <c r="S63" s="8" t="e">
        <f>IF(Master19[[#This Row],[Status]]="Active",Master19[[#This Row],[Status_Score]],IF(C63="","",K63+G63+M63+O63+R63-5))</f>
        <v>#N/A</v>
      </c>
    </row>
    <row r="64" spans="1:20" ht="45" hidden="1" x14ac:dyDescent="0.25">
      <c r="A64" s="1">
        <v>63</v>
      </c>
      <c r="B64" s="10" t="s">
        <v>67</v>
      </c>
      <c r="C64" s="10" t="s">
        <v>428</v>
      </c>
      <c r="D64" s="10" t="s">
        <v>429</v>
      </c>
      <c r="E64" s="10" t="s">
        <v>430</v>
      </c>
      <c r="F64" s="10" t="s">
        <v>29</v>
      </c>
      <c r="G64" s="10">
        <f t="shared" si="0"/>
        <v>0</v>
      </c>
      <c r="H64" s="11">
        <v>75000</v>
      </c>
      <c r="I64" s="8">
        <v>2018</v>
      </c>
      <c r="J64" s="10" t="s">
        <v>40</v>
      </c>
      <c r="K64" s="8" t="e">
        <f t="shared" si="6"/>
        <v>#N/A</v>
      </c>
      <c r="L64" s="8">
        <v>2</v>
      </c>
      <c r="M64" s="8">
        <f t="shared" si="2"/>
        <v>6</v>
      </c>
      <c r="N64" s="8" t="s">
        <v>29</v>
      </c>
      <c r="O64" s="8">
        <f t="shared" si="7"/>
        <v>0</v>
      </c>
      <c r="P64" s="8" t="s">
        <v>30</v>
      </c>
      <c r="Q64" s="17" t="s">
        <v>29</v>
      </c>
      <c r="R64" s="8">
        <f>VLOOKUP(Master19[[#This Row],[Elevated Priority]],Epriority,2,)</f>
        <v>0</v>
      </c>
      <c r="S64" s="8" t="e">
        <f>IF(Master19[[#This Row],[Status]]="Active",Master19[[#This Row],[Status_Score]],IF(C64="","",K64+G64+M64+O64+R64-5))</f>
        <v>#N/A</v>
      </c>
    </row>
    <row r="65" spans="1:21" ht="60" hidden="1" x14ac:dyDescent="0.25">
      <c r="A65" s="1">
        <v>64</v>
      </c>
      <c r="B65" s="10" t="s">
        <v>91</v>
      </c>
      <c r="C65" s="10" t="s">
        <v>357</v>
      </c>
      <c r="D65" s="10" t="s">
        <v>358</v>
      </c>
      <c r="E65" s="10" t="s">
        <v>359</v>
      </c>
      <c r="F65" s="10" t="s">
        <v>29</v>
      </c>
      <c r="G65" s="10">
        <f t="shared" si="0"/>
        <v>0</v>
      </c>
      <c r="H65" s="11">
        <v>250000</v>
      </c>
      <c r="I65" s="8">
        <v>2018</v>
      </c>
      <c r="J65" s="10" t="s">
        <v>40</v>
      </c>
      <c r="K65" s="8" t="e">
        <f t="shared" si="6"/>
        <v>#N/A</v>
      </c>
      <c r="L65" s="8">
        <v>7</v>
      </c>
      <c r="M65" s="8">
        <f t="shared" si="2"/>
        <v>20</v>
      </c>
      <c r="N65" s="8" t="s">
        <v>43</v>
      </c>
      <c r="O65" s="8">
        <f t="shared" si="7"/>
        <v>16</v>
      </c>
      <c r="P65" s="8" t="s">
        <v>30</v>
      </c>
      <c r="Q65" s="17" t="s">
        <v>39</v>
      </c>
      <c r="R65" s="8">
        <f>VLOOKUP(Master19[[#This Row],[Elevated Priority]],Epriority,2,)</f>
        <v>-30</v>
      </c>
      <c r="S65" s="8" t="e">
        <f>IF(Master19[[#This Row],[Status]]="Active",Master19[[#This Row],[Status_Score]],IF(C65="","",K65+G65+M65+O65+R65-5))</f>
        <v>#N/A</v>
      </c>
    </row>
    <row r="66" spans="1:21" ht="45" x14ac:dyDescent="0.25">
      <c r="A66" s="1">
        <v>65</v>
      </c>
      <c r="B66" s="10" t="s">
        <v>87</v>
      </c>
      <c r="C66" s="10" t="s">
        <v>180</v>
      </c>
      <c r="E66" s="10" t="s">
        <v>181</v>
      </c>
      <c r="F66" s="10" t="s">
        <v>29</v>
      </c>
      <c r="G66" s="10">
        <f t="shared" ref="G66:G129" si="8">VLOOKUP(F66,Status_Score,2,FALSE)</f>
        <v>0</v>
      </c>
      <c r="H66" s="11">
        <v>30000</v>
      </c>
      <c r="I66" s="8">
        <v>2018</v>
      </c>
      <c r="J66" s="10" t="s">
        <v>40</v>
      </c>
      <c r="K66" s="8" t="e">
        <f t="shared" si="6"/>
        <v>#N/A</v>
      </c>
      <c r="L66" s="8">
        <v>1</v>
      </c>
      <c r="M66" s="8">
        <f t="shared" ref="M66:M129" si="9">VLOOKUP(L66,Department,2,FALSE)</f>
        <v>3</v>
      </c>
      <c r="N66" s="8" t="s">
        <v>37</v>
      </c>
      <c r="O66" s="8">
        <f t="shared" si="7"/>
        <v>3</v>
      </c>
      <c r="P66" s="8" t="s">
        <v>30</v>
      </c>
      <c r="Q66" s="17" t="s">
        <v>29</v>
      </c>
      <c r="R66" s="8">
        <f>VLOOKUP(Master19[[#This Row],[Elevated Priority]],Epriority,2,)</f>
        <v>0</v>
      </c>
      <c r="S66" s="8" t="e">
        <f>IF(Master19[[#This Row],[Status]]="Active",Master19[[#This Row],[Status_Score]],IF(C66="","",K66+G66+M66+O66+R66-5))</f>
        <v>#N/A</v>
      </c>
    </row>
    <row r="67" spans="1:21" ht="60" hidden="1" x14ac:dyDescent="0.25">
      <c r="A67" s="1">
        <v>66</v>
      </c>
      <c r="B67" s="10" t="s">
        <v>73</v>
      </c>
      <c r="C67" s="10" t="s">
        <v>177</v>
      </c>
      <c r="D67" s="10" t="s">
        <v>178</v>
      </c>
      <c r="E67" s="10" t="s">
        <v>179</v>
      </c>
      <c r="F67" s="10" t="s">
        <v>29</v>
      </c>
      <c r="G67" s="10">
        <f t="shared" si="8"/>
        <v>0</v>
      </c>
      <c r="H67" s="11">
        <v>15000</v>
      </c>
      <c r="I67" s="8">
        <v>2018</v>
      </c>
      <c r="J67" s="10" t="s">
        <v>36</v>
      </c>
      <c r="K67" s="8">
        <f t="shared" si="6"/>
        <v>10</v>
      </c>
      <c r="L67" s="8">
        <v>3</v>
      </c>
      <c r="M67" s="8">
        <f t="shared" si="9"/>
        <v>9</v>
      </c>
      <c r="N67" s="8" t="s">
        <v>41</v>
      </c>
      <c r="O67" s="8">
        <f t="shared" si="7"/>
        <v>4</v>
      </c>
      <c r="P67" s="8" t="s">
        <v>30</v>
      </c>
      <c r="Q67" s="17" t="s">
        <v>29</v>
      </c>
      <c r="R67" s="8">
        <f>VLOOKUP(Master19[[#This Row],[Elevated Priority]],Epriority,2,)</f>
        <v>0</v>
      </c>
      <c r="S67" s="8">
        <f>IF(Master19[[#This Row],[Status]]="Active",Master19[[#This Row],[Status_Score]],IF(C67="","",K67+G67+M67+O67+R67-5))</f>
        <v>18</v>
      </c>
    </row>
    <row r="68" spans="1:21" ht="45" hidden="1" x14ac:dyDescent="0.25">
      <c r="A68" s="1">
        <v>67</v>
      </c>
      <c r="B68" s="10" t="s">
        <v>61</v>
      </c>
      <c r="C68" s="10" t="s">
        <v>182</v>
      </c>
      <c r="D68" s="10" t="s">
        <v>183</v>
      </c>
      <c r="E68" s="10" t="s">
        <v>184</v>
      </c>
      <c r="F68" s="10" t="s">
        <v>29</v>
      </c>
      <c r="G68" s="10">
        <f t="shared" si="8"/>
        <v>0</v>
      </c>
      <c r="H68" s="11">
        <v>450000</v>
      </c>
      <c r="I68" s="8">
        <v>2018</v>
      </c>
      <c r="J68" s="10" t="s">
        <v>36</v>
      </c>
      <c r="K68" s="8">
        <f t="shared" si="6"/>
        <v>10</v>
      </c>
      <c r="L68" s="8">
        <v>3</v>
      </c>
      <c r="M68" s="8">
        <f t="shared" si="9"/>
        <v>9</v>
      </c>
      <c r="N68" s="8" t="s">
        <v>41</v>
      </c>
      <c r="O68" s="8">
        <f t="shared" si="7"/>
        <v>4</v>
      </c>
      <c r="P68" s="8" t="s">
        <v>30</v>
      </c>
      <c r="Q68" s="17" t="s">
        <v>29</v>
      </c>
      <c r="R68" s="8">
        <f>VLOOKUP(Master19[[#This Row],[Elevated Priority]],Epriority,2,)</f>
        <v>0</v>
      </c>
      <c r="S68" s="8">
        <f>IF(Master19[[#This Row],[Status]]="Active",Master19[[#This Row],[Status_Score]],IF(C68="","",K68+G68+M68+O68+R68-5))</f>
        <v>18</v>
      </c>
    </row>
    <row r="69" spans="1:21" hidden="1" x14ac:dyDescent="0.25">
      <c r="A69" s="1">
        <v>68</v>
      </c>
      <c r="B69" s="10" t="s">
        <v>70</v>
      </c>
      <c r="C69" s="10" t="s">
        <v>188</v>
      </c>
      <c r="D69" s="10" t="s">
        <v>189</v>
      </c>
      <c r="E69" s="10" t="s">
        <v>190</v>
      </c>
      <c r="F69" s="10" t="s">
        <v>29</v>
      </c>
      <c r="G69" s="10">
        <f t="shared" si="8"/>
        <v>0</v>
      </c>
      <c r="H69" s="11">
        <v>150000</v>
      </c>
      <c r="I69" s="8">
        <v>2018</v>
      </c>
      <c r="J69" s="10" t="s">
        <v>40</v>
      </c>
      <c r="K69" s="8" t="e">
        <f t="shared" si="6"/>
        <v>#N/A</v>
      </c>
      <c r="L69" s="8" t="s">
        <v>29</v>
      </c>
      <c r="M69" s="8">
        <f t="shared" si="9"/>
        <v>0</v>
      </c>
      <c r="N69" s="8" t="s">
        <v>41</v>
      </c>
      <c r="O69" s="8">
        <f t="shared" si="7"/>
        <v>4</v>
      </c>
      <c r="P69" s="8" t="s">
        <v>30</v>
      </c>
      <c r="Q69" s="17" t="s">
        <v>29</v>
      </c>
      <c r="R69" s="8">
        <f>VLOOKUP(Master19[[#This Row],[Elevated Priority]],Epriority,2,)</f>
        <v>0</v>
      </c>
      <c r="S69" s="8" t="e">
        <f>IF(Master19[[#This Row],[Status]]="Active",Master19[[#This Row],[Status_Score]],IF(C69="","",K69+G69+M69+O69+R69-5))</f>
        <v>#N/A</v>
      </c>
    </row>
    <row r="70" spans="1:21" ht="120" hidden="1" x14ac:dyDescent="0.25">
      <c r="A70" s="1">
        <v>69</v>
      </c>
      <c r="B70" s="10" t="s">
        <v>65</v>
      </c>
      <c r="C70" s="10" t="s">
        <v>191</v>
      </c>
      <c r="D70" s="10" t="s">
        <v>192</v>
      </c>
      <c r="E70" s="10" t="s">
        <v>193</v>
      </c>
      <c r="F70" s="10" t="s">
        <v>29</v>
      </c>
      <c r="G70" s="10">
        <f t="shared" si="8"/>
        <v>0</v>
      </c>
      <c r="H70" s="11">
        <v>300000</v>
      </c>
      <c r="I70" s="8">
        <v>2018</v>
      </c>
      <c r="J70" s="10" t="s">
        <v>32</v>
      </c>
      <c r="K70" s="8">
        <f t="shared" si="6"/>
        <v>1</v>
      </c>
      <c r="L70" s="8">
        <v>4</v>
      </c>
      <c r="M70" s="8">
        <f t="shared" si="9"/>
        <v>12</v>
      </c>
      <c r="N70" s="8" t="s">
        <v>43</v>
      </c>
      <c r="O70" s="8">
        <f t="shared" si="7"/>
        <v>16</v>
      </c>
      <c r="P70" s="8" t="s">
        <v>34</v>
      </c>
      <c r="Q70" s="17" t="s">
        <v>29</v>
      </c>
      <c r="R70" s="8">
        <f>VLOOKUP(Master19[[#This Row],[Elevated Priority]],Epriority,2,)</f>
        <v>0</v>
      </c>
      <c r="S70" s="8">
        <f>IF(Master19[[#This Row],[Status]]="Active",Master19[[#This Row],[Status_Score]],IF(C70="","",K70+G70+M70+O70+R70-5))</f>
        <v>24</v>
      </c>
    </row>
    <row r="71" spans="1:21" ht="30" hidden="1" x14ac:dyDescent="0.25">
      <c r="A71" s="1">
        <v>70</v>
      </c>
      <c r="B71" s="10" t="s">
        <v>79</v>
      </c>
      <c r="C71" s="10" t="s">
        <v>199</v>
      </c>
      <c r="D71" s="10" t="s">
        <v>200</v>
      </c>
      <c r="E71" s="10" t="s">
        <v>201</v>
      </c>
      <c r="F71" s="10" t="s">
        <v>29</v>
      </c>
      <c r="G71" s="10">
        <f t="shared" si="8"/>
        <v>0</v>
      </c>
      <c r="H71" s="11">
        <v>30000</v>
      </c>
      <c r="I71" s="8">
        <v>2018</v>
      </c>
      <c r="J71" s="10" t="s">
        <v>36</v>
      </c>
      <c r="K71" s="8">
        <f t="shared" si="6"/>
        <v>10</v>
      </c>
      <c r="L71" s="8">
        <v>4</v>
      </c>
      <c r="M71" s="8">
        <f t="shared" si="9"/>
        <v>12</v>
      </c>
      <c r="N71" s="8" t="s">
        <v>41</v>
      </c>
      <c r="O71" s="8">
        <f t="shared" si="7"/>
        <v>4</v>
      </c>
      <c r="P71" s="8" t="s">
        <v>30</v>
      </c>
      <c r="Q71" s="17" t="s">
        <v>29</v>
      </c>
      <c r="R71" s="8">
        <f>VLOOKUP(Master19[[#This Row],[Elevated Priority]],Epriority,2,)</f>
        <v>0</v>
      </c>
      <c r="S71" s="8">
        <f>IF(Master19[[#This Row],[Status]]="Active",Master19[[#This Row],[Status_Score]],IF(C71="","",K71+G71+M71+O71+R71-5))</f>
        <v>21</v>
      </c>
    </row>
    <row r="72" spans="1:21" ht="30" hidden="1" x14ac:dyDescent="0.25">
      <c r="A72" s="1">
        <v>71</v>
      </c>
      <c r="B72" s="10" t="s">
        <v>79</v>
      </c>
      <c r="C72" s="10" t="s">
        <v>202</v>
      </c>
      <c r="D72" s="10" t="s">
        <v>203</v>
      </c>
      <c r="E72" s="10" t="s">
        <v>204</v>
      </c>
      <c r="F72" s="10" t="s">
        <v>29</v>
      </c>
      <c r="G72" s="10">
        <f t="shared" si="8"/>
        <v>0</v>
      </c>
      <c r="H72" s="11">
        <v>15000</v>
      </c>
      <c r="I72" s="8">
        <v>2018</v>
      </c>
      <c r="J72" s="10" t="s">
        <v>36</v>
      </c>
      <c r="K72" s="8">
        <f t="shared" si="6"/>
        <v>10</v>
      </c>
      <c r="L72" s="8">
        <v>4</v>
      </c>
      <c r="M72" s="8">
        <f t="shared" si="9"/>
        <v>12</v>
      </c>
      <c r="N72" s="8" t="s">
        <v>41</v>
      </c>
      <c r="O72" s="8">
        <f t="shared" si="7"/>
        <v>4</v>
      </c>
      <c r="P72" s="8" t="s">
        <v>30</v>
      </c>
      <c r="Q72" s="17" t="s">
        <v>29</v>
      </c>
      <c r="R72" s="8">
        <f>VLOOKUP(Master19[[#This Row],[Elevated Priority]],Epriority,2,)</f>
        <v>0</v>
      </c>
      <c r="S72" s="8">
        <f>IF(Master19[[#This Row],[Status]]="Active",Master19[[#This Row],[Status_Score]],IF(C72="","",K72+G72+M72+O72+R72-5))</f>
        <v>21</v>
      </c>
      <c r="U72" t="s">
        <v>657</v>
      </c>
    </row>
    <row r="73" spans="1:21" ht="210" hidden="1" x14ac:dyDescent="0.25">
      <c r="A73" s="1">
        <v>72</v>
      </c>
      <c r="B73" s="10" t="s">
        <v>159</v>
      </c>
      <c r="C73" s="10" t="s">
        <v>262</v>
      </c>
      <c r="D73" s="10" t="s">
        <v>263</v>
      </c>
      <c r="E73" s="10" t="s">
        <v>264</v>
      </c>
      <c r="F73" s="10" t="s">
        <v>29</v>
      </c>
      <c r="G73" s="10">
        <f t="shared" si="8"/>
        <v>0</v>
      </c>
      <c r="H73" s="11">
        <v>500000</v>
      </c>
      <c r="I73" s="8">
        <v>2018</v>
      </c>
      <c r="J73" s="10" t="s">
        <v>40</v>
      </c>
      <c r="K73" s="8" t="e">
        <f t="shared" si="6"/>
        <v>#N/A</v>
      </c>
      <c r="L73" s="8">
        <v>3</v>
      </c>
      <c r="M73" s="8">
        <f t="shared" si="9"/>
        <v>9</v>
      </c>
      <c r="N73" s="8" t="s">
        <v>33</v>
      </c>
      <c r="O73" s="8">
        <f t="shared" si="7"/>
        <v>1</v>
      </c>
      <c r="P73" s="8" t="s">
        <v>30</v>
      </c>
      <c r="Q73" s="17" t="s">
        <v>29</v>
      </c>
      <c r="R73" s="8">
        <f>VLOOKUP(Master19[[#This Row],[Elevated Priority]],Epriority,2,)</f>
        <v>0</v>
      </c>
      <c r="S73" s="8" t="e">
        <f>IF(Master19[[#This Row],[Status]]="Active",Master19[[#This Row],[Status_Score]],IF(C73="","",K73+G73+M73+O73+R73-5))</f>
        <v>#N/A</v>
      </c>
      <c r="U73" t="s">
        <v>661</v>
      </c>
    </row>
    <row r="74" spans="1:21" ht="135" hidden="1" x14ac:dyDescent="0.25">
      <c r="A74" s="1">
        <v>73</v>
      </c>
      <c r="B74" s="10" t="s">
        <v>73</v>
      </c>
      <c r="C74" s="10" t="s">
        <v>107</v>
      </c>
      <c r="D74" s="10" t="s">
        <v>108</v>
      </c>
      <c r="E74" s="10" t="s">
        <v>109</v>
      </c>
      <c r="F74" s="10" t="s">
        <v>29</v>
      </c>
      <c r="G74" s="10">
        <f t="shared" si="8"/>
        <v>0</v>
      </c>
      <c r="H74" s="11">
        <v>25000</v>
      </c>
      <c r="I74" s="8">
        <v>2018</v>
      </c>
      <c r="J74" s="10" t="s">
        <v>40</v>
      </c>
      <c r="K74" s="8" t="e">
        <f t="shared" si="6"/>
        <v>#N/A</v>
      </c>
      <c r="L74" s="8">
        <v>1</v>
      </c>
      <c r="M74" s="8">
        <f t="shared" si="9"/>
        <v>3</v>
      </c>
      <c r="N74" s="8" t="s">
        <v>41</v>
      </c>
      <c r="O74" s="8">
        <f t="shared" si="7"/>
        <v>4</v>
      </c>
      <c r="P74" s="8" t="s">
        <v>30</v>
      </c>
      <c r="Q74" s="17" t="s">
        <v>29</v>
      </c>
      <c r="R74" s="8">
        <f>VLOOKUP(Master19[[#This Row],[Elevated Priority]],Epriority,2,)</f>
        <v>0</v>
      </c>
      <c r="S74" s="8" t="e">
        <f>IF(Master19[[#This Row],[Status]]="Active",Master19[[#This Row],[Status_Score]],IF(C74="","",K74+G74+M74+O74+R74-5))</f>
        <v>#N/A</v>
      </c>
    </row>
    <row r="75" spans="1:21" ht="30" hidden="1" x14ac:dyDescent="0.25">
      <c r="A75" s="1">
        <v>74</v>
      </c>
      <c r="B75" s="10" t="s">
        <v>65</v>
      </c>
      <c r="C75" s="10" t="s">
        <v>208</v>
      </c>
      <c r="D75" s="10" t="s">
        <v>209</v>
      </c>
      <c r="E75" s="10" t="s">
        <v>210</v>
      </c>
      <c r="F75" s="10" t="s">
        <v>29</v>
      </c>
      <c r="G75" s="10">
        <f t="shared" si="8"/>
        <v>0</v>
      </c>
      <c r="H75" s="11">
        <v>250000</v>
      </c>
      <c r="I75" s="8">
        <v>2018</v>
      </c>
      <c r="J75" s="10" t="s">
        <v>40</v>
      </c>
      <c r="K75" s="8" t="e">
        <f t="shared" si="6"/>
        <v>#N/A</v>
      </c>
      <c r="L75" s="8">
        <v>1</v>
      </c>
      <c r="M75" s="8">
        <f t="shared" si="9"/>
        <v>3</v>
      </c>
      <c r="N75" s="8" t="s">
        <v>41</v>
      </c>
      <c r="O75" s="8">
        <f t="shared" si="7"/>
        <v>4</v>
      </c>
      <c r="P75" s="8" t="s">
        <v>30</v>
      </c>
      <c r="Q75" s="17" t="s">
        <v>29</v>
      </c>
      <c r="R75" s="8">
        <f>VLOOKUP(Master19[[#This Row],[Elevated Priority]],Epriority,2,)</f>
        <v>0</v>
      </c>
      <c r="S75" s="8" t="e">
        <f>IF(Master19[[#This Row],[Status]]="Active",Master19[[#This Row],[Status_Score]],IF(C75="","",K75+G75+M75+O75+R75-5))</f>
        <v>#N/A</v>
      </c>
    </row>
    <row r="76" spans="1:21" ht="360" hidden="1" x14ac:dyDescent="0.25">
      <c r="A76" s="1">
        <v>75</v>
      </c>
      <c r="B76" s="10" t="s">
        <v>659</v>
      </c>
      <c r="C76" s="10" t="s">
        <v>211</v>
      </c>
      <c r="D76" s="10" t="s">
        <v>212</v>
      </c>
      <c r="E76" s="10" t="s">
        <v>213</v>
      </c>
      <c r="F76" s="10" t="s">
        <v>29</v>
      </c>
      <c r="G76" s="10">
        <f t="shared" si="8"/>
        <v>0</v>
      </c>
      <c r="H76" s="11">
        <v>25000</v>
      </c>
      <c r="I76" s="8">
        <v>2018</v>
      </c>
      <c r="J76" s="10" t="s">
        <v>40</v>
      </c>
      <c r="K76" s="8" t="e">
        <f t="shared" si="6"/>
        <v>#N/A</v>
      </c>
      <c r="L76" s="8">
        <v>1</v>
      </c>
      <c r="M76" s="8">
        <f t="shared" si="9"/>
        <v>3</v>
      </c>
      <c r="N76" s="8" t="s">
        <v>41</v>
      </c>
      <c r="O76" s="8">
        <f t="shared" si="7"/>
        <v>4</v>
      </c>
      <c r="P76" s="8" t="s">
        <v>30</v>
      </c>
      <c r="Q76" s="17" t="s">
        <v>29</v>
      </c>
      <c r="R76" s="8">
        <f>VLOOKUP(Master19[[#This Row],[Elevated Priority]],Epriority,2,)</f>
        <v>0</v>
      </c>
      <c r="S76" s="8" t="e">
        <f>IF(Master19[[#This Row],[Status]]="Active",Master19[[#This Row],[Status_Score]],IF(C76="","",K76+G76+M76+O76+R76-5))</f>
        <v>#N/A</v>
      </c>
    </row>
    <row r="77" spans="1:21" ht="30" hidden="1" x14ac:dyDescent="0.25">
      <c r="A77" s="1">
        <v>76</v>
      </c>
      <c r="B77" s="10" t="s">
        <v>214</v>
      </c>
      <c r="C77" s="10" t="s">
        <v>215</v>
      </c>
      <c r="D77" s="10" t="s">
        <v>216</v>
      </c>
      <c r="E77" s="10" t="s">
        <v>658</v>
      </c>
      <c r="F77" s="10" t="s">
        <v>29</v>
      </c>
      <c r="G77" s="10">
        <f t="shared" si="8"/>
        <v>0</v>
      </c>
      <c r="H77" s="11">
        <v>250000</v>
      </c>
      <c r="I77" s="8">
        <v>2018</v>
      </c>
      <c r="J77" s="10" t="s">
        <v>40</v>
      </c>
      <c r="K77" s="8" t="e">
        <f t="shared" si="6"/>
        <v>#N/A</v>
      </c>
      <c r="L77" s="8">
        <v>1</v>
      </c>
      <c r="M77" s="8">
        <f t="shared" si="9"/>
        <v>3</v>
      </c>
      <c r="N77" s="8" t="s">
        <v>41</v>
      </c>
      <c r="O77" s="8">
        <f t="shared" si="7"/>
        <v>4</v>
      </c>
      <c r="P77" s="8" t="s">
        <v>30</v>
      </c>
      <c r="Q77" s="17" t="s">
        <v>29</v>
      </c>
      <c r="R77" s="8">
        <f>VLOOKUP(Master19[[#This Row],[Elevated Priority]],Epriority,2,)</f>
        <v>0</v>
      </c>
      <c r="S77" s="8" t="e">
        <f>IF(Master19[[#This Row],[Status]]="Active",Master19[[#This Row],[Status_Score]],IF(C77="","",K77+G77+M77+O77+R77-5))</f>
        <v>#N/A</v>
      </c>
    </row>
    <row r="78" spans="1:21" ht="105" hidden="1" x14ac:dyDescent="0.25">
      <c r="A78" s="1">
        <v>77</v>
      </c>
      <c r="B78" s="10" t="s">
        <v>73</v>
      </c>
      <c r="C78" s="10" t="s">
        <v>257</v>
      </c>
      <c r="D78" s="10" t="s">
        <v>258</v>
      </c>
      <c r="E78" s="10" t="s">
        <v>259</v>
      </c>
      <c r="F78" s="10" t="s">
        <v>29</v>
      </c>
      <c r="G78" s="10">
        <f t="shared" si="8"/>
        <v>0</v>
      </c>
      <c r="H78" s="11">
        <v>35000</v>
      </c>
      <c r="I78" s="8">
        <v>2018</v>
      </c>
      <c r="J78" s="10" t="s">
        <v>40</v>
      </c>
      <c r="K78" s="8" t="e">
        <f t="shared" si="6"/>
        <v>#N/A</v>
      </c>
      <c r="L78" s="8">
        <v>1</v>
      </c>
      <c r="M78" s="8">
        <f t="shared" si="9"/>
        <v>3</v>
      </c>
      <c r="N78" s="8" t="s">
        <v>41</v>
      </c>
      <c r="O78" s="8">
        <f t="shared" si="7"/>
        <v>4</v>
      </c>
      <c r="P78" s="8" t="s">
        <v>30</v>
      </c>
      <c r="Q78" s="17" t="s">
        <v>29</v>
      </c>
      <c r="R78" s="8">
        <f>VLOOKUP(Master19[[#This Row],[Elevated Priority]],Epriority,2,)</f>
        <v>0</v>
      </c>
      <c r="S78" s="8" t="e">
        <f>IF(Master19[[#This Row],[Status]]="Active",Master19[[#This Row],[Status_Score]],IF(C78="","",K78+G78+M78+O78+R78-5))</f>
        <v>#N/A</v>
      </c>
    </row>
    <row r="79" spans="1:21" ht="45" hidden="1" x14ac:dyDescent="0.25">
      <c r="A79" s="1">
        <v>78</v>
      </c>
      <c r="B79" s="10" t="s">
        <v>61</v>
      </c>
      <c r="C79" s="10" t="s">
        <v>217</v>
      </c>
      <c r="D79" s="10" t="s">
        <v>218</v>
      </c>
      <c r="E79" s="10" t="s">
        <v>219</v>
      </c>
      <c r="F79" s="10" t="s">
        <v>29</v>
      </c>
      <c r="G79" s="10">
        <f t="shared" si="8"/>
        <v>0</v>
      </c>
      <c r="H79" s="11">
        <v>1500000</v>
      </c>
      <c r="I79" s="8">
        <v>2018</v>
      </c>
      <c r="J79" s="10" t="s">
        <v>36</v>
      </c>
      <c r="K79" s="8">
        <f t="shared" si="6"/>
        <v>10</v>
      </c>
      <c r="L79" s="8">
        <v>2</v>
      </c>
      <c r="M79" s="8">
        <f t="shared" si="9"/>
        <v>6</v>
      </c>
      <c r="N79" s="8" t="s">
        <v>43</v>
      </c>
      <c r="O79" s="8">
        <f t="shared" si="7"/>
        <v>16</v>
      </c>
      <c r="P79" s="8" t="s">
        <v>34</v>
      </c>
      <c r="Q79" s="17" t="s">
        <v>29</v>
      </c>
      <c r="R79" s="8">
        <f>VLOOKUP(Master19[[#This Row],[Elevated Priority]],Epriority,2,)</f>
        <v>0</v>
      </c>
      <c r="S79" s="8">
        <f>IF(Master19[[#This Row],[Status]]="Active",Master19[[#This Row],[Status_Score]],IF(C79="","",K79+G79+M79+O79+R79-5))</f>
        <v>27</v>
      </c>
    </row>
    <row r="80" spans="1:21" ht="45" hidden="1" x14ac:dyDescent="0.25">
      <c r="A80" s="1">
        <v>79</v>
      </c>
      <c r="B80" s="10" t="s">
        <v>655</v>
      </c>
      <c r="C80" s="10" t="s">
        <v>584</v>
      </c>
      <c r="D80" s="10" t="s">
        <v>585</v>
      </c>
      <c r="E80" s="10"/>
      <c r="F80" s="10" t="s">
        <v>29</v>
      </c>
      <c r="G80" s="10">
        <f t="shared" si="8"/>
        <v>0</v>
      </c>
      <c r="H80" s="11">
        <v>300000</v>
      </c>
      <c r="I80" s="17">
        <v>2019</v>
      </c>
      <c r="J80" s="10" t="s">
        <v>36</v>
      </c>
      <c r="K80" s="8">
        <f t="shared" si="6"/>
        <v>10</v>
      </c>
      <c r="L80" s="8">
        <v>10</v>
      </c>
      <c r="M80" s="8">
        <f t="shared" si="9"/>
        <v>21</v>
      </c>
      <c r="N80" s="8" t="s">
        <v>33</v>
      </c>
      <c r="O80" s="8">
        <f t="shared" si="7"/>
        <v>1</v>
      </c>
      <c r="P80" s="8" t="s">
        <v>30</v>
      </c>
      <c r="Q80" s="17" t="s">
        <v>29</v>
      </c>
      <c r="R80" s="8">
        <f>VLOOKUP(Master19[[#This Row],[Elevated Priority]],Epriority,2,)</f>
        <v>0</v>
      </c>
      <c r="S80" s="8">
        <f>IF(Master19[[#This Row],[Status]]="Active",Master19[[#This Row],[Status_Score]],IF(C80="","",K80+G80+M80+O80+R80-5))</f>
        <v>27</v>
      </c>
      <c r="T80" s="65"/>
      <c r="U80" t="s">
        <v>654</v>
      </c>
    </row>
    <row r="81" spans="1:21" ht="30" hidden="1" x14ac:dyDescent="0.25">
      <c r="A81" s="1">
        <v>80</v>
      </c>
      <c r="B81" s="10" t="s">
        <v>67</v>
      </c>
      <c r="C81" s="10" t="s">
        <v>205</v>
      </c>
      <c r="D81" s="10" t="s">
        <v>206</v>
      </c>
      <c r="E81" s="10" t="s">
        <v>207</v>
      </c>
      <c r="F81" s="10" t="s">
        <v>29</v>
      </c>
      <c r="G81" s="10">
        <f t="shared" si="8"/>
        <v>0</v>
      </c>
      <c r="H81" s="11">
        <v>2000000</v>
      </c>
      <c r="I81" s="8">
        <v>2018</v>
      </c>
      <c r="J81" s="10" t="s">
        <v>40</v>
      </c>
      <c r="K81" s="8" t="e">
        <f t="shared" si="6"/>
        <v>#N/A</v>
      </c>
      <c r="L81" s="8">
        <v>2</v>
      </c>
      <c r="M81" s="8">
        <f t="shared" si="9"/>
        <v>6</v>
      </c>
      <c r="N81" s="8" t="s">
        <v>41</v>
      </c>
      <c r="O81" s="8">
        <f t="shared" si="7"/>
        <v>4</v>
      </c>
      <c r="P81" s="8" t="s">
        <v>34</v>
      </c>
      <c r="Q81" s="17" t="s">
        <v>29</v>
      </c>
      <c r="R81" s="8">
        <f>VLOOKUP(Master19[[#This Row],[Elevated Priority]],Epriority,2,)</f>
        <v>0</v>
      </c>
      <c r="S81" s="8" t="e">
        <f>IF(Master19[[#This Row],[Status]]="Active",Master19[[#This Row],[Status_Score]],IF(C81="","",K81+G81+M81+O81+R81-5))</f>
        <v>#N/A</v>
      </c>
    </row>
    <row r="82" spans="1:21" ht="120" hidden="1" x14ac:dyDescent="0.25">
      <c r="A82" s="1">
        <v>81</v>
      </c>
      <c r="B82" s="10" t="s">
        <v>220</v>
      </c>
      <c r="C82" s="10" t="s">
        <v>221</v>
      </c>
      <c r="D82" s="43" t="s">
        <v>222</v>
      </c>
      <c r="E82" s="43" t="s">
        <v>223</v>
      </c>
      <c r="F82" s="10" t="s">
        <v>29</v>
      </c>
      <c r="G82" s="10">
        <f t="shared" si="8"/>
        <v>0</v>
      </c>
      <c r="H82" s="11" t="s">
        <v>224</v>
      </c>
      <c r="I82" s="8">
        <v>2018</v>
      </c>
      <c r="J82" s="10" t="s">
        <v>40</v>
      </c>
      <c r="K82" s="8" t="e">
        <f t="shared" si="6"/>
        <v>#N/A</v>
      </c>
      <c r="L82" s="8">
        <v>2</v>
      </c>
      <c r="M82" s="8">
        <f t="shared" si="9"/>
        <v>6</v>
      </c>
      <c r="N82" s="8" t="s">
        <v>41</v>
      </c>
      <c r="O82" s="8">
        <f t="shared" si="7"/>
        <v>4</v>
      </c>
      <c r="P82" s="8" t="s">
        <v>34</v>
      </c>
      <c r="Q82" s="17" t="s">
        <v>29</v>
      </c>
      <c r="R82" s="8">
        <f>VLOOKUP(Master19[[#This Row],[Elevated Priority]],Epriority,2,)</f>
        <v>0</v>
      </c>
      <c r="S82" s="8" t="e">
        <f>IF(Master19[[#This Row],[Status]]="Active",Master19[[#This Row],[Status_Score]],IF(C82="","",K82+G82+M82+O82+R82-5))</f>
        <v>#N/A</v>
      </c>
      <c r="U82" t="s">
        <v>660</v>
      </c>
    </row>
    <row r="83" spans="1:21" ht="90" hidden="1" x14ac:dyDescent="0.25">
      <c r="A83" s="1">
        <v>82</v>
      </c>
      <c r="B83" s="10" t="s">
        <v>214</v>
      </c>
      <c r="C83" s="10" t="s">
        <v>225</v>
      </c>
      <c r="D83" s="10" t="s">
        <v>226</v>
      </c>
      <c r="E83" s="10" t="s">
        <v>227</v>
      </c>
      <c r="F83" s="10" t="s">
        <v>29</v>
      </c>
      <c r="G83" s="10">
        <f t="shared" si="8"/>
        <v>0</v>
      </c>
      <c r="H83" s="11">
        <v>250000</v>
      </c>
      <c r="I83" s="8">
        <v>2018</v>
      </c>
      <c r="J83" s="10" t="s">
        <v>40</v>
      </c>
      <c r="K83" s="8" t="e">
        <f t="shared" si="6"/>
        <v>#N/A</v>
      </c>
      <c r="L83" s="8">
        <v>2</v>
      </c>
      <c r="M83" s="8">
        <f t="shared" si="9"/>
        <v>6</v>
      </c>
      <c r="N83" s="8" t="s">
        <v>41</v>
      </c>
      <c r="O83" s="8">
        <f t="shared" si="7"/>
        <v>4</v>
      </c>
      <c r="P83" s="8" t="s">
        <v>30</v>
      </c>
      <c r="Q83" s="17" t="s">
        <v>29</v>
      </c>
      <c r="R83" s="8">
        <f>VLOOKUP(Master19[[#This Row],[Elevated Priority]],Epriority,2,)</f>
        <v>0</v>
      </c>
      <c r="S83" s="8" t="e">
        <f>IF(Master19[[#This Row],[Status]]="Active",Master19[[#This Row],[Status_Score]],IF(C83="","",K83+G83+M83+O83+R83-5))</f>
        <v>#N/A</v>
      </c>
    </row>
    <row r="84" spans="1:21" ht="105" hidden="1" x14ac:dyDescent="0.25">
      <c r="A84" s="1">
        <v>83</v>
      </c>
      <c r="B84" s="10" t="s">
        <v>152</v>
      </c>
      <c r="C84" s="10" t="s">
        <v>239</v>
      </c>
      <c r="D84" s="10" t="s">
        <v>240</v>
      </c>
      <c r="E84" s="10" t="s">
        <v>241</v>
      </c>
      <c r="F84" s="10" t="s">
        <v>29</v>
      </c>
      <c r="G84" s="10">
        <f t="shared" si="8"/>
        <v>0</v>
      </c>
      <c r="H84" s="11">
        <v>15000</v>
      </c>
      <c r="I84" s="8">
        <v>2018</v>
      </c>
      <c r="J84" s="10" t="s">
        <v>40</v>
      </c>
      <c r="K84" s="8" t="e">
        <f t="shared" si="6"/>
        <v>#N/A</v>
      </c>
      <c r="L84" s="8">
        <v>2</v>
      </c>
      <c r="M84" s="8">
        <f t="shared" si="9"/>
        <v>6</v>
      </c>
      <c r="N84" s="8" t="s">
        <v>41</v>
      </c>
      <c r="O84" s="8">
        <f t="shared" si="7"/>
        <v>4</v>
      </c>
      <c r="P84" s="8" t="s">
        <v>30</v>
      </c>
      <c r="Q84" s="17" t="s">
        <v>29</v>
      </c>
      <c r="R84" s="8">
        <f>VLOOKUP(Master19[[#This Row],[Elevated Priority]],Epriority,2,)</f>
        <v>0</v>
      </c>
      <c r="S84" s="8" t="e">
        <f>IF(Master19[[#This Row],[Status]]="Active",Master19[[#This Row],[Status_Score]],IF(C84="","",K84+G84+M84+O84+R84-5))</f>
        <v>#N/A</v>
      </c>
    </row>
    <row r="85" spans="1:21" ht="30" hidden="1" x14ac:dyDescent="0.25">
      <c r="A85" s="1">
        <v>84</v>
      </c>
      <c r="B85" s="10" t="s">
        <v>94</v>
      </c>
      <c r="C85" s="10" t="s">
        <v>634</v>
      </c>
      <c r="D85" s="10" t="s">
        <v>172</v>
      </c>
      <c r="E85" s="10" t="s">
        <v>635</v>
      </c>
      <c r="F85" s="10" t="s">
        <v>29</v>
      </c>
      <c r="G85" s="10">
        <f t="shared" si="8"/>
        <v>0</v>
      </c>
      <c r="H85" s="11">
        <v>1500000</v>
      </c>
      <c r="I85" s="8">
        <v>2018</v>
      </c>
      <c r="J85" s="10" t="s">
        <v>36</v>
      </c>
      <c r="K85" s="8">
        <f t="shared" si="6"/>
        <v>10</v>
      </c>
      <c r="L85" s="8">
        <v>12</v>
      </c>
      <c r="M85" s="8">
        <f t="shared" si="9"/>
        <v>22</v>
      </c>
      <c r="N85" s="8" t="s">
        <v>37</v>
      </c>
      <c r="O85" s="8">
        <f t="shared" si="7"/>
        <v>3</v>
      </c>
      <c r="P85" s="8" t="s">
        <v>30</v>
      </c>
      <c r="Q85" s="17" t="s">
        <v>29</v>
      </c>
      <c r="R85" s="8">
        <f>VLOOKUP(Master19[[#This Row],[Elevated Priority]],Epriority,2,)</f>
        <v>0</v>
      </c>
      <c r="S85" s="8">
        <f>IF(Master19[[#This Row],[Status]]="Active",Master19[[#This Row],[Status_Score]],IF(C85="","",K85+G85+M85+O85+R85-5))</f>
        <v>30</v>
      </c>
    </row>
    <row r="86" spans="1:21" ht="45" hidden="1" x14ac:dyDescent="0.25">
      <c r="A86" s="1">
        <v>85</v>
      </c>
      <c r="B86" s="10" t="s">
        <v>79</v>
      </c>
      <c r="C86" s="10" t="s">
        <v>245</v>
      </c>
      <c r="D86" s="10" t="s">
        <v>246</v>
      </c>
      <c r="E86" s="10" t="s">
        <v>247</v>
      </c>
      <c r="F86" s="10" t="s">
        <v>29</v>
      </c>
      <c r="G86" s="10">
        <f t="shared" si="8"/>
        <v>0</v>
      </c>
      <c r="H86" s="11">
        <v>20000</v>
      </c>
      <c r="I86" s="8">
        <v>2018</v>
      </c>
      <c r="J86" s="10" t="s">
        <v>40</v>
      </c>
      <c r="K86" s="8" t="e">
        <f t="shared" ref="K86:K117" si="10">VLOOKUP(J86,Importance,2,FALSE)</f>
        <v>#N/A</v>
      </c>
      <c r="L86" s="8">
        <v>4</v>
      </c>
      <c r="M86" s="8">
        <f t="shared" si="9"/>
        <v>12</v>
      </c>
      <c r="N86" s="8" t="s">
        <v>37</v>
      </c>
      <c r="O86" s="8">
        <f t="shared" si="7"/>
        <v>3</v>
      </c>
      <c r="P86" s="8" t="s">
        <v>30</v>
      </c>
      <c r="Q86" s="17" t="s">
        <v>29</v>
      </c>
      <c r="R86" s="8">
        <f>VLOOKUP(Master19[[#This Row],[Elevated Priority]],Epriority,2,)</f>
        <v>0</v>
      </c>
      <c r="S86" s="8" t="e">
        <f>IF(Master19[[#This Row],[Status]]="Active",Master19[[#This Row],[Status_Score]],IF(C86="","",K86+G86+M86+O86+R86-5))</f>
        <v>#N/A</v>
      </c>
    </row>
    <row r="87" spans="1:21" ht="30" hidden="1" x14ac:dyDescent="0.25">
      <c r="A87" s="1">
        <v>86</v>
      </c>
      <c r="B87" s="10" t="s">
        <v>79</v>
      </c>
      <c r="C87" s="10" t="s">
        <v>248</v>
      </c>
      <c r="D87" s="10" t="s">
        <v>249</v>
      </c>
      <c r="E87" s="10" t="s">
        <v>250</v>
      </c>
      <c r="F87" s="10" t="s">
        <v>29</v>
      </c>
      <c r="G87" s="10">
        <f t="shared" si="8"/>
        <v>0</v>
      </c>
      <c r="H87" s="11">
        <v>250000</v>
      </c>
      <c r="I87" s="8">
        <v>2018</v>
      </c>
      <c r="J87" s="10" t="s">
        <v>36</v>
      </c>
      <c r="K87" s="8">
        <f t="shared" si="10"/>
        <v>10</v>
      </c>
      <c r="L87" s="8">
        <v>6</v>
      </c>
      <c r="M87" s="8">
        <f t="shared" si="9"/>
        <v>18</v>
      </c>
      <c r="N87" s="8" t="s">
        <v>41</v>
      </c>
      <c r="O87" s="8">
        <f t="shared" si="7"/>
        <v>4</v>
      </c>
      <c r="P87" s="8" t="s">
        <v>30</v>
      </c>
      <c r="Q87" s="17" t="s">
        <v>29</v>
      </c>
      <c r="R87" s="8">
        <f>VLOOKUP(Master19[[#This Row],[Elevated Priority]],Epriority,2,)</f>
        <v>0</v>
      </c>
      <c r="S87" s="8">
        <f>IF(Master19[[#This Row],[Status]]="Active",Master19[[#This Row],[Status_Score]],IF(C87="","",K87+G87+M87+O87+R87-5))</f>
        <v>27</v>
      </c>
    </row>
    <row r="88" spans="1:21" ht="30" hidden="1" x14ac:dyDescent="0.25">
      <c r="A88" s="1">
        <v>87</v>
      </c>
      <c r="B88" s="10" t="s">
        <v>94</v>
      </c>
      <c r="C88" s="10" t="s">
        <v>604</v>
      </c>
      <c r="D88" s="10" t="s">
        <v>605</v>
      </c>
      <c r="E88" s="49" t="s">
        <v>606</v>
      </c>
      <c r="F88" s="10" t="s">
        <v>29</v>
      </c>
      <c r="G88" s="10">
        <f t="shared" si="8"/>
        <v>0</v>
      </c>
      <c r="H88" s="11">
        <v>500000</v>
      </c>
      <c r="I88" s="17">
        <v>2019</v>
      </c>
      <c r="J88" s="10" t="s">
        <v>36</v>
      </c>
      <c r="K88" s="8">
        <f t="shared" si="10"/>
        <v>10</v>
      </c>
      <c r="L88" s="8">
        <v>18</v>
      </c>
      <c r="M88" s="8">
        <f t="shared" si="9"/>
        <v>25</v>
      </c>
      <c r="N88" s="8" t="s">
        <v>33</v>
      </c>
      <c r="O88" s="8">
        <f t="shared" si="7"/>
        <v>1</v>
      </c>
      <c r="P88" s="8" t="s">
        <v>30</v>
      </c>
      <c r="Q88" s="8" t="s">
        <v>29</v>
      </c>
      <c r="R88" s="8">
        <f>VLOOKUP(Master19[[#This Row],[Elevated Priority]],Epriority,2,)</f>
        <v>0</v>
      </c>
      <c r="S88" s="8">
        <f>IF(Master19[[#This Row],[Status]]="Active",Master19[[#This Row],[Status_Score]],IF(C88="","",K88+G88+M88+O88+R88-5))</f>
        <v>31</v>
      </c>
      <c r="T88" s="65"/>
    </row>
    <row r="89" spans="1:21" x14ac:dyDescent="0.25">
      <c r="A89" s="1">
        <v>88</v>
      </c>
      <c r="B89" s="10" t="s">
        <v>87</v>
      </c>
      <c r="C89" s="10" t="s">
        <v>260</v>
      </c>
      <c r="D89" s="10" t="s">
        <v>261</v>
      </c>
      <c r="E89" s="10"/>
      <c r="F89" s="10" t="s">
        <v>29</v>
      </c>
      <c r="G89" s="10">
        <f t="shared" si="8"/>
        <v>0</v>
      </c>
      <c r="H89" s="11">
        <v>20000</v>
      </c>
      <c r="I89" s="8">
        <v>2018</v>
      </c>
      <c r="J89" s="10" t="s">
        <v>42</v>
      </c>
      <c r="K89" s="8" t="e">
        <f t="shared" si="10"/>
        <v>#N/A</v>
      </c>
      <c r="L89" s="8">
        <v>1</v>
      </c>
      <c r="M89" s="8">
        <f t="shared" si="9"/>
        <v>3</v>
      </c>
      <c r="N89" s="8" t="s">
        <v>37</v>
      </c>
      <c r="O89" s="8">
        <f t="shared" si="7"/>
        <v>3</v>
      </c>
      <c r="P89" s="8" t="s">
        <v>30</v>
      </c>
      <c r="Q89" s="17" t="s">
        <v>29</v>
      </c>
      <c r="R89" s="8">
        <f>VLOOKUP(Master19[[#This Row],[Elevated Priority]],Epriority,2,)</f>
        <v>0</v>
      </c>
      <c r="S89" s="8" t="e">
        <f>IF(Master19[[#This Row],[Status]]="Active",Master19[[#This Row],[Status_Score]],IF(C89="","",K89+G89+M89+O89+R89-5))</f>
        <v>#N/A</v>
      </c>
    </row>
    <row r="90" spans="1:21" ht="75" hidden="1" x14ac:dyDescent="0.25">
      <c r="A90" s="1">
        <v>89</v>
      </c>
      <c r="B90" s="10" t="s">
        <v>79</v>
      </c>
      <c r="C90" s="10" t="s">
        <v>251</v>
      </c>
      <c r="D90" s="10" t="s">
        <v>252</v>
      </c>
      <c r="E90" s="10" t="s">
        <v>253</v>
      </c>
      <c r="F90" s="10" t="s">
        <v>29</v>
      </c>
      <c r="G90" s="10">
        <f t="shared" si="8"/>
        <v>0</v>
      </c>
      <c r="H90" s="11">
        <v>250000</v>
      </c>
      <c r="I90" s="8">
        <v>2018</v>
      </c>
      <c r="J90" s="10" t="s">
        <v>40</v>
      </c>
      <c r="K90" s="8" t="e">
        <f t="shared" si="10"/>
        <v>#N/A</v>
      </c>
      <c r="L90" s="8">
        <v>3</v>
      </c>
      <c r="M90" s="8">
        <f t="shared" si="9"/>
        <v>9</v>
      </c>
      <c r="N90" s="8" t="s">
        <v>41</v>
      </c>
      <c r="O90" s="8">
        <f t="shared" si="7"/>
        <v>4</v>
      </c>
      <c r="P90" s="8" t="s">
        <v>30</v>
      </c>
      <c r="Q90" s="17" t="s">
        <v>29</v>
      </c>
      <c r="R90" s="8">
        <f>VLOOKUP(Master19[[#This Row],[Elevated Priority]],Epriority,2,)</f>
        <v>0</v>
      </c>
      <c r="S90" s="8" t="e">
        <f>IF(Master19[[#This Row],[Status]]="Active",Master19[[#This Row],[Status_Score]],IF(C90="","",K90+G90+M90+O90+R90-5))</f>
        <v>#N/A</v>
      </c>
    </row>
    <row r="91" spans="1:21" ht="30" hidden="1" x14ac:dyDescent="0.25">
      <c r="A91" s="1">
        <v>90</v>
      </c>
      <c r="B91" s="10" t="s">
        <v>79</v>
      </c>
      <c r="C91" s="10" t="s">
        <v>254</v>
      </c>
      <c r="D91" s="10" t="s">
        <v>255</v>
      </c>
      <c r="E91" s="10" t="s">
        <v>256</v>
      </c>
      <c r="F91" s="10" t="s">
        <v>29</v>
      </c>
      <c r="G91" s="10">
        <f t="shared" si="8"/>
        <v>0</v>
      </c>
      <c r="H91" s="11">
        <v>50000</v>
      </c>
      <c r="I91" s="8">
        <v>2018</v>
      </c>
      <c r="J91" s="10" t="s">
        <v>40</v>
      </c>
      <c r="K91" s="8" t="e">
        <f t="shared" si="10"/>
        <v>#N/A</v>
      </c>
      <c r="L91" s="8">
        <v>3</v>
      </c>
      <c r="M91" s="8">
        <f t="shared" si="9"/>
        <v>9</v>
      </c>
      <c r="N91" s="8" t="s">
        <v>41</v>
      </c>
      <c r="O91" s="8">
        <f t="shared" si="7"/>
        <v>4</v>
      </c>
      <c r="P91" s="8" t="s">
        <v>30</v>
      </c>
      <c r="Q91" s="17" t="s">
        <v>29</v>
      </c>
      <c r="R91" s="8">
        <f>VLOOKUP(Master19[[#This Row],[Elevated Priority]],Epriority,2,)</f>
        <v>0</v>
      </c>
      <c r="S91" s="8" t="e">
        <f>IF(Master19[[#This Row],[Status]]="Active",Master19[[#This Row],[Status_Score]],IF(C91="","",K91+G91+M91+O91+R91-5))</f>
        <v>#N/A</v>
      </c>
    </row>
    <row r="92" spans="1:21" ht="45" hidden="1" x14ac:dyDescent="0.25">
      <c r="A92" s="1">
        <v>91</v>
      </c>
      <c r="B92" s="10" t="s">
        <v>61</v>
      </c>
      <c r="C92" s="10" t="s">
        <v>265</v>
      </c>
      <c r="D92" s="10" t="s">
        <v>662</v>
      </c>
      <c r="E92" s="10" t="s">
        <v>266</v>
      </c>
      <c r="F92" s="10" t="s">
        <v>29</v>
      </c>
      <c r="G92" s="10">
        <f t="shared" si="8"/>
        <v>0</v>
      </c>
      <c r="H92" s="11">
        <v>50000</v>
      </c>
      <c r="I92" s="8">
        <v>2018</v>
      </c>
      <c r="J92" s="10" t="s">
        <v>40</v>
      </c>
      <c r="K92" s="8" t="e">
        <f t="shared" si="10"/>
        <v>#N/A</v>
      </c>
      <c r="L92" s="8">
        <v>3</v>
      </c>
      <c r="M92" s="8">
        <f t="shared" si="9"/>
        <v>9</v>
      </c>
      <c r="N92" s="8" t="s">
        <v>41</v>
      </c>
      <c r="O92" s="8">
        <f t="shared" si="7"/>
        <v>4</v>
      </c>
      <c r="P92" s="8" t="s">
        <v>30</v>
      </c>
      <c r="Q92" s="17" t="s">
        <v>29</v>
      </c>
      <c r="R92" s="8">
        <f>VLOOKUP(Master19[[#This Row],[Elevated Priority]],Epriority,2,)</f>
        <v>0</v>
      </c>
      <c r="S92" s="8" t="e">
        <f>IF(Master19[[#This Row],[Status]]="Active",Master19[[#This Row],[Status_Score]],IF(C92="","",K92+G92+M92+O92+R92-5))</f>
        <v>#N/A</v>
      </c>
    </row>
    <row r="93" spans="1:21" ht="135" hidden="1" x14ac:dyDescent="0.25">
      <c r="A93" s="1">
        <v>92</v>
      </c>
      <c r="B93" s="10" t="s">
        <v>152</v>
      </c>
      <c r="C93" s="10" t="s">
        <v>273</v>
      </c>
      <c r="D93" s="10" t="s">
        <v>274</v>
      </c>
      <c r="E93" s="10" t="s">
        <v>275</v>
      </c>
      <c r="F93" s="10" t="s">
        <v>29</v>
      </c>
      <c r="G93" s="10">
        <f t="shared" si="8"/>
        <v>0</v>
      </c>
      <c r="H93" s="11">
        <v>60000</v>
      </c>
      <c r="I93" s="8">
        <v>2018</v>
      </c>
      <c r="J93" s="10" t="s">
        <v>40</v>
      </c>
      <c r="K93" s="8" t="e">
        <f t="shared" si="10"/>
        <v>#N/A</v>
      </c>
      <c r="L93" s="8">
        <v>3</v>
      </c>
      <c r="M93" s="8">
        <f t="shared" si="9"/>
        <v>9</v>
      </c>
      <c r="N93" s="8" t="s">
        <v>41</v>
      </c>
      <c r="O93" s="8">
        <f t="shared" si="7"/>
        <v>4</v>
      </c>
      <c r="P93" s="8" t="s">
        <v>30</v>
      </c>
      <c r="Q93" s="17" t="s">
        <v>29</v>
      </c>
      <c r="R93" s="8">
        <f>VLOOKUP(Master19[[#This Row],[Elevated Priority]],Epriority,2,)</f>
        <v>0</v>
      </c>
      <c r="S93" s="8" t="e">
        <f>IF(Master19[[#This Row],[Status]]="Active",Master19[[#This Row],[Status_Score]],IF(C93="","",K93+G93+M93+O93+R93-5))</f>
        <v>#N/A</v>
      </c>
    </row>
    <row r="94" spans="1:21" ht="30" hidden="1" x14ac:dyDescent="0.25">
      <c r="A94" s="1">
        <v>93</v>
      </c>
      <c r="B94" s="10" t="s">
        <v>70</v>
      </c>
      <c r="C94" s="10" t="s">
        <v>147</v>
      </c>
      <c r="D94" s="10" t="s">
        <v>148</v>
      </c>
      <c r="E94" s="10"/>
      <c r="F94" s="10" t="s">
        <v>29</v>
      </c>
      <c r="G94" s="10">
        <f t="shared" si="8"/>
        <v>0</v>
      </c>
      <c r="H94" s="11">
        <v>75000</v>
      </c>
      <c r="I94" s="8">
        <v>2018</v>
      </c>
      <c r="J94" s="10" t="s">
        <v>32</v>
      </c>
      <c r="K94" s="8">
        <f t="shared" si="10"/>
        <v>1</v>
      </c>
      <c r="L94" s="8">
        <v>7</v>
      </c>
      <c r="M94" s="8">
        <f t="shared" si="9"/>
        <v>20</v>
      </c>
      <c r="N94" s="8" t="s">
        <v>43</v>
      </c>
      <c r="O94" s="8">
        <f t="shared" ref="O94:O125" si="11">VLOOKUP(N94,Urgency,2,FALSE)</f>
        <v>16</v>
      </c>
      <c r="P94" s="8" t="s">
        <v>34</v>
      </c>
      <c r="Q94" s="17" t="s">
        <v>29</v>
      </c>
      <c r="R94" s="8">
        <f>VLOOKUP(Master19[[#This Row],[Elevated Priority]],Epriority,2,)</f>
        <v>0</v>
      </c>
      <c r="S94" s="8">
        <f>IF(Master19[[#This Row],[Status]]="Active",Master19[[#This Row],[Status_Score]],IF(C94="","",K94+G94+M94+O94+R94-5))</f>
        <v>32</v>
      </c>
    </row>
    <row r="95" spans="1:21" ht="60" hidden="1" x14ac:dyDescent="0.25">
      <c r="A95" s="1">
        <v>94</v>
      </c>
      <c r="B95" s="10" t="s">
        <v>299</v>
      </c>
      <c r="C95" s="10" t="s">
        <v>300</v>
      </c>
      <c r="D95" s="10" t="s">
        <v>301</v>
      </c>
      <c r="E95" s="10" t="s">
        <v>302</v>
      </c>
      <c r="F95" s="10" t="s">
        <v>29</v>
      </c>
      <c r="G95" s="10">
        <f t="shared" si="8"/>
        <v>0</v>
      </c>
      <c r="H95" s="18">
        <v>35000</v>
      </c>
      <c r="I95" s="8">
        <v>2018</v>
      </c>
      <c r="J95" s="10" t="s">
        <v>40</v>
      </c>
      <c r="K95" s="8" t="e">
        <f t="shared" si="10"/>
        <v>#N/A</v>
      </c>
      <c r="L95" s="17">
        <v>1</v>
      </c>
      <c r="M95" s="8">
        <f t="shared" si="9"/>
        <v>3</v>
      </c>
      <c r="N95" s="17" t="s">
        <v>43</v>
      </c>
      <c r="O95" s="8">
        <f t="shared" si="11"/>
        <v>16</v>
      </c>
      <c r="P95" s="8" t="s">
        <v>30</v>
      </c>
      <c r="Q95" s="17" t="s">
        <v>29</v>
      </c>
      <c r="R95" s="8">
        <f>VLOOKUP(Master19[[#This Row],[Elevated Priority]],Epriority,2,)</f>
        <v>0</v>
      </c>
      <c r="S95" s="8" t="e">
        <f>IF(Master19[[#This Row],[Status]]="Active",Master19[[#This Row],[Status_Score]],IF(C95="","",K95+G95+M95+O95+R95-5))</f>
        <v>#N/A</v>
      </c>
    </row>
    <row r="96" spans="1:21" ht="285" hidden="1" x14ac:dyDescent="0.25">
      <c r="A96" s="1">
        <v>95</v>
      </c>
      <c r="B96" s="10" t="s">
        <v>73</v>
      </c>
      <c r="C96" s="10" t="s">
        <v>354</v>
      </c>
      <c r="D96" s="10" t="s">
        <v>355</v>
      </c>
      <c r="E96" s="10" t="s">
        <v>356</v>
      </c>
      <c r="F96" s="10" t="s">
        <v>29</v>
      </c>
      <c r="G96" s="10">
        <f t="shared" si="8"/>
        <v>0</v>
      </c>
      <c r="H96" s="11">
        <v>250000</v>
      </c>
      <c r="I96" s="8">
        <v>2018</v>
      </c>
      <c r="J96" s="10" t="s">
        <v>40</v>
      </c>
      <c r="K96" s="8" t="e">
        <f t="shared" si="10"/>
        <v>#N/A</v>
      </c>
      <c r="L96" s="8">
        <v>1</v>
      </c>
      <c r="M96" s="8">
        <f t="shared" si="9"/>
        <v>3</v>
      </c>
      <c r="N96" s="8" t="s">
        <v>43</v>
      </c>
      <c r="O96" s="8">
        <f t="shared" si="11"/>
        <v>16</v>
      </c>
      <c r="P96" s="8" t="s">
        <v>30</v>
      </c>
      <c r="Q96" s="17" t="s">
        <v>29</v>
      </c>
      <c r="R96" s="8">
        <f>VLOOKUP(Master19[[#This Row],[Elevated Priority]],Epriority,2,)</f>
        <v>0</v>
      </c>
      <c r="S96" s="8" t="e">
        <f>IF(Master19[[#This Row],[Status]]="Active",Master19[[#This Row],[Status_Score]],IF(C96="","",K96+G96+M96+O96+R96-5))</f>
        <v>#N/A</v>
      </c>
    </row>
    <row r="97" spans="1:21" ht="30" hidden="1" x14ac:dyDescent="0.25">
      <c r="A97" s="1">
        <v>96</v>
      </c>
      <c r="B97" s="10" t="s">
        <v>214</v>
      </c>
      <c r="C97" s="10" t="s">
        <v>307</v>
      </c>
      <c r="D97" s="10" t="s">
        <v>308</v>
      </c>
      <c r="E97" s="10" t="s">
        <v>309</v>
      </c>
      <c r="F97" s="10" t="s">
        <v>29</v>
      </c>
      <c r="G97" s="10">
        <f t="shared" si="8"/>
        <v>0</v>
      </c>
      <c r="H97" s="11">
        <v>150000</v>
      </c>
      <c r="I97" s="8">
        <v>2018</v>
      </c>
      <c r="J97" s="10" t="s">
        <v>40</v>
      </c>
      <c r="K97" s="8" t="e">
        <f t="shared" si="10"/>
        <v>#N/A</v>
      </c>
      <c r="L97" s="8">
        <v>4</v>
      </c>
      <c r="M97" s="8">
        <f t="shared" si="9"/>
        <v>12</v>
      </c>
      <c r="N97" s="8" t="s">
        <v>41</v>
      </c>
      <c r="O97" s="8">
        <f t="shared" si="11"/>
        <v>4</v>
      </c>
      <c r="P97" s="8" t="s">
        <v>30</v>
      </c>
      <c r="Q97" s="17" t="s">
        <v>29</v>
      </c>
      <c r="R97" s="8">
        <f>VLOOKUP(Master19[[#This Row],[Elevated Priority]],Epriority,2,)</f>
        <v>0</v>
      </c>
      <c r="S97" s="8" t="e">
        <f>IF(Master19[[#This Row],[Status]]="Active",Master19[[#This Row],[Status_Score]],IF(C97="","",K97+G97+M97+O97+R97-5))</f>
        <v>#N/A</v>
      </c>
    </row>
    <row r="98" spans="1:21" ht="30" x14ac:dyDescent="0.25">
      <c r="A98" s="1">
        <v>97</v>
      </c>
      <c r="B98" s="10" t="s">
        <v>87</v>
      </c>
      <c r="C98" s="10" t="s">
        <v>305</v>
      </c>
      <c r="D98" s="10" t="s">
        <v>306</v>
      </c>
      <c r="E98" s="10"/>
      <c r="F98" s="10" t="s">
        <v>29</v>
      </c>
      <c r="G98" s="10">
        <f t="shared" si="8"/>
        <v>0</v>
      </c>
      <c r="H98" s="11"/>
      <c r="I98" s="8">
        <v>2018</v>
      </c>
      <c r="J98" s="10" t="s">
        <v>40</v>
      </c>
      <c r="K98" s="8" t="e">
        <f t="shared" si="10"/>
        <v>#N/A</v>
      </c>
      <c r="L98" s="8">
        <v>4</v>
      </c>
      <c r="M98" s="8">
        <f t="shared" si="9"/>
        <v>12</v>
      </c>
      <c r="N98" s="8" t="s">
        <v>41</v>
      </c>
      <c r="O98" s="8">
        <f t="shared" si="11"/>
        <v>4</v>
      </c>
      <c r="P98" s="8" t="s">
        <v>30</v>
      </c>
      <c r="Q98" s="17" t="s">
        <v>29</v>
      </c>
      <c r="R98" s="8">
        <f>VLOOKUP(Master19[[#This Row],[Elevated Priority]],Epriority,2,)</f>
        <v>0</v>
      </c>
      <c r="S98" s="8" t="e">
        <f>IF(Master19[[#This Row],[Status]]="Active",Master19[[#This Row],[Status_Score]],IF(C98="","",K98+G98+M98+O98+R98-5))</f>
        <v>#N/A</v>
      </c>
    </row>
    <row r="99" spans="1:21" ht="105" hidden="1" x14ac:dyDescent="0.25">
      <c r="A99" s="1">
        <v>98</v>
      </c>
      <c r="B99" s="10" t="s">
        <v>61</v>
      </c>
      <c r="C99" s="10" t="s">
        <v>313</v>
      </c>
      <c r="D99" s="10" t="s">
        <v>314</v>
      </c>
      <c r="E99" s="10" t="s">
        <v>315</v>
      </c>
      <c r="F99" s="10" t="s">
        <v>29</v>
      </c>
      <c r="G99" s="10">
        <f t="shared" si="8"/>
        <v>0</v>
      </c>
      <c r="H99" s="11">
        <v>10000000</v>
      </c>
      <c r="I99" s="8">
        <v>2018</v>
      </c>
      <c r="J99" s="10" t="s">
        <v>42</v>
      </c>
      <c r="K99" s="8" t="e">
        <f t="shared" si="10"/>
        <v>#N/A</v>
      </c>
      <c r="L99" s="8">
        <v>1</v>
      </c>
      <c r="M99" s="8">
        <f t="shared" si="9"/>
        <v>3</v>
      </c>
      <c r="N99" s="8" t="s">
        <v>41</v>
      </c>
      <c r="O99" s="8">
        <f t="shared" si="11"/>
        <v>4</v>
      </c>
      <c r="P99" s="8" t="s">
        <v>34</v>
      </c>
      <c r="Q99" s="17" t="s">
        <v>29</v>
      </c>
      <c r="R99" s="8">
        <f>VLOOKUP(Master19[[#This Row],[Elevated Priority]],Epriority,2,)</f>
        <v>0</v>
      </c>
      <c r="S99" s="8" t="e">
        <f>IF(Master19[[#This Row],[Status]]="Active",Master19[[#This Row],[Status_Score]],IF(C99="","",K99+G99+M99+O99+R99-5))</f>
        <v>#N/A</v>
      </c>
    </row>
    <row r="100" spans="1:21" ht="45" hidden="1" x14ac:dyDescent="0.25">
      <c r="A100" s="1">
        <v>99</v>
      </c>
      <c r="B100" s="10" t="s">
        <v>91</v>
      </c>
      <c r="C100" s="10" t="s">
        <v>242</v>
      </c>
      <c r="D100" s="10" t="s">
        <v>243</v>
      </c>
      <c r="E100" s="10" t="s">
        <v>244</v>
      </c>
      <c r="F100" s="10" t="s">
        <v>29</v>
      </c>
      <c r="G100" s="10">
        <f t="shared" si="8"/>
        <v>0</v>
      </c>
      <c r="H100" s="11">
        <v>350000</v>
      </c>
      <c r="I100" s="8">
        <v>2018</v>
      </c>
      <c r="J100" s="10" t="s">
        <v>36</v>
      </c>
      <c r="K100" s="8">
        <f t="shared" si="10"/>
        <v>10</v>
      </c>
      <c r="L100" s="8">
        <v>5</v>
      </c>
      <c r="M100" s="8">
        <f t="shared" si="9"/>
        <v>15</v>
      </c>
      <c r="N100" s="8" t="s">
        <v>43</v>
      </c>
      <c r="O100" s="8">
        <f t="shared" si="11"/>
        <v>16</v>
      </c>
      <c r="P100" s="8" t="s">
        <v>30</v>
      </c>
      <c r="Q100" s="17" t="s">
        <v>29</v>
      </c>
      <c r="R100" s="8">
        <f>VLOOKUP(Master19[[#This Row],[Elevated Priority]],Epriority,2,)</f>
        <v>0</v>
      </c>
      <c r="S100" s="8">
        <f>IF(Master19[[#This Row],[Status]]="Active",Master19[[#This Row],[Status_Score]],IF(C100="","",K100+G100+M100+O100+R100-5))</f>
        <v>36</v>
      </c>
    </row>
    <row r="101" spans="1:21" ht="45" hidden="1" x14ac:dyDescent="0.25">
      <c r="A101" s="1">
        <v>100</v>
      </c>
      <c r="B101" s="10" t="s">
        <v>79</v>
      </c>
      <c r="C101" s="10" t="s">
        <v>310</v>
      </c>
      <c r="D101" s="10" t="s">
        <v>311</v>
      </c>
      <c r="E101" s="10" t="s">
        <v>312</v>
      </c>
      <c r="F101" s="10" t="s">
        <v>29</v>
      </c>
      <c r="G101" s="10">
        <f t="shared" si="8"/>
        <v>0</v>
      </c>
      <c r="H101" s="11">
        <v>250000</v>
      </c>
      <c r="I101" s="8">
        <v>2018</v>
      </c>
      <c r="J101" s="10" t="s">
        <v>36</v>
      </c>
      <c r="K101" s="8">
        <f t="shared" si="10"/>
        <v>10</v>
      </c>
      <c r="L101" s="8">
        <v>5</v>
      </c>
      <c r="M101" s="8">
        <f t="shared" si="9"/>
        <v>15</v>
      </c>
      <c r="N101" s="8" t="s">
        <v>43</v>
      </c>
      <c r="O101" s="8">
        <f t="shared" si="11"/>
        <v>16</v>
      </c>
      <c r="P101" s="8" t="s">
        <v>34</v>
      </c>
      <c r="Q101" s="17" t="s">
        <v>29</v>
      </c>
      <c r="R101" s="8">
        <f>VLOOKUP(Master19[[#This Row],[Elevated Priority]],Epriority,2,)</f>
        <v>0</v>
      </c>
      <c r="S101" s="8">
        <f>IF(Master19[[#This Row],[Status]]="Active",Master19[[#This Row],[Status_Score]],IF(C101="","",K101+G101+M101+O101+R101-5))</f>
        <v>36</v>
      </c>
    </row>
    <row r="102" spans="1:21" ht="105" hidden="1" x14ac:dyDescent="0.25">
      <c r="A102" s="1">
        <v>101</v>
      </c>
      <c r="B102" s="10" t="s">
        <v>61</v>
      </c>
      <c r="C102" s="10" t="s">
        <v>316</v>
      </c>
      <c r="D102" s="10" t="s">
        <v>317</v>
      </c>
      <c r="E102" s="10" t="s">
        <v>318</v>
      </c>
      <c r="F102" s="10" t="s">
        <v>29</v>
      </c>
      <c r="G102" s="10">
        <f t="shared" si="8"/>
        <v>0</v>
      </c>
      <c r="H102" s="11">
        <v>3000000</v>
      </c>
      <c r="I102" s="8">
        <v>2018</v>
      </c>
      <c r="J102" s="10" t="s">
        <v>40</v>
      </c>
      <c r="K102" s="8" t="e">
        <f t="shared" si="10"/>
        <v>#N/A</v>
      </c>
      <c r="L102" s="8">
        <v>2</v>
      </c>
      <c r="M102" s="8">
        <f t="shared" si="9"/>
        <v>6</v>
      </c>
      <c r="N102" s="8" t="s">
        <v>43</v>
      </c>
      <c r="O102" s="8">
        <f t="shared" si="11"/>
        <v>16</v>
      </c>
      <c r="P102" s="8" t="s">
        <v>34</v>
      </c>
      <c r="Q102" s="17" t="s">
        <v>29</v>
      </c>
      <c r="R102" s="8">
        <f>VLOOKUP(Master19[[#This Row],[Elevated Priority]],Epriority,2,)</f>
        <v>0</v>
      </c>
      <c r="S102" s="8" t="e">
        <f>IF(Master19[[#This Row],[Status]]="Active",Master19[[#This Row],[Status_Score]],IF(C102="","",K102+G102+M102+O102+R102-5))</f>
        <v>#N/A</v>
      </c>
    </row>
    <row r="103" spans="1:21" ht="30" hidden="1" x14ac:dyDescent="0.25">
      <c r="A103" s="1">
        <v>102</v>
      </c>
      <c r="B103" s="10" t="s">
        <v>70</v>
      </c>
      <c r="C103" s="10" t="s">
        <v>294</v>
      </c>
      <c r="D103" s="10" t="s">
        <v>295</v>
      </c>
      <c r="E103" s="10"/>
      <c r="F103" s="10" t="s">
        <v>29</v>
      </c>
      <c r="G103" s="10">
        <f t="shared" si="8"/>
        <v>0</v>
      </c>
      <c r="H103" s="11">
        <v>1000000</v>
      </c>
      <c r="I103" s="8">
        <v>2018</v>
      </c>
      <c r="J103" s="10" t="s">
        <v>42</v>
      </c>
      <c r="K103" s="8" t="e">
        <f t="shared" si="10"/>
        <v>#N/A</v>
      </c>
      <c r="L103" s="8">
        <v>2</v>
      </c>
      <c r="M103" s="8">
        <f t="shared" si="9"/>
        <v>6</v>
      </c>
      <c r="N103" s="8" t="s">
        <v>41</v>
      </c>
      <c r="O103" s="8">
        <f t="shared" si="11"/>
        <v>4</v>
      </c>
      <c r="P103" s="8" t="s">
        <v>30</v>
      </c>
      <c r="Q103" s="17" t="s">
        <v>29</v>
      </c>
      <c r="R103" s="8">
        <f>VLOOKUP(Master19[[#This Row],[Elevated Priority]],Epriority,2,)</f>
        <v>0</v>
      </c>
      <c r="S103" s="8" t="e">
        <f>IF(Master19[[#This Row],[Status]]="Active",Master19[[#This Row],[Status_Score]],IF(C103="","",K103+G103+M103+O103+R103-5))</f>
        <v>#N/A</v>
      </c>
    </row>
    <row r="104" spans="1:21" ht="30" hidden="1" x14ac:dyDescent="0.25">
      <c r="A104" s="1">
        <v>103</v>
      </c>
      <c r="B104" s="10" t="s">
        <v>94</v>
      </c>
      <c r="C104" s="10" t="s">
        <v>583</v>
      </c>
      <c r="D104" s="10" t="s">
        <v>609</v>
      </c>
      <c r="E104" s="10" t="s">
        <v>138</v>
      </c>
      <c r="F104" s="10" t="s">
        <v>29</v>
      </c>
      <c r="G104" s="10">
        <f t="shared" si="8"/>
        <v>0</v>
      </c>
      <c r="H104" s="11"/>
      <c r="I104" s="17">
        <v>2019</v>
      </c>
      <c r="J104" s="10" t="s">
        <v>40</v>
      </c>
      <c r="K104" s="8" t="e">
        <f t="shared" si="10"/>
        <v>#N/A</v>
      </c>
      <c r="L104" s="8">
        <v>9</v>
      </c>
      <c r="M104" s="8">
        <f t="shared" si="9"/>
        <v>21</v>
      </c>
      <c r="N104" s="8" t="s">
        <v>37</v>
      </c>
      <c r="O104" s="8">
        <f t="shared" si="11"/>
        <v>3</v>
      </c>
      <c r="P104" s="8" t="s">
        <v>30</v>
      </c>
      <c r="Q104" s="17" t="s">
        <v>29</v>
      </c>
      <c r="R104" s="8">
        <f>VLOOKUP(Master19[[#This Row],[Elevated Priority]],Epriority,2,)</f>
        <v>0</v>
      </c>
      <c r="S104" s="8" t="e">
        <f>IF(Master19[[#This Row],[Status]]="Active",Master19[[#This Row],[Status_Score]],IF(C104="","",K104+G104+M104+O104+R104-5))</f>
        <v>#N/A</v>
      </c>
      <c r="T104" s="65"/>
      <c r="U104" t="s">
        <v>656</v>
      </c>
    </row>
    <row r="105" spans="1:21" hidden="1" x14ac:dyDescent="0.25">
      <c r="A105" s="1">
        <v>104</v>
      </c>
      <c r="B105" s="10" t="s">
        <v>70</v>
      </c>
      <c r="C105" s="10" t="s">
        <v>327</v>
      </c>
      <c r="E105" s="10"/>
      <c r="F105" s="10" t="s">
        <v>29</v>
      </c>
      <c r="G105" s="10">
        <f t="shared" si="8"/>
        <v>0</v>
      </c>
      <c r="H105" s="11">
        <v>50000</v>
      </c>
      <c r="I105" s="8">
        <v>2018</v>
      </c>
      <c r="J105" s="10" t="s">
        <v>42</v>
      </c>
      <c r="K105" s="8" t="e">
        <f t="shared" si="10"/>
        <v>#N/A</v>
      </c>
      <c r="L105" s="8" t="s">
        <v>29</v>
      </c>
      <c r="M105" s="8">
        <f t="shared" si="9"/>
        <v>0</v>
      </c>
      <c r="N105" s="8" t="s">
        <v>43</v>
      </c>
      <c r="O105" s="8">
        <f t="shared" si="11"/>
        <v>16</v>
      </c>
      <c r="P105" s="8" t="s">
        <v>30</v>
      </c>
      <c r="Q105" s="17" t="s">
        <v>29</v>
      </c>
      <c r="R105" s="8">
        <f>VLOOKUP(Master19[[#This Row],[Elevated Priority]],Epriority,2,)</f>
        <v>0</v>
      </c>
      <c r="S105" s="8" t="e">
        <f>IF(Master19[[#This Row],[Status]]="Active",Master19[[#This Row],[Status_Score]],IF(C105="","",K105+G105+M105+O105+R105-5))</f>
        <v>#N/A</v>
      </c>
    </row>
    <row r="106" spans="1:21" ht="45" hidden="1" x14ac:dyDescent="0.25">
      <c r="A106" s="1">
        <v>105</v>
      </c>
      <c r="B106" s="10" t="s">
        <v>79</v>
      </c>
      <c r="C106" s="10" t="s">
        <v>325</v>
      </c>
      <c r="D106" s="10" t="s">
        <v>326</v>
      </c>
      <c r="E106" s="10" t="s">
        <v>663</v>
      </c>
      <c r="F106" s="10" t="s">
        <v>29</v>
      </c>
      <c r="G106" s="10">
        <f t="shared" si="8"/>
        <v>0</v>
      </c>
      <c r="H106" s="11">
        <v>500000</v>
      </c>
      <c r="I106" s="8">
        <v>2018</v>
      </c>
      <c r="J106" s="10" t="s">
        <v>36</v>
      </c>
      <c r="K106" s="8">
        <f t="shared" si="10"/>
        <v>10</v>
      </c>
      <c r="L106" s="8">
        <v>8</v>
      </c>
      <c r="M106" s="8">
        <f t="shared" si="9"/>
        <v>20</v>
      </c>
      <c r="N106" s="8" t="s">
        <v>43</v>
      </c>
      <c r="O106" s="8">
        <f t="shared" si="11"/>
        <v>16</v>
      </c>
      <c r="P106" s="8" t="s">
        <v>30</v>
      </c>
      <c r="Q106" s="17" t="s">
        <v>29</v>
      </c>
      <c r="R106" s="8">
        <f>VLOOKUP(Master19[[#This Row],[Elevated Priority]],Epriority,2,)</f>
        <v>0</v>
      </c>
      <c r="S106" s="8">
        <f>IF(Master19[[#This Row],[Status]]="Active",Master19[[#This Row],[Status_Score]],IF(C106="","",K106+G106+M106+O106+R106-5))</f>
        <v>41</v>
      </c>
    </row>
    <row r="107" spans="1:21" ht="105" hidden="1" x14ac:dyDescent="0.25">
      <c r="A107" s="1">
        <v>106</v>
      </c>
      <c r="B107" s="10" t="s">
        <v>143</v>
      </c>
      <c r="C107" s="10" t="s">
        <v>333</v>
      </c>
      <c r="D107" s="10" t="s">
        <v>334</v>
      </c>
      <c r="E107" s="10" t="s">
        <v>335</v>
      </c>
      <c r="F107" s="10" t="s">
        <v>29</v>
      </c>
      <c r="G107" s="10">
        <f t="shared" si="8"/>
        <v>0</v>
      </c>
      <c r="H107" s="18">
        <v>40000</v>
      </c>
      <c r="I107" s="8">
        <v>2018</v>
      </c>
      <c r="J107" s="10" t="s">
        <v>44</v>
      </c>
      <c r="K107" s="8" t="e">
        <f t="shared" si="10"/>
        <v>#N/A</v>
      </c>
      <c r="L107" s="17">
        <v>1</v>
      </c>
      <c r="M107" s="8">
        <f t="shared" si="9"/>
        <v>3</v>
      </c>
      <c r="N107" s="17" t="s">
        <v>37</v>
      </c>
      <c r="O107" s="8">
        <f t="shared" si="11"/>
        <v>3</v>
      </c>
      <c r="P107" s="8" t="s">
        <v>30</v>
      </c>
      <c r="Q107" s="17" t="s">
        <v>29</v>
      </c>
      <c r="R107" s="8">
        <f>VLOOKUP(Master19[[#This Row],[Elevated Priority]],Epriority,2,)</f>
        <v>0</v>
      </c>
      <c r="S107" s="8" t="e">
        <f>IF(Master19[[#This Row],[Status]]="Active",Master19[[#This Row],[Status_Score]],IF(C107="","",K107+G107+M107+O107+R107-5))</f>
        <v>#N/A</v>
      </c>
      <c r="U107" t="s">
        <v>664</v>
      </c>
    </row>
    <row r="108" spans="1:21" ht="30" hidden="1" x14ac:dyDescent="0.25">
      <c r="A108" s="1">
        <v>107</v>
      </c>
      <c r="B108" s="10" t="s">
        <v>72</v>
      </c>
      <c r="C108" s="10" t="s">
        <v>336</v>
      </c>
      <c r="D108" s="10" t="s">
        <v>337</v>
      </c>
      <c r="E108" s="10" t="s">
        <v>338</v>
      </c>
      <c r="F108" s="10" t="s">
        <v>29</v>
      </c>
      <c r="G108" s="10">
        <f t="shared" si="8"/>
        <v>0</v>
      </c>
      <c r="H108" s="11">
        <v>2500000</v>
      </c>
      <c r="I108" s="8">
        <v>2018</v>
      </c>
      <c r="J108" s="10" t="s">
        <v>44</v>
      </c>
      <c r="K108" s="8" t="e">
        <f t="shared" si="10"/>
        <v>#N/A</v>
      </c>
      <c r="L108" s="8">
        <v>1</v>
      </c>
      <c r="M108" s="8">
        <f t="shared" si="9"/>
        <v>3</v>
      </c>
      <c r="N108" s="8" t="s">
        <v>37</v>
      </c>
      <c r="O108" s="8">
        <f t="shared" si="11"/>
        <v>3</v>
      </c>
      <c r="P108" s="8" t="s">
        <v>34</v>
      </c>
      <c r="Q108" s="17" t="s">
        <v>29</v>
      </c>
      <c r="R108" s="8">
        <f>VLOOKUP(Master19[[#This Row],[Elevated Priority]],Epriority,2,)</f>
        <v>0</v>
      </c>
      <c r="S108" s="8" t="e">
        <f>IF(Master19[[#This Row],[Status]]="Active",Master19[[#This Row],[Status_Score]],IF(C108="","",K108+G108+M108+O108+R108-5))</f>
        <v>#N/A</v>
      </c>
    </row>
    <row r="109" spans="1:21" ht="45" hidden="1" x14ac:dyDescent="0.25">
      <c r="A109" s="1">
        <v>108</v>
      </c>
      <c r="B109" s="10" t="s">
        <v>220</v>
      </c>
      <c r="C109" s="10" t="s">
        <v>339</v>
      </c>
      <c r="D109" s="10" t="s">
        <v>340</v>
      </c>
      <c r="E109" s="10" t="s">
        <v>341</v>
      </c>
      <c r="F109" s="10" t="s">
        <v>29</v>
      </c>
      <c r="G109" s="10">
        <f t="shared" si="8"/>
        <v>0</v>
      </c>
      <c r="H109" s="11" t="s">
        <v>224</v>
      </c>
      <c r="I109" s="8">
        <v>2018</v>
      </c>
      <c r="J109" s="10" t="s">
        <v>44</v>
      </c>
      <c r="K109" s="8" t="e">
        <f t="shared" si="10"/>
        <v>#N/A</v>
      </c>
      <c r="L109" s="8">
        <v>1</v>
      </c>
      <c r="M109" s="8">
        <f t="shared" si="9"/>
        <v>3</v>
      </c>
      <c r="N109" s="8" t="s">
        <v>37</v>
      </c>
      <c r="O109" s="8">
        <f t="shared" si="11"/>
        <v>3</v>
      </c>
      <c r="P109" s="8" t="s">
        <v>34</v>
      </c>
      <c r="Q109" s="17" t="s">
        <v>29</v>
      </c>
      <c r="R109" s="8">
        <f>VLOOKUP(Master19[[#This Row],[Elevated Priority]],Epriority,2,)</f>
        <v>0</v>
      </c>
      <c r="S109" s="8" t="e">
        <f>IF(Master19[[#This Row],[Status]]="Active",Master19[[#This Row],[Status_Score]],IF(C109="","",K109+G109+M109+O109+R109-5))</f>
        <v>#N/A</v>
      </c>
    </row>
    <row r="110" spans="1:21" hidden="1" x14ac:dyDescent="0.25">
      <c r="A110" s="1">
        <v>109</v>
      </c>
      <c r="B110" s="10" t="s">
        <v>70</v>
      </c>
      <c r="C110" s="10" t="s">
        <v>276</v>
      </c>
      <c r="D110" s="10" t="s">
        <v>277</v>
      </c>
      <c r="E110" s="10" t="s">
        <v>278</v>
      </c>
      <c r="F110" s="10" t="s">
        <v>29</v>
      </c>
      <c r="G110" s="10">
        <f t="shared" si="8"/>
        <v>0</v>
      </c>
      <c r="H110" s="11">
        <v>10000</v>
      </c>
      <c r="I110" s="8">
        <v>2018</v>
      </c>
      <c r="J110" s="10" t="s">
        <v>42</v>
      </c>
      <c r="K110" s="8" t="e">
        <f t="shared" si="10"/>
        <v>#N/A</v>
      </c>
      <c r="L110" s="8">
        <v>3</v>
      </c>
      <c r="M110" s="8">
        <f t="shared" si="9"/>
        <v>9</v>
      </c>
      <c r="N110" s="8" t="s">
        <v>41</v>
      </c>
      <c r="O110" s="8">
        <f t="shared" si="11"/>
        <v>4</v>
      </c>
      <c r="P110" s="8" t="s">
        <v>30</v>
      </c>
      <c r="Q110" s="17" t="s">
        <v>29</v>
      </c>
      <c r="R110" s="8">
        <f>VLOOKUP(Master19[[#This Row],[Elevated Priority]],Epriority,2,)</f>
        <v>0</v>
      </c>
      <c r="S110" s="8" t="e">
        <f>IF(Master19[[#This Row],[Status]]="Active",Master19[[#This Row],[Status_Score]],IF(C110="","",K110+G110+M110+O110+R110-5))</f>
        <v>#N/A</v>
      </c>
    </row>
    <row r="111" spans="1:21" ht="45" hidden="1" x14ac:dyDescent="0.25">
      <c r="A111" s="1">
        <v>110</v>
      </c>
      <c r="B111" s="10" t="s">
        <v>70</v>
      </c>
      <c r="C111" s="10" t="s">
        <v>279</v>
      </c>
      <c r="D111" s="10" t="s">
        <v>280</v>
      </c>
      <c r="E111" s="10" t="s">
        <v>281</v>
      </c>
      <c r="F111" s="10" t="s">
        <v>29</v>
      </c>
      <c r="G111" s="10">
        <f t="shared" si="8"/>
        <v>0</v>
      </c>
      <c r="H111" s="11">
        <v>200000</v>
      </c>
      <c r="I111" s="8">
        <v>2018</v>
      </c>
      <c r="J111" s="10" t="s">
        <v>42</v>
      </c>
      <c r="K111" s="8" t="e">
        <f t="shared" si="10"/>
        <v>#N/A</v>
      </c>
      <c r="L111" s="8">
        <v>3</v>
      </c>
      <c r="M111" s="8">
        <f t="shared" si="9"/>
        <v>9</v>
      </c>
      <c r="N111" s="8" t="s">
        <v>41</v>
      </c>
      <c r="O111" s="8">
        <f t="shared" si="11"/>
        <v>4</v>
      </c>
      <c r="P111" s="8" t="s">
        <v>30</v>
      </c>
      <c r="Q111" s="17" t="s">
        <v>29</v>
      </c>
      <c r="R111" s="8">
        <f>VLOOKUP(Master19[[#This Row],[Elevated Priority]],Epriority,2,)</f>
        <v>0</v>
      </c>
      <c r="S111" s="8" t="e">
        <f>IF(Master19[[#This Row],[Status]]="Active",Master19[[#This Row],[Status_Score]],IF(C111="","",K111+G111+M111+O111+R111-5))</f>
        <v>#N/A</v>
      </c>
    </row>
    <row r="112" spans="1:21" ht="45" hidden="1" x14ac:dyDescent="0.25">
      <c r="A112" s="1">
        <v>111</v>
      </c>
      <c r="B112" s="10" t="s">
        <v>70</v>
      </c>
      <c r="C112" s="10" t="s">
        <v>282</v>
      </c>
      <c r="D112" s="10" t="s">
        <v>283</v>
      </c>
      <c r="E112" s="10" t="s">
        <v>284</v>
      </c>
      <c r="F112" s="10" t="s">
        <v>29</v>
      </c>
      <c r="G112" s="10">
        <f t="shared" si="8"/>
        <v>0</v>
      </c>
      <c r="H112" s="11">
        <v>60000</v>
      </c>
      <c r="I112" s="8">
        <v>2018</v>
      </c>
      <c r="J112" s="10" t="s">
        <v>42</v>
      </c>
      <c r="K112" s="8" t="e">
        <f t="shared" si="10"/>
        <v>#N/A</v>
      </c>
      <c r="L112" s="8">
        <v>3</v>
      </c>
      <c r="M112" s="8">
        <f t="shared" si="9"/>
        <v>9</v>
      </c>
      <c r="N112" s="8" t="s">
        <v>41</v>
      </c>
      <c r="O112" s="8">
        <f t="shared" si="11"/>
        <v>4</v>
      </c>
      <c r="P112" s="8" t="s">
        <v>30</v>
      </c>
      <c r="Q112" s="17" t="s">
        <v>29</v>
      </c>
      <c r="R112" s="8">
        <f>VLOOKUP(Master19[[#This Row],[Elevated Priority]],Epriority,2,)</f>
        <v>0</v>
      </c>
      <c r="S112" s="8" t="e">
        <f>IF(Master19[[#This Row],[Status]]="Active",Master19[[#This Row],[Status_Score]],IF(C112="","",K112+G112+M112+O112+R112-5))</f>
        <v>#N/A</v>
      </c>
    </row>
    <row r="113" spans="1:21" ht="150" hidden="1" x14ac:dyDescent="0.25">
      <c r="A113" s="1">
        <v>112</v>
      </c>
      <c r="B113" s="10" t="s">
        <v>61</v>
      </c>
      <c r="C113" s="10" t="s">
        <v>342</v>
      </c>
      <c r="D113" s="10" t="s">
        <v>343</v>
      </c>
      <c r="E113" s="10" t="s">
        <v>344</v>
      </c>
      <c r="F113" s="10" t="s">
        <v>29</v>
      </c>
      <c r="G113" s="10">
        <f t="shared" si="8"/>
        <v>0</v>
      </c>
      <c r="H113" s="11">
        <v>75000</v>
      </c>
      <c r="I113" s="8">
        <v>2018</v>
      </c>
      <c r="J113" s="10" t="s">
        <v>42</v>
      </c>
      <c r="K113" s="8" t="e">
        <f t="shared" si="10"/>
        <v>#N/A</v>
      </c>
      <c r="L113" s="8">
        <v>3</v>
      </c>
      <c r="M113" s="8">
        <f t="shared" si="9"/>
        <v>9</v>
      </c>
      <c r="N113" s="8" t="s">
        <v>41</v>
      </c>
      <c r="O113" s="8">
        <f t="shared" si="11"/>
        <v>4</v>
      </c>
      <c r="P113" s="8" t="s">
        <v>30</v>
      </c>
      <c r="Q113" s="17" t="s">
        <v>29</v>
      </c>
      <c r="R113" s="8">
        <f>VLOOKUP(Master19[[#This Row],[Elevated Priority]],Epriority,2,)</f>
        <v>0</v>
      </c>
      <c r="S113" s="8" t="e">
        <f>IF(Master19[[#This Row],[Status]]="Active",Master19[[#This Row],[Status_Score]],IF(C113="","",K113+G113+M113+O113+R113-5))</f>
        <v>#N/A</v>
      </c>
    </row>
    <row r="114" spans="1:21" ht="30" hidden="1" x14ac:dyDescent="0.25">
      <c r="A114" s="1">
        <v>113</v>
      </c>
      <c r="B114" s="10" t="s">
        <v>61</v>
      </c>
      <c r="C114" s="10" t="s">
        <v>345</v>
      </c>
      <c r="D114" s="10" t="s">
        <v>346</v>
      </c>
      <c r="E114" s="10" t="s">
        <v>347</v>
      </c>
      <c r="F114" s="10" t="s">
        <v>29</v>
      </c>
      <c r="G114" s="10">
        <f t="shared" si="8"/>
        <v>0</v>
      </c>
      <c r="H114" s="11">
        <v>75000</v>
      </c>
      <c r="I114" s="8">
        <v>2018</v>
      </c>
      <c r="J114" s="10" t="s">
        <v>42</v>
      </c>
      <c r="K114" s="8" t="e">
        <f t="shared" si="10"/>
        <v>#N/A</v>
      </c>
      <c r="L114" s="8">
        <v>3</v>
      </c>
      <c r="M114" s="8">
        <f t="shared" si="9"/>
        <v>9</v>
      </c>
      <c r="N114" s="8" t="s">
        <v>41</v>
      </c>
      <c r="O114" s="8">
        <f t="shared" si="11"/>
        <v>4</v>
      </c>
      <c r="P114" s="8" t="s">
        <v>30</v>
      </c>
      <c r="Q114" s="17" t="s">
        <v>29</v>
      </c>
      <c r="R114" s="8">
        <f>VLOOKUP(Master19[[#This Row],[Elevated Priority]],Epriority,2,)</f>
        <v>0</v>
      </c>
      <c r="S114" s="8" t="e">
        <f>IF(Master19[[#This Row],[Status]]="Active",Master19[[#This Row],[Status_Score]],IF(C114="","",K114+G114+M114+O114+R114-5))</f>
        <v>#N/A</v>
      </c>
    </row>
    <row r="115" spans="1:21" ht="90" hidden="1" x14ac:dyDescent="0.25">
      <c r="A115" s="1">
        <v>114</v>
      </c>
      <c r="B115" s="10" t="s">
        <v>61</v>
      </c>
      <c r="C115" s="10" t="s">
        <v>348</v>
      </c>
      <c r="D115" s="10" t="s">
        <v>349</v>
      </c>
      <c r="E115" s="10" t="s">
        <v>350</v>
      </c>
      <c r="F115" s="10" t="s">
        <v>29</v>
      </c>
      <c r="G115" s="10">
        <f t="shared" si="8"/>
        <v>0</v>
      </c>
      <c r="H115" s="11">
        <v>125000</v>
      </c>
      <c r="I115" s="8">
        <v>2018</v>
      </c>
      <c r="J115" s="10" t="s">
        <v>42</v>
      </c>
      <c r="K115" s="8" t="e">
        <f t="shared" si="10"/>
        <v>#N/A</v>
      </c>
      <c r="L115" s="8">
        <v>3</v>
      </c>
      <c r="M115" s="8">
        <f t="shared" si="9"/>
        <v>9</v>
      </c>
      <c r="N115" s="8" t="s">
        <v>41</v>
      </c>
      <c r="O115" s="8">
        <f t="shared" si="11"/>
        <v>4</v>
      </c>
      <c r="P115" s="8" t="s">
        <v>30</v>
      </c>
      <c r="Q115" s="17" t="s">
        <v>29</v>
      </c>
      <c r="R115" s="8">
        <f>VLOOKUP(Master19[[#This Row],[Elevated Priority]],Epriority,2,)</f>
        <v>0</v>
      </c>
      <c r="S115" s="8" t="e">
        <f>IF(Master19[[#This Row],[Status]]="Active",Master19[[#This Row],[Status_Score]],IF(C115="","",K115+G115+M115+O115+R115-5))</f>
        <v>#N/A</v>
      </c>
    </row>
    <row r="116" spans="1:21" ht="30" hidden="1" x14ac:dyDescent="0.25">
      <c r="A116" s="1">
        <v>115</v>
      </c>
      <c r="B116" s="10" t="s">
        <v>94</v>
      </c>
      <c r="C116" s="10" t="s">
        <v>232</v>
      </c>
      <c r="D116" s="10" t="s">
        <v>233</v>
      </c>
      <c r="E116" s="10" t="s">
        <v>138</v>
      </c>
      <c r="F116" s="10" t="s">
        <v>29</v>
      </c>
      <c r="G116" s="10">
        <f t="shared" si="8"/>
        <v>0</v>
      </c>
      <c r="H116" s="11">
        <v>1500000</v>
      </c>
      <c r="I116" s="8">
        <v>2018</v>
      </c>
      <c r="J116" s="10" t="s">
        <v>40</v>
      </c>
      <c r="K116" s="8" t="e">
        <f t="shared" si="10"/>
        <v>#N/A</v>
      </c>
      <c r="L116" s="8">
        <v>7</v>
      </c>
      <c r="M116" s="8">
        <f t="shared" si="9"/>
        <v>20</v>
      </c>
      <c r="N116" s="8" t="s">
        <v>41</v>
      </c>
      <c r="O116" s="8">
        <f t="shared" si="11"/>
        <v>4</v>
      </c>
      <c r="P116" s="8" t="s">
        <v>30</v>
      </c>
      <c r="Q116" s="17" t="s">
        <v>29</v>
      </c>
      <c r="R116" s="8">
        <f>VLOOKUP(Master19[[#This Row],[Elevated Priority]],Epriority,2,)</f>
        <v>0</v>
      </c>
      <c r="S116" s="8" t="e">
        <f>IF(Master19[[#This Row],[Status]]="Active",Master19[[#This Row],[Status_Score]],IF(C116="","",K116+G116+M116+O116+R116-5))</f>
        <v>#N/A</v>
      </c>
    </row>
    <row r="117" spans="1:21" ht="30" hidden="1" x14ac:dyDescent="0.25">
      <c r="A117" s="1">
        <v>116</v>
      </c>
      <c r="B117" s="10" t="s">
        <v>94</v>
      </c>
      <c r="C117" s="10" t="s">
        <v>234</v>
      </c>
      <c r="D117" s="10" t="s">
        <v>233</v>
      </c>
      <c r="E117" s="10" t="s">
        <v>138</v>
      </c>
      <c r="F117" s="10" t="s">
        <v>29</v>
      </c>
      <c r="G117" s="10">
        <f t="shared" si="8"/>
        <v>0</v>
      </c>
      <c r="H117" s="11">
        <v>1500000</v>
      </c>
      <c r="I117" s="8">
        <v>2018</v>
      </c>
      <c r="J117" s="10" t="s">
        <v>40</v>
      </c>
      <c r="K117" s="8" t="e">
        <f t="shared" si="10"/>
        <v>#N/A</v>
      </c>
      <c r="L117" s="8">
        <v>8</v>
      </c>
      <c r="M117" s="8">
        <f t="shared" si="9"/>
        <v>20</v>
      </c>
      <c r="N117" s="8" t="s">
        <v>41</v>
      </c>
      <c r="O117" s="8">
        <f t="shared" si="11"/>
        <v>4</v>
      </c>
      <c r="P117" s="8" t="s">
        <v>30</v>
      </c>
      <c r="Q117" s="17" t="s">
        <v>29</v>
      </c>
      <c r="R117" s="8">
        <f>VLOOKUP(Master19[[#This Row],[Elevated Priority]],Epriority,2,)</f>
        <v>0</v>
      </c>
      <c r="S117" s="8" t="e">
        <f>IF(Master19[[#This Row],[Status]]="Active",Master19[[#This Row],[Status_Score]],IF(C117="","",K117+G117+M117+O117+R117-5))</f>
        <v>#N/A</v>
      </c>
    </row>
    <row r="118" spans="1:21" ht="60" hidden="1" x14ac:dyDescent="0.25">
      <c r="A118" s="1">
        <v>117</v>
      </c>
      <c r="B118" s="10" t="s">
        <v>70</v>
      </c>
      <c r="C118" s="10" t="s">
        <v>351</v>
      </c>
      <c r="D118" s="10" t="s">
        <v>352</v>
      </c>
      <c r="E118" s="10" t="s">
        <v>353</v>
      </c>
      <c r="F118" s="10" t="s">
        <v>29</v>
      </c>
      <c r="G118" s="10">
        <f t="shared" si="8"/>
        <v>0</v>
      </c>
      <c r="H118" s="11">
        <v>2500000</v>
      </c>
      <c r="I118" s="8">
        <v>2018</v>
      </c>
      <c r="J118" s="10" t="s">
        <v>44</v>
      </c>
      <c r="K118" s="8" t="e">
        <f t="shared" ref="K118:K149" si="12">VLOOKUP(J118,Importance,2,FALSE)</f>
        <v>#N/A</v>
      </c>
      <c r="L118" s="8" t="s">
        <v>29</v>
      </c>
      <c r="M118" s="8">
        <f t="shared" si="9"/>
        <v>0</v>
      </c>
      <c r="N118" s="8" t="s">
        <v>41</v>
      </c>
      <c r="O118" s="8">
        <f t="shared" si="11"/>
        <v>4</v>
      </c>
      <c r="P118" s="8" t="s">
        <v>34</v>
      </c>
      <c r="Q118" s="17" t="s">
        <v>29</v>
      </c>
      <c r="R118" s="8">
        <f>VLOOKUP(Master19[[#This Row],[Elevated Priority]],Epriority,2,)</f>
        <v>0</v>
      </c>
      <c r="S118" s="8" t="e">
        <f>IF(Master19[[#This Row],[Status]]="Active",Master19[[#This Row],[Status_Score]],IF(C118="","",K118+G118+M118+O118+R118-5))</f>
        <v>#N/A</v>
      </c>
    </row>
    <row r="119" spans="1:21" ht="75" hidden="1" x14ac:dyDescent="0.25">
      <c r="A119" s="1">
        <v>118</v>
      </c>
      <c r="B119" s="10" t="s">
        <v>70</v>
      </c>
      <c r="C119" s="10" t="s">
        <v>360</v>
      </c>
      <c r="D119" s="10" t="s">
        <v>361</v>
      </c>
      <c r="E119" s="10" t="s">
        <v>362</v>
      </c>
      <c r="F119" s="10" t="s">
        <v>29</v>
      </c>
      <c r="G119" s="10">
        <f t="shared" si="8"/>
        <v>0</v>
      </c>
      <c r="H119" s="11">
        <v>100000</v>
      </c>
      <c r="I119" s="8">
        <v>2018</v>
      </c>
      <c r="J119" s="10" t="s">
        <v>44</v>
      </c>
      <c r="K119" s="8" t="e">
        <f t="shared" si="12"/>
        <v>#N/A</v>
      </c>
      <c r="L119" s="8" t="s">
        <v>29</v>
      </c>
      <c r="M119" s="8">
        <f t="shared" si="9"/>
        <v>0</v>
      </c>
      <c r="N119" s="8" t="s">
        <v>41</v>
      </c>
      <c r="O119" s="8">
        <f t="shared" si="11"/>
        <v>4</v>
      </c>
      <c r="P119" s="8" t="s">
        <v>34</v>
      </c>
      <c r="Q119" s="17" t="s">
        <v>29</v>
      </c>
      <c r="R119" s="8">
        <f>VLOOKUP(Master19[[#This Row],[Elevated Priority]],Epriority,2,)</f>
        <v>0</v>
      </c>
      <c r="S119" s="8" t="e">
        <f>IF(Master19[[#This Row],[Status]]="Active",Master19[[#This Row],[Status_Score]],IF(C119="","",K119+G119+M119+O119+R119-5))</f>
        <v>#N/A</v>
      </c>
      <c r="U119" t="s">
        <v>665</v>
      </c>
    </row>
    <row r="120" spans="1:21" ht="30" hidden="1" x14ac:dyDescent="0.25">
      <c r="A120" s="1">
        <v>119</v>
      </c>
      <c r="B120" s="10" t="s">
        <v>70</v>
      </c>
      <c r="C120" s="10" t="s">
        <v>366</v>
      </c>
      <c r="D120" s="10" t="s">
        <v>367</v>
      </c>
      <c r="E120" s="10" t="s">
        <v>368</v>
      </c>
      <c r="F120" s="10" t="s">
        <v>29</v>
      </c>
      <c r="G120" s="10">
        <f t="shared" si="8"/>
        <v>0</v>
      </c>
      <c r="H120" s="11">
        <v>5000</v>
      </c>
      <c r="I120" s="8">
        <v>2018</v>
      </c>
      <c r="J120" s="10" t="s">
        <v>44</v>
      </c>
      <c r="K120" s="8" t="e">
        <f t="shared" si="12"/>
        <v>#N/A</v>
      </c>
      <c r="L120" s="8" t="s">
        <v>29</v>
      </c>
      <c r="M120" s="8">
        <f t="shared" si="9"/>
        <v>0</v>
      </c>
      <c r="N120" s="8" t="s">
        <v>41</v>
      </c>
      <c r="O120" s="8">
        <f t="shared" si="11"/>
        <v>4</v>
      </c>
      <c r="P120" s="8" t="s">
        <v>30</v>
      </c>
      <c r="Q120" s="17" t="s">
        <v>29</v>
      </c>
      <c r="R120" s="8">
        <f>VLOOKUP(Master19[[#This Row],[Elevated Priority]],Epriority,2,)</f>
        <v>0</v>
      </c>
      <c r="S120" s="8" t="e">
        <f>IF(Master19[[#This Row],[Status]]="Active",Master19[[#This Row],[Status_Score]],IF(C120="","",K120+G120+M120+O120+R120-5))</f>
        <v>#N/A</v>
      </c>
    </row>
    <row r="121" spans="1:21" ht="60" hidden="1" x14ac:dyDescent="0.25">
      <c r="A121" s="1">
        <v>120</v>
      </c>
      <c r="B121" s="74" t="s">
        <v>61</v>
      </c>
      <c r="C121" s="10" t="s">
        <v>632</v>
      </c>
      <c r="D121" s="10" t="s">
        <v>636</v>
      </c>
      <c r="E121" s="49" t="s">
        <v>633</v>
      </c>
      <c r="F121" s="10" t="s">
        <v>29</v>
      </c>
      <c r="G121" s="10">
        <f t="shared" si="8"/>
        <v>0</v>
      </c>
      <c r="H121" s="11"/>
      <c r="I121" s="8">
        <v>2019</v>
      </c>
      <c r="J121" s="10" t="s">
        <v>44</v>
      </c>
      <c r="K121" s="8" t="e">
        <f t="shared" si="12"/>
        <v>#N/A</v>
      </c>
      <c r="L121" s="8" t="s">
        <v>29</v>
      </c>
      <c r="M121" s="8">
        <f t="shared" si="9"/>
        <v>0</v>
      </c>
      <c r="N121" s="8" t="s">
        <v>41</v>
      </c>
      <c r="O121" s="8">
        <f t="shared" si="11"/>
        <v>4</v>
      </c>
      <c r="P121" s="8" t="s">
        <v>34</v>
      </c>
      <c r="Q121" s="8" t="s">
        <v>29</v>
      </c>
      <c r="R121" s="8">
        <f>VLOOKUP(Master19[[#This Row],[Elevated Priority]],Epriority,2,)</f>
        <v>0</v>
      </c>
      <c r="S121" s="8" t="e">
        <f>IF(Master19[[#This Row],[Status]]="Active",Master19[[#This Row],[Status_Score]],IF(C121="","",K121+G121+M121+O121+R121-5))</f>
        <v>#N/A</v>
      </c>
      <c r="T121" s="65"/>
    </row>
    <row r="122" spans="1:21" ht="45" hidden="1" x14ac:dyDescent="0.25">
      <c r="A122" s="1">
        <v>121</v>
      </c>
      <c r="B122" s="10" t="s">
        <v>94</v>
      </c>
      <c r="C122" s="10" t="s">
        <v>607</v>
      </c>
      <c r="D122" s="10" t="s">
        <v>608</v>
      </c>
      <c r="E122" s="10" t="s">
        <v>138</v>
      </c>
      <c r="F122" s="10" t="s">
        <v>29</v>
      </c>
      <c r="G122" s="10">
        <f t="shared" si="8"/>
        <v>0</v>
      </c>
      <c r="H122" s="11">
        <v>250000</v>
      </c>
      <c r="I122" s="17">
        <v>2019</v>
      </c>
      <c r="J122" s="10" t="s">
        <v>40</v>
      </c>
      <c r="K122" s="8" t="e">
        <f t="shared" si="12"/>
        <v>#N/A</v>
      </c>
      <c r="L122" s="8">
        <v>22</v>
      </c>
      <c r="M122" s="8">
        <f t="shared" si="9"/>
        <v>27</v>
      </c>
      <c r="N122" s="8" t="s">
        <v>33</v>
      </c>
      <c r="O122" s="8">
        <f t="shared" si="11"/>
        <v>1</v>
      </c>
      <c r="P122" s="8" t="s">
        <v>30</v>
      </c>
      <c r="Q122" s="8" t="s">
        <v>29</v>
      </c>
      <c r="R122" s="8">
        <f>VLOOKUP(Master19[[#This Row],[Elevated Priority]],Epriority,2,)</f>
        <v>0</v>
      </c>
      <c r="S122" s="8" t="e">
        <f>IF(Master19[[#This Row],[Status]]="Active",Master19[[#This Row],[Status_Score]],IF(C122="","",K122+G122+M122+O122+R122-5))</f>
        <v>#N/A</v>
      </c>
      <c r="T122" s="65"/>
    </row>
    <row r="123" spans="1:21" ht="45" hidden="1" x14ac:dyDescent="0.25">
      <c r="A123" s="1">
        <v>122</v>
      </c>
      <c r="B123" s="10" t="s">
        <v>70</v>
      </c>
      <c r="C123" s="10" t="s">
        <v>322</v>
      </c>
      <c r="D123" s="10" t="s">
        <v>323</v>
      </c>
      <c r="E123" s="10" t="s">
        <v>324</v>
      </c>
      <c r="F123" s="10" t="s">
        <v>29</v>
      </c>
      <c r="G123" s="10">
        <f t="shared" si="8"/>
        <v>0</v>
      </c>
      <c r="H123" s="11">
        <v>8000000</v>
      </c>
      <c r="I123" s="8">
        <v>2018</v>
      </c>
      <c r="J123" s="10" t="s">
        <v>42</v>
      </c>
      <c r="K123" s="8" t="e">
        <f t="shared" si="12"/>
        <v>#N/A</v>
      </c>
      <c r="L123" s="8">
        <v>1</v>
      </c>
      <c r="M123" s="8">
        <f t="shared" si="9"/>
        <v>3</v>
      </c>
      <c r="N123" s="8" t="s">
        <v>43</v>
      </c>
      <c r="O123" s="8">
        <f t="shared" si="11"/>
        <v>16</v>
      </c>
      <c r="P123" s="8" t="s">
        <v>34</v>
      </c>
      <c r="Q123" s="17" t="s">
        <v>29</v>
      </c>
      <c r="R123" s="8">
        <f>VLOOKUP(Master19[[#This Row],[Elevated Priority]],Epriority,2,)</f>
        <v>0</v>
      </c>
      <c r="S123" s="8" t="e">
        <f>IF(Master19[[#This Row],[Status]]="Active",Master19[[#This Row],[Status_Score]],IF(C123="","",K123+G123+M123+O123+R123-5))</f>
        <v>#N/A</v>
      </c>
      <c r="U123" t="s">
        <v>666</v>
      </c>
    </row>
    <row r="124" spans="1:21" ht="60" hidden="1" x14ac:dyDescent="0.25">
      <c r="A124" s="1">
        <v>123</v>
      </c>
      <c r="B124" s="10" t="s">
        <v>61</v>
      </c>
      <c r="C124" s="10" t="s">
        <v>369</v>
      </c>
      <c r="D124" s="10" t="s">
        <v>370</v>
      </c>
      <c r="E124" s="10" t="s">
        <v>371</v>
      </c>
      <c r="F124" s="10" t="s">
        <v>29</v>
      </c>
      <c r="G124" s="10">
        <f t="shared" si="8"/>
        <v>0</v>
      </c>
      <c r="H124" s="11">
        <v>250000</v>
      </c>
      <c r="I124" s="8">
        <v>2018</v>
      </c>
      <c r="J124" s="10" t="s">
        <v>42</v>
      </c>
      <c r="K124" s="8" t="e">
        <f t="shared" si="12"/>
        <v>#N/A</v>
      </c>
      <c r="L124" s="8">
        <v>1</v>
      </c>
      <c r="M124" s="8">
        <f t="shared" si="9"/>
        <v>3</v>
      </c>
      <c r="N124" s="8" t="s">
        <v>43</v>
      </c>
      <c r="O124" s="8">
        <f t="shared" si="11"/>
        <v>16</v>
      </c>
      <c r="P124" s="8" t="s">
        <v>30</v>
      </c>
      <c r="Q124" s="17" t="s">
        <v>29</v>
      </c>
      <c r="R124" s="8">
        <f>VLOOKUP(Master19[[#This Row],[Elevated Priority]],Epriority,2,)</f>
        <v>0</v>
      </c>
      <c r="S124" s="8" t="e">
        <f>IF(Master19[[#This Row],[Status]]="Active",Master19[[#This Row],[Status_Score]],IF(C124="","",K124+G124+M124+O124+R124-5))</f>
        <v>#N/A</v>
      </c>
    </row>
    <row r="125" spans="1:21" ht="30" hidden="1" x14ac:dyDescent="0.25">
      <c r="A125" s="1">
        <v>124</v>
      </c>
      <c r="B125" s="10" t="s">
        <v>65</v>
      </c>
      <c r="C125" s="10" t="s">
        <v>375</v>
      </c>
      <c r="D125" s="10" t="s">
        <v>376</v>
      </c>
      <c r="E125" s="10" t="s">
        <v>377</v>
      </c>
      <c r="F125" s="10" t="s">
        <v>29</v>
      </c>
      <c r="G125" s="10">
        <f t="shared" si="8"/>
        <v>0</v>
      </c>
      <c r="H125" s="11">
        <v>110000</v>
      </c>
      <c r="I125" s="8">
        <v>2018</v>
      </c>
      <c r="J125" s="10" t="s">
        <v>44</v>
      </c>
      <c r="K125" s="8" t="e">
        <f t="shared" si="12"/>
        <v>#N/A</v>
      </c>
      <c r="L125" s="8">
        <v>2</v>
      </c>
      <c r="M125" s="8">
        <f t="shared" si="9"/>
        <v>6</v>
      </c>
      <c r="N125" s="8" t="s">
        <v>37</v>
      </c>
      <c r="O125" s="8">
        <f t="shared" si="11"/>
        <v>3</v>
      </c>
      <c r="P125" s="8" t="s">
        <v>30</v>
      </c>
      <c r="Q125" s="17" t="s">
        <v>29</v>
      </c>
      <c r="R125" s="8">
        <f>VLOOKUP(Master19[[#This Row],[Elevated Priority]],Epriority,2,)</f>
        <v>0</v>
      </c>
      <c r="S125" s="8" t="e">
        <f>IF(Master19[[#This Row],[Status]]="Active",Master19[[#This Row],[Status_Score]],IF(C125="","",K125+G125+M125+O125+R125-5))</f>
        <v>#N/A</v>
      </c>
    </row>
    <row r="126" spans="1:21" ht="75" hidden="1" x14ac:dyDescent="0.25">
      <c r="A126" s="1">
        <v>125</v>
      </c>
      <c r="B126" s="10" t="s">
        <v>70</v>
      </c>
      <c r="C126" s="10" t="s">
        <v>288</v>
      </c>
      <c r="D126" s="10" t="s">
        <v>289</v>
      </c>
      <c r="E126" s="10" t="s">
        <v>290</v>
      </c>
      <c r="F126" s="10" t="s">
        <v>29</v>
      </c>
      <c r="G126" s="10">
        <f t="shared" si="8"/>
        <v>0</v>
      </c>
      <c r="H126" s="11">
        <v>40000</v>
      </c>
      <c r="I126" s="8">
        <v>2018</v>
      </c>
      <c r="J126" s="10" t="s">
        <v>42</v>
      </c>
      <c r="K126" s="8" t="e">
        <f t="shared" si="12"/>
        <v>#N/A</v>
      </c>
      <c r="L126" s="8">
        <v>4</v>
      </c>
      <c r="M126" s="8">
        <f t="shared" si="9"/>
        <v>12</v>
      </c>
      <c r="N126" s="8" t="s">
        <v>41</v>
      </c>
      <c r="O126" s="8">
        <f t="shared" ref="O126:O157" si="13">VLOOKUP(N126,Urgency,2,FALSE)</f>
        <v>4</v>
      </c>
      <c r="P126" s="8" t="s">
        <v>30</v>
      </c>
      <c r="Q126" s="17" t="s">
        <v>29</v>
      </c>
      <c r="R126" s="8">
        <f>VLOOKUP(Master19[[#This Row],[Elevated Priority]],Epriority,2,)</f>
        <v>0</v>
      </c>
      <c r="S126" s="8" t="e">
        <f>IF(Master19[[#This Row],[Status]]="Active",Master19[[#This Row],[Status_Score]],IF(C126="","",K126+G126+M126+O126+R126-5))</f>
        <v>#N/A</v>
      </c>
    </row>
    <row r="127" spans="1:21" hidden="1" x14ac:dyDescent="0.25">
      <c r="A127" s="1">
        <v>126</v>
      </c>
      <c r="B127" s="10" t="s">
        <v>70</v>
      </c>
      <c r="C127" s="10" t="s">
        <v>291</v>
      </c>
      <c r="D127" s="10" t="s">
        <v>292</v>
      </c>
      <c r="E127" s="10" t="s">
        <v>293</v>
      </c>
      <c r="F127" s="10" t="s">
        <v>29</v>
      </c>
      <c r="G127" s="10">
        <f t="shared" si="8"/>
        <v>0</v>
      </c>
      <c r="H127" s="11">
        <v>5000</v>
      </c>
      <c r="I127" s="8">
        <v>2018</v>
      </c>
      <c r="J127" s="10" t="s">
        <v>42</v>
      </c>
      <c r="K127" s="8" t="e">
        <f t="shared" si="12"/>
        <v>#N/A</v>
      </c>
      <c r="L127" s="8">
        <v>4</v>
      </c>
      <c r="M127" s="8">
        <f t="shared" si="9"/>
        <v>12</v>
      </c>
      <c r="N127" s="8" t="s">
        <v>41</v>
      </c>
      <c r="O127" s="8">
        <f t="shared" si="13"/>
        <v>4</v>
      </c>
      <c r="P127" s="8" t="s">
        <v>30</v>
      </c>
      <c r="Q127" s="17" t="s">
        <v>29</v>
      </c>
      <c r="R127" s="8">
        <f>VLOOKUP(Master19[[#This Row],[Elevated Priority]],Epriority,2,)</f>
        <v>0</v>
      </c>
      <c r="S127" s="8" t="e">
        <f>IF(Master19[[#This Row],[Status]]="Active",Master19[[#This Row],[Status_Score]],IF(C127="","",K127+G127+M127+O127+R127-5))</f>
        <v>#N/A</v>
      </c>
    </row>
    <row r="128" spans="1:21" ht="75" hidden="1" x14ac:dyDescent="0.25">
      <c r="A128" s="1">
        <v>127</v>
      </c>
      <c r="B128" s="10" t="s">
        <v>70</v>
      </c>
      <c r="C128" s="10" t="s">
        <v>296</v>
      </c>
      <c r="D128" s="10" t="s">
        <v>297</v>
      </c>
      <c r="E128" s="10" t="s">
        <v>298</v>
      </c>
      <c r="F128" s="10" t="s">
        <v>29</v>
      </c>
      <c r="G128" s="10">
        <f t="shared" si="8"/>
        <v>0</v>
      </c>
      <c r="H128" s="11">
        <v>25000</v>
      </c>
      <c r="I128" s="8">
        <v>2018</v>
      </c>
      <c r="J128" s="10" t="s">
        <v>42</v>
      </c>
      <c r="K128" s="8" t="e">
        <f t="shared" si="12"/>
        <v>#N/A</v>
      </c>
      <c r="L128" s="8">
        <v>4</v>
      </c>
      <c r="M128" s="8">
        <f t="shared" si="9"/>
        <v>12</v>
      </c>
      <c r="N128" s="8" t="s">
        <v>41</v>
      </c>
      <c r="O128" s="8">
        <f t="shared" si="13"/>
        <v>4</v>
      </c>
      <c r="P128" s="8" t="s">
        <v>30</v>
      </c>
      <c r="Q128" s="17" t="s">
        <v>29</v>
      </c>
      <c r="R128" s="8">
        <f>VLOOKUP(Master19[[#This Row],[Elevated Priority]],Epriority,2,)</f>
        <v>0</v>
      </c>
      <c r="S128" s="8" t="e">
        <f>IF(Master19[[#This Row],[Status]]="Active",Master19[[#This Row],[Status_Score]],IF(C128="","",K128+G128+M128+O128+R128-5))</f>
        <v>#N/A</v>
      </c>
      <c r="U128" t="s">
        <v>667</v>
      </c>
    </row>
    <row r="129" spans="1:21" ht="30" hidden="1" x14ac:dyDescent="0.25">
      <c r="A129" s="1">
        <v>128</v>
      </c>
      <c r="B129" s="10" t="s">
        <v>94</v>
      </c>
      <c r="C129" s="10" t="s">
        <v>668</v>
      </c>
      <c r="D129" s="10" t="s">
        <v>231</v>
      </c>
      <c r="E129" s="10"/>
      <c r="F129" s="10" t="s">
        <v>29</v>
      </c>
      <c r="G129" s="10">
        <f t="shared" si="8"/>
        <v>0</v>
      </c>
      <c r="H129" s="11">
        <v>850000</v>
      </c>
      <c r="I129" s="8">
        <v>2018</v>
      </c>
      <c r="J129" s="10" t="s">
        <v>40</v>
      </c>
      <c r="K129" s="8" t="e">
        <f t="shared" si="12"/>
        <v>#N/A</v>
      </c>
      <c r="L129" s="8">
        <v>13</v>
      </c>
      <c r="M129" s="8">
        <f t="shared" si="9"/>
        <v>23</v>
      </c>
      <c r="N129" s="8" t="s">
        <v>41</v>
      </c>
      <c r="O129" s="8">
        <f t="shared" si="13"/>
        <v>4</v>
      </c>
      <c r="P129" s="8" t="s">
        <v>30</v>
      </c>
      <c r="Q129" s="17" t="s">
        <v>29</v>
      </c>
      <c r="R129" s="8">
        <f>VLOOKUP(Master19[[#This Row],[Elevated Priority]],Epriority,2,)</f>
        <v>0</v>
      </c>
      <c r="S129" s="8" t="e">
        <f>IF(Master19[[#This Row],[Status]]="Active",Master19[[#This Row],[Status_Score]],IF(C129="","",K129+G129+M129+O129+R129-5))</f>
        <v>#N/A</v>
      </c>
    </row>
    <row r="130" spans="1:21" ht="30" hidden="1" x14ac:dyDescent="0.25">
      <c r="A130" s="1">
        <v>129</v>
      </c>
      <c r="B130" s="10" t="s">
        <v>94</v>
      </c>
      <c r="C130" s="10" t="s">
        <v>267</v>
      </c>
      <c r="D130" s="10" t="s">
        <v>268</v>
      </c>
      <c r="E130" s="10" t="s">
        <v>269</v>
      </c>
      <c r="F130" s="10" t="s">
        <v>29</v>
      </c>
      <c r="G130" s="10">
        <f t="shared" ref="G130:G193" si="14">VLOOKUP(F130,Status_Score,2,FALSE)</f>
        <v>0</v>
      </c>
      <c r="H130" s="11">
        <v>850000</v>
      </c>
      <c r="I130" s="8">
        <v>2018</v>
      </c>
      <c r="J130" s="10" t="s">
        <v>40</v>
      </c>
      <c r="K130" s="8" t="e">
        <f t="shared" si="12"/>
        <v>#N/A</v>
      </c>
      <c r="L130" s="8">
        <v>14</v>
      </c>
      <c r="M130" s="8">
        <f t="shared" ref="M130:M193" si="15">VLOOKUP(L130,Department,2,FALSE)</f>
        <v>23</v>
      </c>
      <c r="N130" s="8" t="s">
        <v>41</v>
      </c>
      <c r="O130" s="8">
        <f t="shared" si="13"/>
        <v>4</v>
      </c>
      <c r="P130" s="8" t="s">
        <v>30</v>
      </c>
      <c r="Q130" s="17" t="s">
        <v>29</v>
      </c>
      <c r="R130" s="8">
        <f>VLOOKUP(Master19[[#This Row],[Elevated Priority]],Epriority,2,)</f>
        <v>0</v>
      </c>
      <c r="S130" s="8" t="e">
        <f>IF(Master19[[#This Row],[Status]]="Active",Master19[[#This Row],[Status_Score]],IF(C130="","",K130+G130+M130+O130+R130-5))</f>
        <v>#N/A</v>
      </c>
    </row>
    <row r="131" spans="1:21" ht="75" hidden="1" x14ac:dyDescent="0.25">
      <c r="A131" s="1">
        <v>130</v>
      </c>
      <c r="B131" s="10" t="s">
        <v>143</v>
      </c>
      <c r="C131" s="10" t="s">
        <v>163</v>
      </c>
      <c r="D131" s="10" t="s">
        <v>164</v>
      </c>
      <c r="E131" s="10" t="s">
        <v>165</v>
      </c>
      <c r="F131" s="10" t="s">
        <v>29</v>
      </c>
      <c r="G131" s="10">
        <f t="shared" si="14"/>
        <v>0</v>
      </c>
      <c r="H131" s="18">
        <v>40000</v>
      </c>
      <c r="I131" s="8">
        <v>2018</v>
      </c>
      <c r="J131" s="10" t="s">
        <v>42</v>
      </c>
      <c r="K131" s="8" t="e">
        <f t="shared" si="12"/>
        <v>#N/A</v>
      </c>
      <c r="L131" s="17">
        <v>2</v>
      </c>
      <c r="M131" s="8">
        <f t="shared" si="15"/>
        <v>6</v>
      </c>
      <c r="N131" s="17" t="s">
        <v>43</v>
      </c>
      <c r="O131" s="8">
        <f t="shared" si="13"/>
        <v>16</v>
      </c>
      <c r="P131" s="8" t="s">
        <v>30</v>
      </c>
      <c r="Q131" s="17" t="s">
        <v>29</v>
      </c>
      <c r="R131" s="8">
        <f>VLOOKUP(Master19[[#This Row],[Elevated Priority]],Epriority,2,)</f>
        <v>0</v>
      </c>
      <c r="S131" s="8" t="e">
        <f>IF(Master19[[#This Row],[Status]]="Active",Master19[[#This Row],[Status_Score]],IF(C131="","",K131+G131+M131+O131+R131-5))</f>
        <v>#N/A</v>
      </c>
    </row>
    <row r="132" spans="1:21" ht="45" hidden="1" x14ac:dyDescent="0.25">
      <c r="A132" s="1">
        <v>131</v>
      </c>
      <c r="B132" s="10" t="s">
        <v>70</v>
      </c>
      <c r="C132" s="10" t="s">
        <v>331</v>
      </c>
      <c r="D132" s="10" t="s">
        <v>332</v>
      </c>
      <c r="E132" s="10" t="s">
        <v>230</v>
      </c>
      <c r="F132" s="10" t="s">
        <v>29</v>
      </c>
      <c r="G132" s="10">
        <f t="shared" si="14"/>
        <v>0</v>
      </c>
      <c r="H132" s="11">
        <v>5000000</v>
      </c>
      <c r="I132" s="8">
        <v>2018</v>
      </c>
      <c r="J132" s="10" t="s">
        <v>42</v>
      </c>
      <c r="K132" s="8" t="e">
        <f t="shared" si="12"/>
        <v>#N/A</v>
      </c>
      <c r="L132" s="8">
        <v>2</v>
      </c>
      <c r="M132" s="8">
        <f t="shared" si="15"/>
        <v>6</v>
      </c>
      <c r="N132" s="8" t="s">
        <v>43</v>
      </c>
      <c r="O132" s="8">
        <f t="shared" si="13"/>
        <v>16</v>
      </c>
      <c r="P132" s="8" t="s">
        <v>34</v>
      </c>
      <c r="Q132" s="17" t="s">
        <v>29</v>
      </c>
      <c r="R132" s="8">
        <f>VLOOKUP(Master19[[#This Row],[Elevated Priority]],Epriority,2,)</f>
        <v>0</v>
      </c>
      <c r="S132" s="8" t="e">
        <f>IF(Master19[[#This Row],[Status]]="Active",Master19[[#This Row],[Status_Score]],IF(C132="","",K132+G132+M132+O132+R132-5))</f>
        <v>#N/A</v>
      </c>
      <c r="U132" t="s">
        <v>666</v>
      </c>
    </row>
    <row r="133" spans="1:21" ht="135" hidden="1" x14ac:dyDescent="0.25">
      <c r="A133" s="1">
        <v>132</v>
      </c>
      <c r="B133" s="10" t="s">
        <v>69</v>
      </c>
      <c r="C133" s="10" t="s">
        <v>378</v>
      </c>
      <c r="D133" s="10" t="s">
        <v>379</v>
      </c>
      <c r="E133" s="10" t="s">
        <v>380</v>
      </c>
      <c r="F133" s="10" t="s">
        <v>29</v>
      </c>
      <c r="G133" s="10">
        <f t="shared" si="14"/>
        <v>0</v>
      </c>
      <c r="H133" s="18">
        <v>20000</v>
      </c>
      <c r="I133" s="8">
        <v>2018</v>
      </c>
      <c r="J133" s="10" t="s">
        <v>44</v>
      </c>
      <c r="K133" s="8" t="e">
        <f t="shared" si="12"/>
        <v>#N/A</v>
      </c>
      <c r="L133" s="17">
        <v>2</v>
      </c>
      <c r="M133" s="8">
        <f t="shared" si="15"/>
        <v>6</v>
      </c>
      <c r="N133" s="17" t="s">
        <v>41</v>
      </c>
      <c r="O133" s="8">
        <f t="shared" si="13"/>
        <v>4</v>
      </c>
      <c r="P133" s="8" t="s">
        <v>34</v>
      </c>
      <c r="Q133" s="17" t="s">
        <v>29</v>
      </c>
      <c r="R133" s="8">
        <f>VLOOKUP(Master19[[#This Row],[Elevated Priority]],Epriority,2,)</f>
        <v>0</v>
      </c>
      <c r="S133" s="8" t="e">
        <f>IF(Master19[[#This Row],[Status]]="Active",Master19[[#This Row],[Status_Score]],IF(C133="","",K133+G133+M133+O133+R133-5))</f>
        <v>#N/A</v>
      </c>
    </row>
    <row r="134" spans="1:21" ht="300" hidden="1" x14ac:dyDescent="0.25">
      <c r="A134" s="1">
        <v>133</v>
      </c>
      <c r="B134" s="10" t="s">
        <v>73</v>
      </c>
      <c r="C134" s="10" t="s">
        <v>547</v>
      </c>
      <c r="D134" s="10" t="s">
        <v>548</v>
      </c>
      <c r="E134" s="10" t="s">
        <v>549</v>
      </c>
      <c r="F134" s="10" t="s">
        <v>29</v>
      </c>
      <c r="G134" s="10">
        <f t="shared" si="14"/>
        <v>0</v>
      </c>
      <c r="H134" s="11">
        <v>65000</v>
      </c>
      <c r="I134" s="8">
        <v>2018</v>
      </c>
      <c r="J134" s="10" t="s">
        <v>44</v>
      </c>
      <c r="K134" s="8" t="e">
        <f t="shared" si="12"/>
        <v>#N/A</v>
      </c>
      <c r="L134" s="8">
        <v>2</v>
      </c>
      <c r="M134" s="8">
        <f t="shared" si="15"/>
        <v>6</v>
      </c>
      <c r="N134" s="8" t="s">
        <v>41</v>
      </c>
      <c r="O134" s="8">
        <f t="shared" si="13"/>
        <v>4</v>
      </c>
      <c r="P134" s="8" t="s">
        <v>34</v>
      </c>
      <c r="Q134" s="17" t="s">
        <v>29</v>
      </c>
      <c r="R134" s="8">
        <f>VLOOKUP(Master19[[#This Row],[Elevated Priority]],Epriority,2,)</f>
        <v>0</v>
      </c>
      <c r="S134" s="8" t="e">
        <f>IF(Master19[[#This Row],[Status]]="Active",Master19[[#This Row],[Status_Score]],IF(C134="","",K134+G134+M134+O134+R134-5))</f>
        <v>#N/A</v>
      </c>
    </row>
    <row r="135" spans="1:21" ht="45" hidden="1" x14ac:dyDescent="0.25">
      <c r="A135" s="1">
        <v>134</v>
      </c>
      <c r="B135" s="10" t="s">
        <v>70</v>
      </c>
      <c r="C135" s="10" t="s">
        <v>303</v>
      </c>
      <c r="D135" s="10" t="s">
        <v>304</v>
      </c>
      <c r="E135" s="10"/>
      <c r="F135" s="10" t="s">
        <v>29</v>
      </c>
      <c r="G135" s="10">
        <f t="shared" si="14"/>
        <v>0</v>
      </c>
      <c r="H135" s="11">
        <v>50000</v>
      </c>
      <c r="I135" s="8">
        <v>2018</v>
      </c>
      <c r="J135" s="10" t="s">
        <v>44</v>
      </c>
      <c r="K135" s="8" t="e">
        <f t="shared" si="12"/>
        <v>#N/A</v>
      </c>
      <c r="L135" s="8">
        <v>5</v>
      </c>
      <c r="M135" s="8">
        <f t="shared" si="15"/>
        <v>15</v>
      </c>
      <c r="N135" s="8" t="s">
        <v>29</v>
      </c>
      <c r="O135" s="8">
        <f t="shared" si="13"/>
        <v>0</v>
      </c>
      <c r="P135" s="8" t="s">
        <v>34</v>
      </c>
      <c r="Q135" s="17" t="s">
        <v>29</v>
      </c>
      <c r="R135" s="8">
        <f>VLOOKUP(Master19[[#This Row],[Elevated Priority]],Epriority,2,)</f>
        <v>0</v>
      </c>
      <c r="S135" s="8" t="e">
        <f>IF(Master19[[#This Row],[Status]]="Active",Master19[[#This Row],[Status_Score]],IF(C135="","",K135+G135+M135+O135+R135-5))</f>
        <v>#N/A</v>
      </c>
    </row>
    <row r="136" spans="1:21" ht="60" hidden="1" x14ac:dyDescent="0.25">
      <c r="A136" s="1">
        <v>135</v>
      </c>
      <c r="B136" s="10" t="s">
        <v>91</v>
      </c>
      <c r="C136" s="10" t="s">
        <v>384</v>
      </c>
      <c r="D136" s="10" t="s">
        <v>385</v>
      </c>
      <c r="E136" s="10" t="s">
        <v>386</v>
      </c>
      <c r="F136" s="10" t="s">
        <v>29</v>
      </c>
      <c r="G136" s="10">
        <f t="shared" si="14"/>
        <v>0</v>
      </c>
      <c r="H136" s="11">
        <v>150000</v>
      </c>
      <c r="I136" s="8">
        <v>2018</v>
      </c>
      <c r="J136" s="10" t="s">
        <v>42</v>
      </c>
      <c r="K136" s="8" t="e">
        <f t="shared" si="12"/>
        <v>#N/A</v>
      </c>
      <c r="L136" s="8">
        <v>3</v>
      </c>
      <c r="M136" s="8">
        <f t="shared" si="15"/>
        <v>9</v>
      </c>
      <c r="N136" s="8" t="s">
        <v>43</v>
      </c>
      <c r="O136" s="8">
        <f t="shared" si="13"/>
        <v>16</v>
      </c>
      <c r="P136" s="8" t="s">
        <v>30</v>
      </c>
      <c r="Q136" s="17" t="s">
        <v>29</v>
      </c>
      <c r="R136" s="8">
        <f>VLOOKUP(Master19[[#This Row],[Elevated Priority]],Epriority,2,)</f>
        <v>0</v>
      </c>
      <c r="S136" s="8" t="e">
        <f>IF(Master19[[#This Row],[Status]]="Active",Master19[[#This Row],[Status_Score]],IF(C136="","",K136+G136+M136+O136+R136-5))</f>
        <v>#N/A</v>
      </c>
    </row>
    <row r="137" spans="1:21" ht="45" hidden="1" x14ac:dyDescent="0.25">
      <c r="A137" s="1">
        <v>136</v>
      </c>
      <c r="B137" s="10" t="s">
        <v>61</v>
      </c>
      <c r="C137" s="10" t="s">
        <v>381</v>
      </c>
      <c r="D137" s="10" t="s">
        <v>382</v>
      </c>
      <c r="E137" s="10" t="s">
        <v>383</v>
      </c>
      <c r="F137" s="10" t="s">
        <v>29</v>
      </c>
      <c r="G137" s="10">
        <f t="shared" si="14"/>
        <v>0</v>
      </c>
      <c r="H137" s="11">
        <v>15000000</v>
      </c>
      <c r="I137" s="8">
        <v>2018</v>
      </c>
      <c r="J137" s="10" t="s">
        <v>40</v>
      </c>
      <c r="K137" s="8" t="e">
        <f t="shared" si="12"/>
        <v>#N/A</v>
      </c>
      <c r="L137" s="8">
        <v>1</v>
      </c>
      <c r="M137" s="8">
        <f t="shared" si="15"/>
        <v>3</v>
      </c>
      <c r="N137" s="8" t="s">
        <v>45</v>
      </c>
      <c r="O137" s="8">
        <f t="shared" si="13"/>
        <v>32</v>
      </c>
      <c r="P137" s="8" t="s">
        <v>34</v>
      </c>
      <c r="Q137" s="17" t="s">
        <v>29</v>
      </c>
      <c r="R137" s="8">
        <f>VLOOKUP(Master19[[#This Row],[Elevated Priority]],Epriority,2,)</f>
        <v>0</v>
      </c>
      <c r="S137" s="8" t="e">
        <f>IF(Master19[[#This Row],[Status]]="Active",Master19[[#This Row],[Status_Score]],IF(C137="","",K137+G137+M137+O137+R137-5))</f>
        <v>#N/A</v>
      </c>
    </row>
    <row r="138" spans="1:21" ht="75" hidden="1" x14ac:dyDescent="0.25">
      <c r="A138" s="1">
        <v>137</v>
      </c>
      <c r="B138" s="10" t="s">
        <v>94</v>
      </c>
      <c r="C138" s="10" t="s">
        <v>588</v>
      </c>
      <c r="D138" s="10" t="s">
        <v>589</v>
      </c>
      <c r="E138" s="10"/>
      <c r="F138" s="10" t="s">
        <v>29</v>
      </c>
      <c r="G138" s="10">
        <f t="shared" si="14"/>
        <v>0</v>
      </c>
      <c r="H138" s="11">
        <v>25000</v>
      </c>
      <c r="I138" s="17">
        <v>2019</v>
      </c>
      <c r="J138" s="10" t="s">
        <v>42</v>
      </c>
      <c r="K138" s="8" t="e">
        <f t="shared" si="12"/>
        <v>#N/A</v>
      </c>
      <c r="L138" s="8">
        <v>6</v>
      </c>
      <c r="M138" s="8">
        <f t="shared" si="15"/>
        <v>18</v>
      </c>
      <c r="N138" s="8" t="s">
        <v>41</v>
      </c>
      <c r="O138" s="8">
        <f t="shared" si="13"/>
        <v>4</v>
      </c>
      <c r="P138" s="8" t="s">
        <v>30</v>
      </c>
      <c r="Q138" s="17" t="s">
        <v>29</v>
      </c>
      <c r="R138" s="8">
        <f>VLOOKUP(Master19[[#This Row],[Elevated Priority]],Epriority,2,)</f>
        <v>0</v>
      </c>
      <c r="S138" s="8" t="e">
        <f>IF(Master19[[#This Row],[Status]]="Active",Master19[[#This Row],[Status_Score]],IF(C138="","",K138+G138+M138+O138+R138-5))</f>
        <v>#N/A</v>
      </c>
      <c r="T138" s="65"/>
    </row>
    <row r="139" spans="1:21" ht="75" hidden="1" x14ac:dyDescent="0.25">
      <c r="A139" s="1">
        <v>138</v>
      </c>
      <c r="B139" s="10" t="s">
        <v>70</v>
      </c>
      <c r="C139" s="10" t="s">
        <v>399</v>
      </c>
      <c r="D139" s="10" t="s">
        <v>400</v>
      </c>
      <c r="E139" s="10" t="s">
        <v>401</v>
      </c>
      <c r="F139" s="10" t="s">
        <v>29</v>
      </c>
      <c r="G139" s="10">
        <f t="shared" si="14"/>
        <v>0</v>
      </c>
      <c r="H139" s="11">
        <v>1500000</v>
      </c>
      <c r="I139" s="8">
        <v>2018</v>
      </c>
      <c r="J139" s="10" t="s">
        <v>44</v>
      </c>
      <c r="K139" s="8" t="e">
        <f t="shared" si="12"/>
        <v>#N/A</v>
      </c>
      <c r="L139" s="8" t="s">
        <v>29</v>
      </c>
      <c r="M139" s="8">
        <f t="shared" si="15"/>
        <v>0</v>
      </c>
      <c r="N139" s="8" t="s">
        <v>43</v>
      </c>
      <c r="O139" s="8">
        <f t="shared" si="13"/>
        <v>16</v>
      </c>
      <c r="P139" s="8" t="s">
        <v>34</v>
      </c>
      <c r="Q139" s="17" t="s">
        <v>29</v>
      </c>
      <c r="R139" s="8">
        <f>VLOOKUP(Master19[[#This Row],[Elevated Priority]],Epriority,2,)</f>
        <v>0</v>
      </c>
      <c r="S139" s="8" t="e">
        <f>IF(Master19[[#This Row],[Status]]="Active",Master19[[#This Row],[Status_Score]],IF(C139="","",K139+G139+M139+O139+R139-5))</f>
        <v>#N/A</v>
      </c>
      <c r="U139" t="s">
        <v>669</v>
      </c>
    </row>
    <row r="140" spans="1:21" ht="45" hidden="1" x14ac:dyDescent="0.25">
      <c r="A140" s="1">
        <v>139</v>
      </c>
      <c r="B140" s="10" t="s">
        <v>65</v>
      </c>
      <c r="C140" s="10" t="s">
        <v>387</v>
      </c>
      <c r="D140" s="10" t="s">
        <v>388</v>
      </c>
      <c r="E140" s="10" t="s">
        <v>389</v>
      </c>
      <c r="F140" s="10" t="s">
        <v>29</v>
      </c>
      <c r="G140" s="10">
        <f t="shared" si="14"/>
        <v>0</v>
      </c>
      <c r="H140" s="11">
        <v>375000</v>
      </c>
      <c r="I140" s="8">
        <v>2018</v>
      </c>
      <c r="J140" s="10" t="s">
        <v>44</v>
      </c>
      <c r="K140" s="8" t="e">
        <f t="shared" si="12"/>
        <v>#N/A</v>
      </c>
      <c r="L140" s="8" t="s">
        <v>29</v>
      </c>
      <c r="M140" s="8">
        <f t="shared" si="15"/>
        <v>0</v>
      </c>
      <c r="N140" s="8" t="s">
        <v>43</v>
      </c>
      <c r="O140" s="8">
        <f t="shared" si="13"/>
        <v>16</v>
      </c>
      <c r="P140" s="8" t="s">
        <v>34</v>
      </c>
      <c r="Q140" s="17" t="s">
        <v>29</v>
      </c>
      <c r="R140" s="8">
        <f>VLOOKUP(Master19[[#This Row],[Elevated Priority]],Epriority,2,)</f>
        <v>0</v>
      </c>
      <c r="S140" s="8" t="e">
        <f>IF(Master19[[#This Row],[Status]]="Active",Master19[[#This Row],[Status_Score]],IF(C140="","",K140+G140+M140+O140+R140-5))</f>
        <v>#N/A</v>
      </c>
    </row>
    <row r="141" spans="1:21" ht="75" hidden="1" x14ac:dyDescent="0.25">
      <c r="A141" s="1">
        <v>140</v>
      </c>
      <c r="B141" s="10" t="s">
        <v>70</v>
      </c>
      <c r="C141" s="10" t="s">
        <v>405</v>
      </c>
      <c r="D141" s="10" t="s">
        <v>406</v>
      </c>
      <c r="E141" s="10" t="s">
        <v>407</v>
      </c>
      <c r="F141" s="10" t="s">
        <v>29</v>
      </c>
      <c r="G141" s="10">
        <f t="shared" si="14"/>
        <v>0</v>
      </c>
      <c r="H141" s="11">
        <v>175000</v>
      </c>
      <c r="I141" s="8">
        <v>2018</v>
      </c>
      <c r="J141" s="10" t="s">
        <v>44</v>
      </c>
      <c r="K141" s="8" t="e">
        <f t="shared" si="12"/>
        <v>#N/A</v>
      </c>
      <c r="L141" s="8" t="s">
        <v>29</v>
      </c>
      <c r="M141" s="8">
        <f t="shared" si="15"/>
        <v>0</v>
      </c>
      <c r="N141" s="8" t="s">
        <v>43</v>
      </c>
      <c r="O141" s="8">
        <f t="shared" si="13"/>
        <v>16</v>
      </c>
      <c r="P141" s="8" t="s">
        <v>34</v>
      </c>
      <c r="Q141" s="17" t="s">
        <v>29</v>
      </c>
      <c r="R141" s="8">
        <f>VLOOKUP(Master19[[#This Row],[Elevated Priority]],Epriority,2,)</f>
        <v>0</v>
      </c>
      <c r="S141" s="8" t="e">
        <f>IF(Master19[[#This Row],[Status]]="Active",Master19[[#This Row],[Status_Score]],IF(C141="","",K141+G141+M141+O141+R141-5))</f>
        <v>#N/A</v>
      </c>
      <c r="U141" t="s">
        <v>669</v>
      </c>
    </row>
    <row r="142" spans="1:21" ht="60" hidden="1" x14ac:dyDescent="0.25">
      <c r="A142" s="1">
        <v>141</v>
      </c>
      <c r="B142" s="10" t="s">
        <v>91</v>
      </c>
      <c r="C142" s="10" t="s">
        <v>393</v>
      </c>
      <c r="D142" s="10" t="s">
        <v>394</v>
      </c>
      <c r="E142" s="10" t="s">
        <v>395</v>
      </c>
      <c r="F142" s="10" t="s">
        <v>29</v>
      </c>
      <c r="G142" s="10">
        <f t="shared" si="14"/>
        <v>0</v>
      </c>
      <c r="H142" s="11">
        <v>85000</v>
      </c>
      <c r="I142" s="8">
        <v>2018</v>
      </c>
      <c r="J142" s="10" t="s">
        <v>40</v>
      </c>
      <c r="K142" s="8" t="e">
        <f t="shared" si="12"/>
        <v>#N/A</v>
      </c>
      <c r="L142" s="8">
        <v>7</v>
      </c>
      <c r="M142" s="8">
        <f t="shared" si="15"/>
        <v>20</v>
      </c>
      <c r="N142" s="8" t="s">
        <v>43</v>
      </c>
      <c r="O142" s="8">
        <f t="shared" si="13"/>
        <v>16</v>
      </c>
      <c r="P142" s="8" t="s">
        <v>30</v>
      </c>
      <c r="Q142" s="17" t="s">
        <v>29</v>
      </c>
      <c r="R142" s="8">
        <f>VLOOKUP(Master19[[#This Row],[Elevated Priority]],Epriority,2,)</f>
        <v>0</v>
      </c>
      <c r="S142" s="8" t="e">
        <f>IF(Master19[[#This Row],[Status]]="Active",Master19[[#This Row],[Status_Score]],IF(C142="","",K142+G142+M142+O142+R142-5))</f>
        <v>#N/A</v>
      </c>
    </row>
    <row r="143" spans="1:21" ht="45" hidden="1" x14ac:dyDescent="0.25">
      <c r="A143" s="1">
        <v>142</v>
      </c>
      <c r="B143" s="10" t="s">
        <v>61</v>
      </c>
      <c r="C143" s="10" t="s">
        <v>396</v>
      </c>
      <c r="D143" s="10" t="s">
        <v>397</v>
      </c>
      <c r="E143" s="10" t="s">
        <v>398</v>
      </c>
      <c r="F143" s="10" t="s">
        <v>29</v>
      </c>
      <c r="G143" s="10">
        <f t="shared" si="14"/>
        <v>0</v>
      </c>
      <c r="H143" s="11">
        <v>300000</v>
      </c>
      <c r="I143" s="8">
        <v>2018</v>
      </c>
      <c r="J143" s="10" t="s">
        <v>40</v>
      </c>
      <c r="K143" s="8" t="e">
        <f t="shared" si="12"/>
        <v>#N/A</v>
      </c>
      <c r="L143" s="8">
        <v>7</v>
      </c>
      <c r="M143" s="8">
        <f t="shared" si="15"/>
        <v>20</v>
      </c>
      <c r="N143" s="8" t="s">
        <v>43</v>
      </c>
      <c r="O143" s="8">
        <f t="shared" si="13"/>
        <v>16</v>
      </c>
      <c r="P143" s="8" t="s">
        <v>30</v>
      </c>
      <c r="Q143" s="17" t="s">
        <v>29</v>
      </c>
      <c r="R143" s="8">
        <f>VLOOKUP(Master19[[#This Row],[Elevated Priority]],Epriority,2,)</f>
        <v>0</v>
      </c>
      <c r="S143" s="8" t="e">
        <f>IF(Master19[[#This Row],[Status]]="Active",Master19[[#This Row],[Status_Score]],IF(C143="","",K143+G143+M143+O143+R143-5))</f>
        <v>#N/A</v>
      </c>
    </row>
    <row r="144" spans="1:21" ht="30" hidden="1" x14ac:dyDescent="0.25">
      <c r="A144" s="1">
        <v>143</v>
      </c>
      <c r="B144" s="10" t="s">
        <v>94</v>
      </c>
      <c r="C144" s="10" t="s">
        <v>610</v>
      </c>
      <c r="E144" s="10" t="s">
        <v>138</v>
      </c>
      <c r="F144" s="10" t="s">
        <v>29</v>
      </c>
      <c r="G144" s="10">
        <f t="shared" si="14"/>
        <v>0</v>
      </c>
      <c r="H144" s="11">
        <v>20000</v>
      </c>
      <c r="I144" s="17">
        <v>2019</v>
      </c>
      <c r="J144" s="10" t="s">
        <v>40</v>
      </c>
      <c r="K144" s="8" t="e">
        <f t="shared" si="12"/>
        <v>#N/A</v>
      </c>
      <c r="L144" s="8">
        <v>26</v>
      </c>
      <c r="M144" s="8">
        <f t="shared" si="15"/>
        <v>29</v>
      </c>
      <c r="N144" s="8" t="s">
        <v>41</v>
      </c>
      <c r="O144" s="8">
        <f t="shared" si="13"/>
        <v>4</v>
      </c>
      <c r="P144" s="8" t="s">
        <v>30</v>
      </c>
      <c r="Q144" s="17" t="s">
        <v>29</v>
      </c>
      <c r="R144" s="8">
        <f>VLOOKUP(Master19[[#This Row],[Elevated Priority]],Epriority,2,)</f>
        <v>0</v>
      </c>
      <c r="S144" s="8" t="e">
        <f>IF(Master19[[#This Row],[Status]]="Active",Master19[[#This Row],[Status_Score]],IF(C144="","",K144+G144+M144+O144+R144-5))</f>
        <v>#N/A</v>
      </c>
      <c r="T144" s="65"/>
    </row>
    <row r="145" spans="1:21" ht="105" hidden="1" x14ac:dyDescent="0.25">
      <c r="A145" s="1">
        <v>144</v>
      </c>
      <c r="B145" s="10" t="s">
        <v>143</v>
      </c>
      <c r="C145" s="10" t="s">
        <v>144</v>
      </c>
      <c r="D145" s="10" t="s">
        <v>145</v>
      </c>
      <c r="E145" s="10" t="s">
        <v>146</v>
      </c>
      <c r="F145" s="10" t="s">
        <v>29</v>
      </c>
      <c r="G145" s="10">
        <f t="shared" si="14"/>
        <v>0</v>
      </c>
      <c r="H145" s="18">
        <v>50000</v>
      </c>
      <c r="I145" s="8">
        <v>2018</v>
      </c>
      <c r="J145" s="10" t="s">
        <v>44</v>
      </c>
      <c r="K145" s="8" t="e">
        <f t="shared" si="12"/>
        <v>#N/A</v>
      </c>
      <c r="L145" s="17">
        <v>3</v>
      </c>
      <c r="M145" s="8">
        <f t="shared" si="15"/>
        <v>9</v>
      </c>
      <c r="N145" s="17" t="s">
        <v>41</v>
      </c>
      <c r="O145" s="8">
        <f t="shared" si="13"/>
        <v>4</v>
      </c>
      <c r="P145" s="8" t="s">
        <v>34</v>
      </c>
      <c r="Q145" s="17" t="s">
        <v>29</v>
      </c>
      <c r="R145" s="8">
        <f>VLOOKUP(Master19[[#This Row],[Elevated Priority]],Epriority,2,)</f>
        <v>0</v>
      </c>
      <c r="S145" s="8" t="e">
        <f>IF(Master19[[#This Row],[Status]]="Active",Master19[[#This Row],[Status_Score]],IF(C145="","",K145+G145+M145+O145+R145-5))</f>
        <v>#N/A</v>
      </c>
      <c r="U145" t="s">
        <v>670</v>
      </c>
    </row>
    <row r="146" spans="1:21" ht="30" hidden="1" x14ac:dyDescent="0.25">
      <c r="A146" s="1">
        <v>145</v>
      </c>
      <c r="B146" s="10" t="s">
        <v>94</v>
      </c>
      <c r="C146" s="10" t="s">
        <v>235</v>
      </c>
      <c r="D146" s="10" t="s">
        <v>236</v>
      </c>
      <c r="E146" s="10" t="s">
        <v>138</v>
      </c>
      <c r="F146" s="10" t="s">
        <v>29</v>
      </c>
      <c r="G146" s="10">
        <f t="shared" si="14"/>
        <v>0</v>
      </c>
      <c r="H146" s="11">
        <v>150000</v>
      </c>
      <c r="I146" s="8">
        <v>2018</v>
      </c>
      <c r="J146" s="10" t="s">
        <v>40</v>
      </c>
      <c r="K146" s="8" t="e">
        <f t="shared" si="12"/>
        <v>#N/A</v>
      </c>
      <c r="L146" s="8">
        <v>25</v>
      </c>
      <c r="M146" s="8">
        <f t="shared" si="15"/>
        <v>29</v>
      </c>
      <c r="N146" s="8" t="s">
        <v>41</v>
      </c>
      <c r="O146" s="8">
        <f t="shared" si="13"/>
        <v>4</v>
      </c>
      <c r="P146" s="8" t="s">
        <v>30</v>
      </c>
      <c r="Q146" s="17" t="s">
        <v>29</v>
      </c>
      <c r="R146" s="8">
        <f>VLOOKUP(Master19[[#This Row],[Elevated Priority]],Epriority,2,)</f>
        <v>0</v>
      </c>
      <c r="S146" s="8" t="e">
        <f>IF(Master19[[#This Row],[Status]]="Active",Master19[[#This Row],[Status_Score]],IF(C146="","",K146+G146+M146+O146+R146-5))</f>
        <v>#N/A</v>
      </c>
    </row>
    <row r="147" spans="1:21" ht="30" hidden="1" x14ac:dyDescent="0.25">
      <c r="A147" s="1">
        <v>146</v>
      </c>
      <c r="B147" s="67" t="s">
        <v>94</v>
      </c>
      <c r="C147" s="67" t="s">
        <v>611</v>
      </c>
      <c r="D147" s="67" t="s">
        <v>612</v>
      </c>
      <c r="E147" s="67" t="s">
        <v>138</v>
      </c>
      <c r="F147" s="10" t="s">
        <v>29</v>
      </c>
      <c r="G147" s="10">
        <f t="shared" si="14"/>
        <v>0</v>
      </c>
      <c r="H147" s="11">
        <v>250000</v>
      </c>
      <c r="I147" s="17">
        <v>2019</v>
      </c>
      <c r="J147" s="10" t="s">
        <v>40</v>
      </c>
      <c r="K147" s="8" t="e">
        <f t="shared" si="12"/>
        <v>#N/A</v>
      </c>
      <c r="L147" s="8">
        <v>27</v>
      </c>
      <c r="M147" s="8">
        <f t="shared" si="15"/>
        <v>30</v>
      </c>
      <c r="N147" s="8" t="s">
        <v>41</v>
      </c>
      <c r="O147" s="8">
        <f t="shared" si="13"/>
        <v>4</v>
      </c>
      <c r="P147" s="8" t="s">
        <v>30</v>
      </c>
      <c r="Q147" s="8" t="s">
        <v>29</v>
      </c>
      <c r="R147" s="8">
        <f>VLOOKUP(Master19[[#This Row],[Elevated Priority]],Epriority,2,)</f>
        <v>0</v>
      </c>
      <c r="S147" s="8" t="e">
        <f>IF(Master19[[#This Row],[Status]]="Active",Master19[[#This Row],[Status_Score]],IF(C147="","",K147+G147+M147+O147+R147-5))</f>
        <v>#N/A</v>
      </c>
      <c r="T147" s="65"/>
    </row>
    <row r="148" spans="1:21" ht="45" hidden="1" x14ac:dyDescent="0.25">
      <c r="A148" s="1">
        <v>147</v>
      </c>
      <c r="B148" s="10" t="s">
        <v>94</v>
      </c>
      <c r="C148" s="10" t="s">
        <v>613</v>
      </c>
      <c r="D148" s="10" t="s">
        <v>614</v>
      </c>
      <c r="E148" s="10" t="s">
        <v>138</v>
      </c>
      <c r="F148" s="10" t="s">
        <v>29</v>
      </c>
      <c r="G148" s="10">
        <f t="shared" si="14"/>
        <v>0</v>
      </c>
      <c r="H148" s="11">
        <v>500000</v>
      </c>
      <c r="I148" s="17">
        <v>2019</v>
      </c>
      <c r="J148" s="10" t="s">
        <v>40</v>
      </c>
      <c r="K148" s="8" t="e">
        <f t="shared" si="12"/>
        <v>#N/A</v>
      </c>
      <c r="L148" s="8">
        <v>28</v>
      </c>
      <c r="M148" s="8">
        <f t="shared" si="15"/>
        <v>30</v>
      </c>
      <c r="N148" s="8" t="s">
        <v>41</v>
      </c>
      <c r="O148" s="8">
        <f t="shared" si="13"/>
        <v>4</v>
      </c>
      <c r="P148" s="8" t="s">
        <v>30</v>
      </c>
      <c r="Q148" s="8" t="s">
        <v>29</v>
      </c>
      <c r="R148" s="8">
        <f>VLOOKUP(Master19[[#This Row],[Elevated Priority]],Epriority,2,)</f>
        <v>0</v>
      </c>
      <c r="S148" s="8" t="e">
        <f>IF(Master19[[#This Row],[Status]]="Active",Master19[[#This Row],[Status_Score]],IF(C148="","",K148+G148+M148+O148+R148-5))</f>
        <v>#N/A</v>
      </c>
      <c r="T148" s="65"/>
    </row>
    <row r="149" spans="1:21" ht="60" hidden="1" x14ac:dyDescent="0.25">
      <c r="A149" s="1">
        <v>148</v>
      </c>
      <c r="B149" s="10" t="s">
        <v>637</v>
      </c>
      <c r="C149" s="10" t="s">
        <v>328</v>
      </c>
      <c r="D149" s="10" t="s">
        <v>329</v>
      </c>
      <c r="E149" s="10" t="s">
        <v>330</v>
      </c>
      <c r="F149" s="10" t="s">
        <v>29</v>
      </c>
      <c r="G149" s="10">
        <f t="shared" si="14"/>
        <v>0</v>
      </c>
      <c r="H149" s="11">
        <v>20000</v>
      </c>
      <c r="I149" s="8">
        <v>2018</v>
      </c>
      <c r="J149" s="10" t="s">
        <v>42</v>
      </c>
      <c r="K149" s="8" t="e">
        <f t="shared" si="12"/>
        <v>#N/A</v>
      </c>
      <c r="L149" s="8">
        <v>4</v>
      </c>
      <c r="M149" s="8">
        <f t="shared" si="15"/>
        <v>12</v>
      </c>
      <c r="N149" s="8" t="s">
        <v>43</v>
      </c>
      <c r="O149" s="8">
        <f t="shared" si="13"/>
        <v>16</v>
      </c>
      <c r="P149" s="8" t="s">
        <v>30</v>
      </c>
      <c r="Q149" s="17" t="s">
        <v>29</v>
      </c>
      <c r="R149" s="8">
        <f>VLOOKUP(Master19[[#This Row],[Elevated Priority]],Epriority,2,)</f>
        <v>0</v>
      </c>
      <c r="S149" s="8" t="e">
        <f>IF(Master19[[#This Row],[Status]]="Active",Master19[[#This Row],[Status_Score]],IF(C149="","",K149+G149+M149+O149+R149-5))</f>
        <v>#N/A</v>
      </c>
    </row>
    <row r="150" spans="1:21" ht="300" hidden="1" x14ac:dyDescent="0.25">
      <c r="A150" s="1">
        <v>149</v>
      </c>
      <c r="B150" s="10" t="s">
        <v>159</v>
      </c>
      <c r="C150" s="10" t="s">
        <v>416</v>
      </c>
      <c r="D150" s="10" t="s">
        <v>417</v>
      </c>
      <c r="E150" s="10" t="s">
        <v>418</v>
      </c>
      <c r="F150" s="10" t="s">
        <v>29</v>
      </c>
      <c r="G150" s="10">
        <f t="shared" si="14"/>
        <v>0</v>
      </c>
      <c r="H150" s="11">
        <v>45000</v>
      </c>
      <c r="I150" s="8">
        <v>2018</v>
      </c>
      <c r="J150" s="10" t="s">
        <v>42</v>
      </c>
      <c r="K150" s="8" t="e">
        <f t="shared" ref="K150:K181" si="16">VLOOKUP(J150,Importance,2,FALSE)</f>
        <v>#N/A</v>
      </c>
      <c r="L150" s="8">
        <v>4</v>
      </c>
      <c r="M150" s="8">
        <f t="shared" si="15"/>
        <v>12</v>
      </c>
      <c r="N150" s="8" t="s">
        <v>43</v>
      </c>
      <c r="O150" s="8">
        <f t="shared" si="13"/>
        <v>16</v>
      </c>
      <c r="P150" s="8" t="s">
        <v>30</v>
      </c>
      <c r="Q150" s="17" t="s">
        <v>29</v>
      </c>
      <c r="R150" s="8">
        <f>VLOOKUP(Master19[[#This Row],[Elevated Priority]],Epriority,2,)</f>
        <v>0</v>
      </c>
      <c r="S150" s="8" t="e">
        <f>IF(Master19[[#This Row],[Status]]="Active",Master19[[#This Row],[Status_Score]],IF(C150="","",K150+G150+M150+O150+R150-5))</f>
        <v>#N/A</v>
      </c>
    </row>
    <row r="151" spans="1:21" ht="60" hidden="1" x14ac:dyDescent="0.25">
      <c r="A151" s="1">
        <v>150</v>
      </c>
      <c r="B151" s="10" t="s">
        <v>299</v>
      </c>
      <c r="C151" s="10" t="s">
        <v>414</v>
      </c>
      <c r="D151" s="10" t="s">
        <v>414</v>
      </c>
      <c r="E151" s="10" t="s">
        <v>415</v>
      </c>
      <c r="F151" s="10" t="s">
        <v>29</v>
      </c>
      <c r="G151" s="10">
        <f t="shared" si="14"/>
        <v>0</v>
      </c>
      <c r="H151" s="18">
        <v>100000</v>
      </c>
      <c r="I151" s="8">
        <v>2018</v>
      </c>
      <c r="J151" s="10" t="s">
        <v>40</v>
      </c>
      <c r="K151" s="8" t="e">
        <f t="shared" si="16"/>
        <v>#N/A</v>
      </c>
      <c r="L151" s="17">
        <v>2</v>
      </c>
      <c r="M151" s="8">
        <f t="shared" si="15"/>
        <v>6</v>
      </c>
      <c r="N151" s="17" t="s">
        <v>45</v>
      </c>
      <c r="O151" s="8">
        <f t="shared" si="13"/>
        <v>32</v>
      </c>
      <c r="P151" s="8" t="s">
        <v>30</v>
      </c>
      <c r="Q151" s="17" t="s">
        <v>29</v>
      </c>
      <c r="R151" s="8">
        <f>VLOOKUP(Master19[[#This Row],[Elevated Priority]],Epriority,2,)</f>
        <v>0</v>
      </c>
      <c r="S151" s="8" t="e">
        <f>IF(Master19[[#This Row],[Status]]="Active",Master19[[#This Row],[Status_Score]],IF(C151="","",K151+G151+M151+O151+R151-5))</f>
        <v>#N/A</v>
      </c>
    </row>
    <row r="152" spans="1:21" ht="30" hidden="1" x14ac:dyDescent="0.25">
      <c r="A152" s="1">
        <v>151</v>
      </c>
      <c r="B152" s="10" t="s">
        <v>91</v>
      </c>
      <c r="C152" s="10" t="s">
        <v>481</v>
      </c>
      <c r="D152" s="10" t="s">
        <v>482</v>
      </c>
      <c r="E152" s="10" t="s">
        <v>483</v>
      </c>
      <c r="F152" s="10" t="s">
        <v>29</v>
      </c>
      <c r="G152" s="10">
        <f t="shared" si="14"/>
        <v>0</v>
      </c>
      <c r="H152" s="11">
        <v>150000</v>
      </c>
      <c r="I152" s="8">
        <v>2018</v>
      </c>
      <c r="J152" s="10" t="s">
        <v>44</v>
      </c>
      <c r="K152" s="8" t="e">
        <f t="shared" si="16"/>
        <v>#N/A</v>
      </c>
      <c r="L152" s="8">
        <v>1</v>
      </c>
      <c r="M152" s="8">
        <f t="shared" si="15"/>
        <v>3</v>
      </c>
      <c r="N152" s="8" t="s">
        <v>43</v>
      </c>
      <c r="O152" s="8">
        <f t="shared" si="13"/>
        <v>16</v>
      </c>
      <c r="P152" s="8" t="s">
        <v>34</v>
      </c>
      <c r="Q152" s="17" t="s">
        <v>29</v>
      </c>
      <c r="R152" s="8">
        <f>VLOOKUP(Master19[[#This Row],[Elevated Priority]],Epriority,2,)</f>
        <v>0</v>
      </c>
      <c r="S152" s="8" t="e">
        <f>IF(Master19[[#This Row],[Status]]="Active",Master19[[#This Row],[Status_Score]],IF(C152="","",K152+G152+M152+O152+R152-5))</f>
        <v>#N/A</v>
      </c>
    </row>
    <row r="153" spans="1:21" ht="30" hidden="1" x14ac:dyDescent="0.25">
      <c r="A153" s="1">
        <v>152</v>
      </c>
      <c r="B153" s="10" t="s">
        <v>67</v>
      </c>
      <c r="C153" s="10" t="s">
        <v>437</v>
      </c>
      <c r="E153" s="10"/>
      <c r="F153" s="10" t="s">
        <v>29</v>
      </c>
      <c r="G153" s="10">
        <f t="shared" si="14"/>
        <v>0</v>
      </c>
      <c r="H153" s="11"/>
      <c r="I153" s="8">
        <v>2018</v>
      </c>
      <c r="J153" s="10" t="s">
        <v>46</v>
      </c>
      <c r="K153" s="8">
        <f t="shared" si="16"/>
        <v>50</v>
      </c>
      <c r="L153" s="8" t="s">
        <v>29</v>
      </c>
      <c r="M153" s="8">
        <f t="shared" si="15"/>
        <v>0</v>
      </c>
      <c r="N153" s="8" t="s">
        <v>29</v>
      </c>
      <c r="O153" s="8">
        <f t="shared" si="13"/>
        <v>0</v>
      </c>
      <c r="P153" s="8" t="s">
        <v>30</v>
      </c>
      <c r="Q153" s="17" t="s">
        <v>29</v>
      </c>
      <c r="R153" s="8">
        <f>VLOOKUP(Master19[[#This Row],[Elevated Priority]],Epriority,2,)</f>
        <v>0</v>
      </c>
      <c r="S153" s="8">
        <f>IF(Master19[[#This Row],[Status]]="Active",Master19[[#This Row],[Status_Score]],IF(C153="","",K153+G153+M153+O153+R153-5))</f>
        <v>45</v>
      </c>
    </row>
    <row r="154" spans="1:21" ht="60" x14ac:dyDescent="0.25">
      <c r="A154" s="1">
        <v>153</v>
      </c>
      <c r="B154" s="10" t="s">
        <v>87</v>
      </c>
      <c r="C154" s="10" t="s">
        <v>422</v>
      </c>
      <c r="D154" s="10" t="s">
        <v>423</v>
      </c>
      <c r="E154" s="10" t="s">
        <v>424</v>
      </c>
      <c r="F154" s="10" t="s">
        <v>29</v>
      </c>
      <c r="G154" s="10">
        <f t="shared" si="14"/>
        <v>0</v>
      </c>
      <c r="H154" s="11"/>
      <c r="I154" s="8">
        <v>2018</v>
      </c>
      <c r="J154" s="10" t="s">
        <v>46</v>
      </c>
      <c r="K154" s="8">
        <f t="shared" si="16"/>
        <v>50</v>
      </c>
      <c r="L154" s="8" t="s">
        <v>29</v>
      </c>
      <c r="M154" s="8">
        <f t="shared" si="15"/>
        <v>0</v>
      </c>
      <c r="N154" s="8" t="s">
        <v>29</v>
      </c>
      <c r="O154" s="8">
        <f t="shared" si="13"/>
        <v>0</v>
      </c>
      <c r="P154" s="8" t="s">
        <v>30</v>
      </c>
      <c r="Q154" s="17" t="s">
        <v>29</v>
      </c>
      <c r="R154" s="8">
        <f>VLOOKUP(Master19[[#This Row],[Elevated Priority]],Epriority,2,)</f>
        <v>0</v>
      </c>
      <c r="S154" s="8">
        <f>IF(Master19[[#This Row],[Status]]="Active",Master19[[#This Row],[Status_Score]],IF(C154="","",K154+G154+M154+O154+R154-5))</f>
        <v>45</v>
      </c>
    </row>
    <row r="155" spans="1:21" ht="30" hidden="1" x14ac:dyDescent="0.25">
      <c r="A155" s="1">
        <v>154</v>
      </c>
      <c r="B155" s="10" t="s">
        <v>94</v>
      </c>
      <c r="C155" s="10" t="s">
        <v>270</v>
      </c>
      <c r="D155" s="10" t="s">
        <v>271</v>
      </c>
      <c r="E155" s="10" t="s">
        <v>272</v>
      </c>
      <c r="F155" s="10" t="s">
        <v>29</v>
      </c>
      <c r="G155" s="10">
        <f t="shared" si="14"/>
        <v>0</v>
      </c>
      <c r="H155" s="11">
        <v>5000</v>
      </c>
      <c r="I155" s="8">
        <v>2018</v>
      </c>
      <c r="J155" s="10" t="s">
        <v>40</v>
      </c>
      <c r="K155" s="8" t="e">
        <f t="shared" si="16"/>
        <v>#N/A</v>
      </c>
      <c r="L155" s="8">
        <v>34</v>
      </c>
      <c r="M155" s="8">
        <f t="shared" si="15"/>
        <v>33</v>
      </c>
      <c r="N155" s="8" t="s">
        <v>41</v>
      </c>
      <c r="O155" s="8">
        <f t="shared" si="13"/>
        <v>4</v>
      </c>
      <c r="P155" s="8" t="s">
        <v>30</v>
      </c>
      <c r="Q155" s="17" t="s">
        <v>29</v>
      </c>
      <c r="R155" s="8">
        <f>VLOOKUP(Master19[[#This Row],[Elevated Priority]],Epriority,2,)</f>
        <v>0</v>
      </c>
      <c r="S155" s="8" t="e">
        <f>IF(Master19[[#This Row],[Status]]="Active",Master19[[#This Row],[Status_Score]],IF(C155="","",K155+G155+M155+O155+R155-5))</f>
        <v>#N/A</v>
      </c>
    </row>
    <row r="156" spans="1:21" hidden="1" x14ac:dyDescent="0.25">
      <c r="A156" s="1">
        <v>155</v>
      </c>
      <c r="B156" s="10" t="s">
        <v>61</v>
      </c>
      <c r="C156" s="10" t="s">
        <v>441</v>
      </c>
      <c r="D156" s="10" t="s">
        <v>442</v>
      </c>
      <c r="E156" s="10" t="s">
        <v>443</v>
      </c>
      <c r="F156" s="10" t="s">
        <v>29</v>
      </c>
      <c r="G156" s="10">
        <f t="shared" si="14"/>
        <v>0</v>
      </c>
      <c r="H156" s="11">
        <v>100000</v>
      </c>
      <c r="I156" s="8">
        <v>2018</v>
      </c>
      <c r="J156" s="10" t="s">
        <v>42</v>
      </c>
      <c r="K156" s="8" t="e">
        <f t="shared" si="16"/>
        <v>#N/A</v>
      </c>
      <c r="L156" s="8">
        <v>5</v>
      </c>
      <c r="M156" s="8">
        <f t="shared" si="15"/>
        <v>15</v>
      </c>
      <c r="N156" s="8" t="s">
        <v>43</v>
      </c>
      <c r="O156" s="8">
        <f t="shared" si="13"/>
        <v>16</v>
      </c>
      <c r="P156" s="8" t="s">
        <v>30</v>
      </c>
      <c r="Q156" s="17" t="s">
        <v>29</v>
      </c>
      <c r="R156" s="8">
        <f>VLOOKUP(Master19[[#This Row],[Elevated Priority]],Epriority,2,)</f>
        <v>0</v>
      </c>
      <c r="S156" s="8" t="e">
        <f>IF(Master19[[#This Row],[Status]]="Active",Master19[[#This Row],[Status_Score]],IF(C156="","",K156+G156+M156+O156+R156-5))</f>
        <v>#N/A</v>
      </c>
    </row>
    <row r="157" spans="1:21" ht="45" hidden="1" x14ac:dyDescent="0.25">
      <c r="A157" s="1">
        <v>156</v>
      </c>
      <c r="B157" s="10" t="s">
        <v>143</v>
      </c>
      <c r="C157" s="10" t="s">
        <v>166</v>
      </c>
      <c r="D157" s="10" t="s">
        <v>167</v>
      </c>
      <c r="E157" s="10" t="s">
        <v>168</v>
      </c>
      <c r="F157" s="10" t="s">
        <v>29</v>
      </c>
      <c r="G157" s="10">
        <f t="shared" si="14"/>
        <v>0</v>
      </c>
      <c r="H157" s="18">
        <v>40000</v>
      </c>
      <c r="I157" s="8">
        <v>2018</v>
      </c>
      <c r="J157" s="10" t="s">
        <v>44</v>
      </c>
      <c r="K157" s="8" t="e">
        <f t="shared" si="16"/>
        <v>#N/A</v>
      </c>
      <c r="L157" s="17">
        <v>5</v>
      </c>
      <c r="M157" s="8">
        <f t="shared" si="15"/>
        <v>15</v>
      </c>
      <c r="N157" s="17" t="s">
        <v>41</v>
      </c>
      <c r="O157" s="8">
        <f t="shared" si="13"/>
        <v>4</v>
      </c>
      <c r="P157" s="8" t="s">
        <v>34</v>
      </c>
      <c r="Q157" s="17" t="s">
        <v>29</v>
      </c>
      <c r="R157" s="8">
        <f>VLOOKUP(Master19[[#This Row],[Elevated Priority]],Epriority,2,)</f>
        <v>0</v>
      </c>
      <c r="S157" s="8" t="e">
        <f>IF(Master19[[#This Row],[Status]]="Active",Master19[[#This Row],[Status_Score]],IF(C157="","",K157+G157+M157+O157+R157-5))</f>
        <v>#N/A</v>
      </c>
    </row>
    <row r="158" spans="1:21" ht="45" hidden="1" x14ac:dyDescent="0.25">
      <c r="A158" s="1">
        <v>157</v>
      </c>
      <c r="B158" s="10" t="s">
        <v>214</v>
      </c>
      <c r="C158" s="10" t="s">
        <v>447</v>
      </c>
      <c r="D158" s="10" t="s">
        <v>448</v>
      </c>
      <c r="E158" s="10" t="s">
        <v>449</v>
      </c>
      <c r="F158" s="10" t="s">
        <v>29</v>
      </c>
      <c r="G158" s="10">
        <f t="shared" si="14"/>
        <v>0</v>
      </c>
      <c r="H158" s="11">
        <v>200000</v>
      </c>
      <c r="I158" s="8">
        <v>2018</v>
      </c>
      <c r="J158" s="10" t="s">
        <v>42</v>
      </c>
      <c r="K158" s="8" t="e">
        <f t="shared" si="16"/>
        <v>#N/A</v>
      </c>
      <c r="L158" s="8">
        <v>6</v>
      </c>
      <c r="M158" s="8">
        <f t="shared" si="15"/>
        <v>18</v>
      </c>
      <c r="N158" s="8" t="s">
        <v>43</v>
      </c>
      <c r="O158" s="8">
        <f t="shared" ref="O158:O189" si="17">VLOOKUP(N158,Urgency,2,FALSE)</f>
        <v>16</v>
      </c>
      <c r="P158" s="8" t="s">
        <v>30</v>
      </c>
      <c r="Q158" s="17" t="s">
        <v>29</v>
      </c>
      <c r="R158" s="8">
        <f>VLOOKUP(Master19[[#This Row],[Elevated Priority]],Epriority,2,)</f>
        <v>0</v>
      </c>
      <c r="S158" s="8" t="e">
        <f>IF(Master19[[#This Row],[Status]]="Active",Master19[[#This Row],[Status_Score]],IF(C158="","",K158+G158+M158+O158+R158-5))</f>
        <v>#N/A</v>
      </c>
    </row>
    <row r="159" spans="1:21" ht="150" hidden="1" x14ac:dyDescent="0.25">
      <c r="A159" s="1">
        <v>158</v>
      </c>
      <c r="B159" s="10" t="s">
        <v>299</v>
      </c>
      <c r="C159" s="10" t="s">
        <v>450</v>
      </c>
      <c r="D159" s="10" t="s">
        <v>451</v>
      </c>
      <c r="E159" s="10" t="s">
        <v>452</v>
      </c>
      <c r="F159" s="10" t="s">
        <v>29</v>
      </c>
      <c r="G159" s="10">
        <f t="shared" si="14"/>
        <v>0</v>
      </c>
      <c r="H159" s="18">
        <v>50000</v>
      </c>
      <c r="I159" s="8">
        <v>2018</v>
      </c>
      <c r="J159" s="10" t="s">
        <v>44</v>
      </c>
      <c r="K159" s="8" t="e">
        <f t="shared" si="16"/>
        <v>#N/A</v>
      </c>
      <c r="L159" s="17">
        <v>3</v>
      </c>
      <c r="M159" s="8">
        <f t="shared" si="15"/>
        <v>9</v>
      </c>
      <c r="N159" s="17" t="s">
        <v>43</v>
      </c>
      <c r="O159" s="8">
        <f t="shared" si="17"/>
        <v>16</v>
      </c>
      <c r="P159" s="8" t="s">
        <v>34</v>
      </c>
      <c r="Q159" s="17" t="s">
        <v>29</v>
      </c>
      <c r="R159" s="8">
        <f>VLOOKUP(Master19[[#This Row],[Elevated Priority]],Epriority,2,)</f>
        <v>0</v>
      </c>
      <c r="S159" s="8" t="e">
        <f>IF(Master19[[#This Row],[Status]]="Active",Master19[[#This Row],[Status_Score]],IF(C159="","",K159+G159+M159+O159+R159-5))</f>
        <v>#N/A</v>
      </c>
    </row>
    <row r="160" spans="1:21" ht="105" hidden="1" x14ac:dyDescent="0.25">
      <c r="A160" s="1">
        <v>159</v>
      </c>
      <c r="B160" s="10" t="s">
        <v>67</v>
      </c>
      <c r="C160" s="10" t="s">
        <v>419</v>
      </c>
      <c r="D160" s="10" t="s">
        <v>420</v>
      </c>
      <c r="E160" s="10" t="s">
        <v>421</v>
      </c>
      <c r="F160" s="10" t="s">
        <v>29</v>
      </c>
      <c r="G160" s="10">
        <f t="shared" si="14"/>
        <v>0</v>
      </c>
      <c r="H160" s="11"/>
      <c r="I160" s="8">
        <v>2018</v>
      </c>
      <c r="J160" s="10" t="s">
        <v>46</v>
      </c>
      <c r="K160" s="8">
        <f t="shared" si="16"/>
        <v>50</v>
      </c>
      <c r="L160" s="8">
        <v>2</v>
      </c>
      <c r="M160" s="8">
        <f t="shared" si="15"/>
        <v>6</v>
      </c>
      <c r="N160" s="8" t="s">
        <v>29</v>
      </c>
      <c r="O160" s="8">
        <f t="shared" si="17"/>
        <v>0</v>
      </c>
      <c r="P160" s="8" t="s">
        <v>34</v>
      </c>
      <c r="Q160" s="17" t="s">
        <v>29</v>
      </c>
      <c r="R160" s="8">
        <f>VLOOKUP(Master19[[#This Row],[Elevated Priority]],Epriority,2,)</f>
        <v>0</v>
      </c>
      <c r="S160" s="8">
        <f>IF(Master19[[#This Row],[Status]]="Active",Master19[[#This Row],[Status_Score]],IF(C160="","",K160+G160+M160+O160+R160-5))</f>
        <v>51</v>
      </c>
    </row>
    <row r="161" spans="1:20" ht="45" hidden="1" x14ac:dyDescent="0.25">
      <c r="A161" s="1">
        <v>160</v>
      </c>
      <c r="B161" s="10" t="s">
        <v>67</v>
      </c>
      <c r="C161" s="10" t="s">
        <v>431</v>
      </c>
      <c r="D161" s="10" t="s">
        <v>432</v>
      </c>
      <c r="E161" s="10" t="s">
        <v>433</v>
      </c>
      <c r="F161" s="10" t="s">
        <v>29</v>
      </c>
      <c r="G161" s="10">
        <f t="shared" si="14"/>
        <v>0</v>
      </c>
      <c r="H161" s="11">
        <v>25000</v>
      </c>
      <c r="I161" s="8">
        <v>2018</v>
      </c>
      <c r="J161" s="10" t="s">
        <v>46</v>
      </c>
      <c r="K161" s="8">
        <f t="shared" si="16"/>
        <v>50</v>
      </c>
      <c r="L161" s="8">
        <v>2</v>
      </c>
      <c r="M161" s="8">
        <f t="shared" si="15"/>
        <v>6</v>
      </c>
      <c r="N161" s="8" t="s">
        <v>29</v>
      </c>
      <c r="O161" s="8">
        <f t="shared" si="17"/>
        <v>0</v>
      </c>
      <c r="P161" s="8" t="s">
        <v>30</v>
      </c>
      <c r="Q161" s="17" t="s">
        <v>29</v>
      </c>
      <c r="R161" s="8">
        <f>VLOOKUP(Master19[[#This Row],[Elevated Priority]],Epriority,2,)</f>
        <v>0</v>
      </c>
      <c r="S161" s="8">
        <f>IF(Master19[[#This Row],[Status]]="Active",Master19[[#This Row],[Status_Score]],IF(C161="","",K161+G161+M161+O161+R161-5))</f>
        <v>51</v>
      </c>
    </row>
    <row r="162" spans="1:20" ht="75" hidden="1" x14ac:dyDescent="0.25">
      <c r="A162" s="1">
        <v>161</v>
      </c>
      <c r="B162" s="10" t="s">
        <v>67</v>
      </c>
      <c r="C162" s="10" t="s">
        <v>434</v>
      </c>
      <c r="D162" s="10" t="s">
        <v>435</v>
      </c>
      <c r="E162" s="10" t="s">
        <v>436</v>
      </c>
      <c r="F162" s="10" t="s">
        <v>29</v>
      </c>
      <c r="G162" s="10">
        <f t="shared" si="14"/>
        <v>0</v>
      </c>
      <c r="H162" s="11"/>
      <c r="I162" s="8">
        <v>2018</v>
      </c>
      <c r="J162" s="10" t="s">
        <v>46</v>
      </c>
      <c r="K162" s="8">
        <f t="shared" si="16"/>
        <v>50</v>
      </c>
      <c r="L162" s="8">
        <v>2</v>
      </c>
      <c r="M162" s="8">
        <f t="shared" si="15"/>
        <v>6</v>
      </c>
      <c r="N162" s="8" t="s">
        <v>29</v>
      </c>
      <c r="O162" s="8">
        <f t="shared" si="17"/>
        <v>0</v>
      </c>
      <c r="P162" s="8" t="s">
        <v>30</v>
      </c>
      <c r="Q162" s="17" t="s">
        <v>29</v>
      </c>
      <c r="R162" s="8">
        <f>VLOOKUP(Master19[[#This Row],[Elevated Priority]],Epriority,2,)</f>
        <v>0</v>
      </c>
      <c r="S162" s="8">
        <f>IF(Master19[[#This Row],[Status]]="Active",Master19[[#This Row],[Status_Score]],IF(C162="","",K162+G162+M162+O162+R162-5))</f>
        <v>51</v>
      </c>
    </row>
    <row r="163" spans="1:20" ht="30" hidden="1" x14ac:dyDescent="0.25">
      <c r="A163" s="1">
        <v>162</v>
      </c>
      <c r="B163" s="10" t="s">
        <v>91</v>
      </c>
      <c r="C163" s="48" t="s">
        <v>453</v>
      </c>
      <c r="D163" s="10" t="s">
        <v>454</v>
      </c>
      <c r="E163" s="10"/>
      <c r="F163" s="10" t="s">
        <v>29</v>
      </c>
      <c r="G163" s="10">
        <f t="shared" si="14"/>
        <v>0</v>
      </c>
      <c r="H163" s="11">
        <v>60000</v>
      </c>
      <c r="I163" s="8">
        <v>2018</v>
      </c>
      <c r="J163" s="10" t="s">
        <v>42</v>
      </c>
      <c r="K163" s="8" t="e">
        <f t="shared" si="16"/>
        <v>#N/A</v>
      </c>
      <c r="L163" s="8">
        <v>8</v>
      </c>
      <c r="M163" s="8">
        <f t="shared" si="15"/>
        <v>20</v>
      </c>
      <c r="N163" s="8" t="s">
        <v>43</v>
      </c>
      <c r="O163" s="8">
        <f t="shared" si="17"/>
        <v>16</v>
      </c>
      <c r="P163" s="8" t="s">
        <v>34</v>
      </c>
      <c r="Q163" s="17" t="s">
        <v>29</v>
      </c>
      <c r="R163" s="8">
        <f>VLOOKUP(Master19[[#This Row],[Elevated Priority]],Epriority,2,)</f>
        <v>0</v>
      </c>
      <c r="S163" s="8" t="e">
        <f>IF(Master19[[#This Row],[Status]]="Active",Master19[[#This Row],[Status_Score]],IF(C163="","",K163+G163+M163+O163+R163-5))</f>
        <v>#N/A</v>
      </c>
    </row>
    <row r="164" spans="1:20" ht="120" hidden="1" x14ac:dyDescent="0.25">
      <c r="A164" s="1">
        <v>163</v>
      </c>
      <c r="B164" s="10" t="s">
        <v>71</v>
      </c>
      <c r="C164" s="10" t="s">
        <v>455</v>
      </c>
      <c r="D164" s="10" t="s">
        <v>456</v>
      </c>
      <c r="E164" s="10" t="s">
        <v>457</v>
      </c>
      <c r="F164" s="10" t="s">
        <v>29</v>
      </c>
      <c r="G164" s="10">
        <f t="shared" si="14"/>
        <v>0</v>
      </c>
      <c r="H164" s="11">
        <v>8000000</v>
      </c>
      <c r="I164" s="8">
        <v>2018</v>
      </c>
      <c r="J164" s="10" t="s">
        <v>46</v>
      </c>
      <c r="K164" s="8">
        <f t="shared" si="16"/>
        <v>50</v>
      </c>
      <c r="L164" s="8">
        <v>1</v>
      </c>
      <c r="M164" s="8">
        <f t="shared" si="15"/>
        <v>3</v>
      </c>
      <c r="N164" s="8" t="s">
        <v>37</v>
      </c>
      <c r="O164" s="8">
        <f t="shared" si="17"/>
        <v>3</v>
      </c>
      <c r="P164" s="8" t="s">
        <v>34</v>
      </c>
      <c r="Q164" s="17" t="s">
        <v>29</v>
      </c>
      <c r="R164" s="8">
        <f>VLOOKUP(Master19[[#This Row],[Elevated Priority]],Epriority,2,)</f>
        <v>0</v>
      </c>
      <c r="S164" s="8">
        <f>IF(Master19[[#This Row],[Status]]="Active",Master19[[#This Row],[Status_Score]],IF(C164="","",K164+G164+M164+O164+R164-5))</f>
        <v>51</v>
      </c>
    </row>
    <row r="165" spans="1:20" ht="30" hidden="1" x14ac:dyDescent="0.25">
      <c r="A165" s="1">
        <v>164</v>
      </c>
      <c r="B165" s="10" t="s">
        <v>214</v>
      </c>
      <c r="C165" s="10" t="s">
        <v>459</v>
      </c>
      <c r="D165" s="10" t="s">
        <v>460</v>
      </c>
      <c r="E165" s="10" t="s">
        <v>461</v>
      </c>
      <c r="F165" s="10" t="s">
        <v>29</v>
      </c>
      <c r="G165" s="10">
        <f t="shared" si="14"/>
        <v>0</v>
      </c>
      <c r="H165" s="11">
        <v>65000</v>
      </c>
      <c r="I165" s="8">
        <v>2018</v>
      </c>
      <c r="J165" s="10" t="s">
        <v>40</v>
      </c>
      <c r="K165" s="8" t="e">
        <f t="shared" si="16"/>
        <v>#N/A</v>
      </c>
      <c r="L165" s="8">
        <v>5</v>
      </c>
      <c r="M165" s="8">
        <f t="shared" si="15"/>
        <v>15</v>
      </c>
      <c r="N165" s="8" t="s">
        <v>45</v>
      </c>
      <c r="O165" s="8">
        <f t="shared" si="17"/>
        <v>32</v>
      </c>
      <c r="P165" s="8" t="s">
        <v>30</v>
      </c>
      <c r="Q165" s="17" t="s">
        <v>29</v>
      </c>
      <c r="R165" s="8">
        <f>VLOOKUP(Master19[[#This Row],[Elevated Priority]],Epriority,2,)</f>
        <v>0</v>
      </c>
      <c r="S165" s="8" t="e">
        <f>IF(Master19[[#This Row],[Status]]="Active",Master19[[#This Row],[Status_Score]],IF(C165="","",K165+G165+M165+O165+R165-5))</f>
        <v>#N/A</v>
      </c>
    </row>
    <row r="166" spans="1:20" ht="30" hidden="1" x14ac:dyDescent="0.25">
      <c r="A166" s="1">
        <v>165</v>
      </c>
      <c r="B166" s="10" t="s">
        <v>94</v>
      </c>
      <c r="C166" s="1" t="s">
        <v>319</v>
      </c>
      <c r="D166" s="1" t="s">
        <v>320</v>
      </c>
      <c r="E166" s="72" t="s">
        <v>321</v>
      </c>
      <c r="F166" s="10" t="s">
        <v>29</v>
      </c>
      <c r="G166" s="10">
        <f t="shared" si="14"/>
        <v>0</v>
      </c>
      <c r="H166" s="11">
        <v>50000</v>
      </c>
      <c r="I166" s="8">
        <v>2018</v>
      </c>
      <c r="J166" s="10" t="s">
        <v>44</v>
      </c>
      <c r="K166" s="8" t="e">
        <f t="shared" si="16"/>
        <v>#N/A</v>
      </c>
      <c r="L166" s="8">
        <v>20</v>
      </c>
      <c r="M166" s="8">
        <f t="shared" si="15"/>
        <v>26</v>
      </c>
      <c r="N166" s="8" t="s">
        <v>33</v>
      </c>
      <c r="O166" s="8">
        <f t="shared" si="17"/>
        <v>1</v>
      </c>
      <c r="P166" s="8" t="s">
        <v>30</v>
      </c>
      <c r="Q166" s="17" t="s">
        <v>29</v>
      </c>
      <c r="R166" s="8">
        <f>VLOOKUP(Master19[[#This Row],[Elevated Priority]],Epriority,2,)</f>
        <v>0</v>
      </c>
      <c r="S166" s="8" t="e">
        <f>IF(Master19[[#This Row],[Status]]="Active",Master19[[#This Row],[Status_Score]],IF(C166="","",K166+G166+M166+O166+R166-5))</f>
        <v>#N/A</v>
      </c>
    </row>
    <row r="167" spans="1:20" ht="60" hidden="1" x14ac:dyDescent="0.25">
      <c r="A167" s="1">
        <v>166</v>
      </c>
      <c r="B167" s="10" t="s">
        <v>65</v>
      </c>
      <c r="C167" s="10" t="s">
        <v>468</v>
      </c>
      <c r="D167" s="10" t="s">
        <v>671</v>
      </c>
      <c r="E167" s="10" t="s">
        <v>469</v>
      </c>
      <c r="F167" s="10" t="s">
        <v>29</v>
      </c>
      <c r="G167" s="10">
        <f t="shared" si="14"/>
        <v>0</v>
      </c>
      <c r="H167" s="11">
        <v>250000</v>
      </c>
      <c r="I167" s="8">
        <v>2018</v>
      </c>
      <c r="J167" s="10" t="s">
        <v>44</v>
      </c>
      <c r="K167" s="8" t="e">
        <f t="shared" si="16"/>
        <v>#N/A</v>
      </c>
      <c r="L167" s="8">
        <v>4</v>
      </c>
      <c r="M167" s="8">
        <f t="shared" si="15"/>
        <v>12</v>
      </c>
      <c r="N167" s="8" t="s">
        <v>43</v>
      </c>
      <c r="O167" s="8">
        <f t="shared" si="17"/>
        <v>16</v>
      </c>
      <c r="P167" s="8" t="s">
        <v>34</v>
      </c>
      <c r="Q167" s="17" t="s">
        <v>29</v>
      </c>
      <c r="R167" s="8">
        <f>VLOOKUP(Master19[[#This Row],[Elevated Priority]],Epriority,2,)</f>
        <v>0</v>
      </c>
      <c r="S167" s="8" t="e">
        <f>IF(Master19[[#This Row],[Status]]="Active",Master19[[#This Row],[Status_Score]],IF(C167="","",K167+G167+M167+O167+R167-5))</f>
        <v>#N/A</v>
      </c>
    </row>
    <row r="168" spans="1:20" ht="30" hidden="1" x14ac:dyDescent="0.25">
      <c r="A168" s="1">
        <v>167</v>
      </c>
      <c r="B168" s="10" t="s">
        <v>79</v>
      </c>
      <c r="C168" s="10" t="s">
        <v>470</v>
      </c>
      <c r="D168" s="10" t="s">
        <v>471</v>
      </c>
      <c r="E168" s="10" t="s">
        <v>472</v>
      </c>
      <c r="F168" s="10" t="s">
        <v>29</v>
      </c>
      <c r="G168" s="10">
        <f t="shared" si="14"/>
        <v>0</v>
      </c>
      <c r="H168" s="11">
        <v>50000</v>
      </c>
      <c r="I168" s="8">
        <v>2018</v>
      </c>
      <c r="J168" s="10" t="s">
        <v>42</v>
      </c>
      <c r="K168" s="8" t="e">
        <f t="shared" si="16"/>
        <v>#N/A</v>
      </c>
      <c r="L168" s="8">
        <v>12</v>
      </c>
      <c r="M168" s="8">
        <f t="shared" si="15"/>
        <v>22</v>
      </c>
      <c r="N168" s="8" t="s">
        <v>43</v>
      </c>
      <c r="O168" s="8">
        <f t="shared" si="17"/>
        <v>16</v>
      </c>
      <c r="P168" s="8" t="s">
        <v>30</v>
      </c>
      <c r="Q168" s="17" t="s">
        <v>29</v>
      </c>
      <c r="R168" s="8">
        <f>VLOOKUP(Master19[[#This Row],[Elevated Priority]],Epriority,2,)</f>
        <v>0</v>
      </c>
      <c r="S168" s="8" t="e">
        <f>IF(Master19[[#This Row],[Status]]="Active",Master19[[#This Row],[Status_Score]],IF(C168="","",K168+G168+M168+O168+R168-5))</f>
        <v>#N/A</v>
      </c>
    </row>
    <row r="169" spans="1:20" ht="45" hidden="1" x14ac:dyDescent="0.25">
      <c r="A169" s="1">
        <v>168</v>
      </c>
      <c r="B169" s="10" t="s">
        <v>61</v>
      </c>
      <c r="C169" s="10" t="s">
        <v>473</v>
      </c>
      <c r="D169" s="10" t="s">
        <v>474</v>
      </c>
      <c r="E169" s="10" t="s">
        <v>475</v>
      </c>
      <c r="F169" s="10" t="s">
        <v>29</v>
      </c>
      <c r="G169" s="10">
        <f t="shared" si="14"/>
        <v>0</v>
      </c>
      <c r="H169" s="11">
        <v>150000</v>
      </c>
      <c r="I169" s="8">
        <v>2018</v>
      </c>
      <c r="J169" s="10" t="s">
        <v>44</v>
      </c>
      <c r="K169" s="8" t="e">
        <f t="shared" si="16"/>
        <v>#N/A</v>
      </c>
      <c r="L169" s="8">
        <v>4</v>
      </c>
      <c r="M169" s="8">
        <f t="shared" si="15"/>
        <v>12</v>
      </c>
      <c r="N169" s="8" t="s">
        <v>43</v>
      </c>
      <c r="O169" s="8">
        <f t="shared" si="17"/>
        <v>16</v>
      </c>
      <c r="P169" s="8" t="s">
        <v>34</v>
      </c>
      <c r="Q169" s="17" t="s">
        <v>29</v>
      </c>
      <c r="R169" s="8">
        <f>VLOOKUP(Master19[[#This Row],[Elevated Priority]],Epriority,2,)</f>
        <v>0</v>
      </c>
      <c r="S169" s="8" t="e">
        <f>IF(Master19[[#This Row],[Status]]="Active",Master19[[#This Row],[Status_Score]],IF(C169="","",K169+G169+M169+O169+R169-5))</f>
        <v>#N/A</v>
      </c>
    </row>
    <row r="170" spans="1:20" ht="135" hidden="1" x14ac:dyDescent="0.25">
      <c r="A170" s="1">
        <v>169</v>
      </c>
      <c r="B170" s="10" t="s">
        <v>61</v>
      </c>
      <c r="C170" s="10" t="s">
        <v>476</v>
      </c>
      <c r="E170" s="10" t="s">
        <v>477</v>
      </c>
      <c r="F170" s="10" t="s">
        <v>29</v>
      </c>
      <c r="G170" s="10">
        <f t="shared" si="14"/>
        <v>0</v>
      </c>
      <c r="H170" s="11">
        <v>350000</v>
      </c>
      <c r="I170" s="8">
        <v>2018</v>
      </c>
      <c r="J170" s="10" t="s">
        <v>44</v>
      </c>
      <c r="K170" s="8" t="e">
        <f t="shared" si="16"/>
        <v>#N/A</v>
      </c>
      <c r="L170" s="8">
        <v>4</v>
      </c>
      <c r="M170" s="8">
        <f t="shared" si="15"/>
        <v>12</v>
      </c>
      <c r="N170" s="8" t="s">
        <v>43</v>
      </c>
      <c r="O170" s="8">
        <f t="shared" si="17"/>
        <v>16</v>
      </c>
      <c r="P170" s="8" t="s">
        <v>34</v>
      </c>
      <c r="Q170" s="17" t="s">
        <v>29</v>
      </c>
      <c r="R170" s="8">
        <f>VLOOKUP(Master19[[#This Row],[Elevated Priority]],Epriority,2,)</f>
        <v>0</v>
      </c>
      <c r="S170" s="8" t="e">
        <f>IF(Master19[[#This Row],[Status]]="Active",Master19[[#This Row],[Status_Score]],IF(C170="","",K170+G170+M170+O170+R170-5))</f>
        <v>#N/A</v>
      </c>
    </row>
    <row r="171" spans="1:20" ht="60" hidden="1" x14ac:dyDescent="0.25">
      <c r="A171" s="1">
        <v>170</v>
      </c>
      <c r="B171" s="10" t="s">
        <v>70</v>
      </c>
      <c r="C171" s="10" t="s">
        <v>444</v>
      </c>
      <c r="D171" s="10" t="s">
        <v>445</v>
      </c>
      <c r="E171" s="10" t="s">
        <v>446</v>
      </c>
      <c r="F171" s="10" t="s">
        <v>29</v>
      </c>
      <c r="G171" s="10">
        <f t="shared" si="14"/>
        <v>0</v>
      </c>
      <c r="H171" s="11">
        <v>5000000</v>
      </c>
      <c r="I171" s="8">
        <v>2018</v>
      </c>
      <c r="J171" s="10" t="s">
        <v>42</v>
      </c>
      <c r="K171" s="8" t="e">
        <f t="shared" si="16"/>
        <v>#N/A</v>
      </c>
      <c r="L171" s="8">
        <v>2</v>
      </c>
      <c r="M171" s="8">
        <f t="shared" si="15"/>
        <v>6</v>
      </c>
      <c r="N171" s="8" t="s">
        <v>45</v>
      </c>
      <c r="O171" s="8">
        <f t="shared" si="17"/>
        <v>32</v>
      </c>
      <c r="P171" s="8" t="s">
        <v>30</v>
      </c>
      <c r="Q171" s="17" t="s">
        <v>29</v>
      </c>
      <c r="R171" s="8">
        <f>VLOOKUP(Master19[[#This Row],[Elevated Priority]],Epriority,2,)</f>
        <v>0</v>
      </c>
      <c r="S171" s="8" t="e">
        <f>IF(Master19[[#This Row],[Status]]="Active",Master19[[#This Row],[Status_Score]],IF(C171="","",K171+G171+M171+O171+R171-5))</f>
        <v>#N/A</v>
      </c>
    </row>
    <row r="172" spans="1:20" ht="45" hidden="1" x14ac:dyDescent="0.25">
      <c r="A172" s="1">
        <v>171</v>
      </c>
      <c r="B172" s="10" t="s">
        <v>70</v>
      </c>
      <c r="C172" s="10" t="s">
        <v>390</v>
      </c>
      <c r="D172" s="10" t="s">
        <v>391</v>
      </c>
      <c r="E172" s="10" t="s">
        <v>392</v>
      </c>
      <c r="F172" s="10" t="s">
        <v>29</v>
      </c>
      <c r="G172" s="10">
        <f t="shared" si="14"/>
        <v>0</v>
      </c>
      <c r="H172" s="11">
        <v>150000</v>
      </c>
      <c r="I172" s="8">
        <v>2018</v>
      </c>
      <c r="J172" s="10" t="s">
        <v>44</v>
      </c>
      <c r="K172" s="8" t="e">
        <f t="shared" si="16"/>
        <v>#N/A</v>
      </c>
      <c r="L172" s="8">
        <v>5</v>
      </c>
      <c r="M172" s="8">
        <f t="shared" si="15"/>
        <v>15</v>
      </c>
      <c r="N172" s="8" t="s">
        <v>43</v>
      </c>
      <c r="O172" s="8">
        <f t="shared" si="17"/>
        <v>16</v>
      </c>
      <c r="P172" s="8" t="s">
        <v>34</v>
      </c>
      <c r="Q172" s="17" t="s">
        <v>29</v>
      </c>
      <c r="R172" s="8">
        <f>VLOOKUP(Master19[[#This Row],[Elevated Priority]],Epriority,2,)</f>
        <v>0</v>
      </c>
      <c r="S172" s="8" t="e">
        <f>IF(Master19[[#This Row],[Status]]="Active",Master19[[#This Row],[Status_Score]],IF(C172="","",K172+G172+M172+O172+R172-5))</f>
        <v>#N/A</v>
      </c>
    </row>
    <row r="173" spans="1:20" ht="30" x14ac:dyDescent="0.25">
      <c r="A173" s="1">
        <v>172</v>
      </c>
      <c r="B173" s="10" t="s">
        <v>87</v>
      </c>
      <c r="C173" s="10" t="s">
        <v>484</v>
      </c>
      <c r="D173" s="10" t="s">
        <v>485</v>
      </c>
      <c r="E173" s="10"/>
      <c r="F173" s="10" t="s">
        <v>29</v>
      </c>
      <c r="G173" s="10">
        <f t="shared" si="14"/>
        <v>0</v>
      </c>
      <c r="H173" s="11"/>
      <c r="I173" s="8">
        <v>2018</v>
      </c>
      <c r="J173" s="10" t="s">
        <v>44</v>
      </c>
      <c r="K173" s="8" t="e">
        <f t="shared" si="16"/>
        <v>#N/A</v>
      </c>
      <c r="L173" s="8">
        <v>5</v>
      </c>
      <c r="M173" s="8">
        <f t="shared" si="15"/>
        <v>15</v>
      </c>
      <c r="N173" s="8" t="s">
        <v>43</v>
      </c>
      <c r="O173" s="8">
        <f t="shared" si="17"/>
        <v>16</v>
      </c>
      <c r="P173" s="8" t="s">
        <v>30</v>
      </c>
      <c r="Q173" s="17" t="s">
        <v>29</v>
      </c>
      <c r="R173" s="8">
        <f>VLOOKUP(Master19[[#This Row],[Elevated Priority]],Epriority,2,)</f>
        <v>0</v>
      </c>
      <c r="S173" s="8" t="e">
        <f>IF(Master19[[#This Row],[Status]]="Active",Master19[[#This Row],[Status_Score]],IF(C173="","",K173+G173+M173+O173+R173-5))</f>
        <v>#N/A</v>
      </c>
    </row>
    <row r="174" spans="1:20" ht="45" hidden="1" x14ac:dyDescent="0.25">
      <c r="A174" s="1">
        <v>173</v>
      </c>
      <c r="B174" s="10" t="s">
        <v>70</v>
      </c>
      <c r="C174" s="10" t="s">
        <v>402</v>
      </c>
      <c r="D174" s="10" t="s">
        <v>403</v>
      </c>
      <c r="E174" s="10" t="s">
        <v>404</v>
      </c>
      <c r="F174" s="10" t="s">
        <v>29</v>
      </c>
      <c r="G174" s="10">
        <f t="shared" si="14"/>
        <v>0</v>
      </c>
      <c r="H174" s="11">
        <v>150000</v>
      </c>
      <c r="I174" s="8">
        <v>2018</v>
      </c>
      <c r="J174" s="10" t="s">
        <v>44</v>
      </c>
      <c r="K174" s="8" t="e">
        <f t="shared" si="16"/>
        <v>#N/A</v>
      </c>
      <c r="L174" s="8">
        <v>5</v>
      </c>
      <c r="M174" s="8">
        <f t="shared" si="15"/>
        <v>15</v>
      </c>
      <c r="N174" s="8" t="s">
        <v>43</v>
      </c>
      <c r="O174" s="8">
        <f t="shared" si="17"/>
        <v>16</v>
      </c>
      <c r="P174" s="8" t="s">
        <v>34</v>
      </c>
      <c r="Q174" s="17" t="s">
        <v>29</v>
      </c>
      <c r="R174" s="8">
        <f>VLOOKUP(Master19[[#This Row],[Elevated Priority]],Epriority,2,)</f>
        <v>0</v>
      </c>
      <c r="S174" s="8" t="e">
        <f>IF(Master19[[#This Row],[Status]]="Active",Master19[[#This Row],[Status_Score]],IF(C174="","",K174+G174+M174+O174+R174-5))</f>
        <v>#N/A</v>
      </c>
    </row>
    <row r="175" spans="1:20" ht="30" hidden="1" x14ac:dyDescent="0.25">
      <c r="A175" s="1">
        <v>174</v>
      </c>
      <c r="B175" s="10" t="s">
        <v>70</v>
      </c>
      <c r="C175" s="10" t="s">
        <v>408</v>
      </c>
      <c r="D175" s="10" t="s">
        <v>409</v>
      </c>
      <c r="E175" s="10" t="s">
        <v>410</v>
      </c>
      <c r="F175" s="10" t="s">
        <v>29</v>
      </c>
      <c r="G175" s="10">
        <f t="shared" si="14"/>
        <v>0</v>
      </c>
      <c r="H175" s="11">
        <v>750000</v>
      </c>
      <c r="I175" s="8">
        <v>2018</v>
      </c>
      <c r="J175" s="10" t="s">
        <v>44</v>
      </c>
      <c r="K175" s="8" t="e">
        <f t="shared" si="16"/>
        <v>#N/A</v>
      </c>
      <c r="L175" s="8">
        <v>5</v>
      </c>
      <c r="M175" s="8">
        <f t="shared" si="15"/>
        <v>15</v>
      </c>
      <c r="N175" s="8" t="s">
        <v>43</v>
      </c>
      <c r="O175" s="8">
        <f t="shared" si="17"/>
        <v>16</v>
      </c>
      <c r="P175" s="8" t="s">
        <v>34</v>
      </c>
      <c r="Q175" s="17" t="s">
        <v>29</v>
      </c>
      <c r="R175" s="8">
        <f>VLOOKUP(Master19[[#This Row],[Elevated Priority]],Epriority,2,)</f>
        <v>0</v>
      </c>
      <c r="S175" s="8" t="e">
        <f>IF(Master19[[#This Row],[Status]]="Active",Master19[[#This Row],[Status_Score]],IF(C175="","",K175+G175+M175+O175+R175-5))</f>
        <v>#N/A</v>
      </c>
    </row>
    <row r="176" spans="1:20" ht="30" hidden="1" x14ac:dyDescent="0.25">
      <c r="A176" s="1">
        <v>175</v>
      </c>
      <c r="B176" s="10" t="s">
        <v>94</v>
      </c>
      <c r="C176" s="10" t="s">
        <v>581</v>
      </c>
      <c r="D176" s="10" t="s">
        <v>582</v>
      </c>
      <c r="E176" s="10"/>
      <c r="F176" s="10" t="s">
        <v>29</v>
      </c>
      <c r="G176" s="10">
        <f t="shared" si="14"/>
        <v>0</v>
      </c>
      <c r="H176" s="11">
        <v>650000</v>
      </c>
      <c r="I176" s="17">
        <v>2019</v>
      </c>
      <c r="J176" s="10" t="s">
        <v>42</v>
      </c>
      <c r="K176" s="8" t="e">
        <f t="shared" si="16"/>
        <v>#N/A</v>
      </c>
      <c r="L176" s="8">
        <v>19</v>
      </c>
      <c r="M176" s="8">
        <f t="shared" si="15"/>
        <v>26</v>
      </c>
      <c r="N176" s="8" t="s">
        <v>43</v>
      </c>
      <c r="O176" s="8">
        <f t="shared" si="17"/>
        <v>16</v>
      </c>
      <c r="P176" s="8" t="s">
        <v>30</v>
      </c>
      <c r="Q176" s="17" t="s">
        <v>29</v>
      </c>
      <c r="R176" s="8">
        <f>VLOOKUP(Master19[[#This Row],[Elevated Priority]],Epriority,2,)</f>
        <v>0</v>
      </c>
      <c r="S176" s="8" t="e">
        <f>IF(Master19[[#This Row],[Status]]="Active",Master19[[#This Row],[Status_Score]],IF(C176="","",K176+G176+M176+O176+R176-5))</f>
        <v>#N/A</v>
      </c>
      <c r="T176" s="65"/>
    </row>
    <row r="177" spans="1:20" ht="45" hidden="1" x14ac:dyDescent="0.25">
      <c r="A177" s="1">
        <v>176</v>
      </c>
      <c r="B177" s="10" t="s">
        <v>91</v>
      </c>
      <c r="C177" s="10" t="s">
        <v>492</v>
      </c>
      <c r="D177" s="10" t="s">
        <v>493</v>
      </c>
      <c r="E177" s="10" t="s">
        <v>494</v>
      </c>
      <c r="F177" s="10" t="s">
        <v>29</v>
      </c>
      <c r="G177" s="10">
        <f t="shared" si="14"/>
        <v>0</v>
      </c>
      <c r="H177" s="11">
        <v>75000</v>
      </c>
      <c r="I177" s="8">
        <v>2018</v>
      </c>
      <c r="J177" s="10" t="s">
        <v>40</v>
      </c>
      <c r="K177" s="8" t="e">
        <f t="shared" si="16"/>
        <v>#N/A</v>
      </c>
      <c r="L177" s="8">
        <v>10</v>
      </c>
      <c r="M177" s="8">
        <f t="shared" si="15"/>
        <v>21</v>
      </c>
      <c r="N177" s="8" t="s">
        <v>45</v>
      </c>
      <c r="O177" s="8">
        <f t="shared" si="17"/>
        <v>32</v>
      </c>
      <c r="P177" s="8" t="s">
        <v>30</v>
      </c>
      <c r="Q177" s="17" t="s">
        <v>29</v>
      </c>
      <c r="R177" s="8">
        <f>VLOOKUP(Master19[[#This Row],[Elevated Priority]],Epriority,2,)</f>
        <v>0</v>
      </c>
      <c r="S177" s="8" t="e">
        <f>IF(Master19[[#This Row],[Status]]="Active",Master19[[#This Row],[Status_Score]],IF(C177="","",K177+G177+M177+O177+R177-5))</f>
        <v>#N/A</v>
      </c>
    </row>
    <row r="178" spans="1:20" ht="90" hidden="1" x14ac:dyDescent="0.25">
      <c r="A178" s="1">
        <v>177</v>
      </c>
      <c r="B178" s="10" t="s">
        <v>71</v>
      </c>
      <c r="C178" s="10" t="s">
        <v>495</v>
      </c>
      <c r="D178" s="10" t="s">
        <v>496</v>
      </c>
      <c r="E178" s="10" t="s">
        <v>497</v>
      </c>
      <c r="F178" s="10" t="s">
        <v>29</v>
      </c>
      <c r="G178" s="10">
        <f t="shared" si="14"/>
        <v>0</v>
      </c>
      <c r="H178" s="11">
        <v>2200000</v>
      </c>
      <c r="I178" s="8">
        <v>2018</v>
      </c>
      <c r="J178" s="10" t="s">
        <v>46</v>
      </c>
      <c r="K178" s="8">
        <f t="shared" si="16"/>
        <v>50</v>
      </c>
      <c r="L178" s="8">
        <v>2</v>
      </c>
      <c r="M178" s="8">
        <f t="shared" si="15"/>
        <v>6</v>
      </c>
      <c r="N178" s="8" t="s">
        <v>41</v>
      </c>
      <c r="O178" s="8">
        <f t="shared" si="17"/>
        <v>4</v>
      </c>
      <c r="P178" s="8" t="s">
        <v>34</v>
      </c>
      <c r="Q178" s="17" t="s">
        <v>29</v>
      </c>
      <c r="R178" s="8">
        <f>VLOOKUP(Master19[[#This Row],[Elevated Priority]],Epriority,2,)</f>
        <v>0</v>
      </c>
      <c r="S178" s="8">
        <f>IF(Master19[[#This Row],[Status]]="Active",Master19[[#This Row],[Status_Score]],IF(C178="","",K178+G178+M178+O178+R178-5))</f>
        <v>55</v>
      </c>
    </row>
    <row r="179" spans="1:20" ht="60" x14ac:dyDescent="0.25">
      <c r="A179" s="1">
        <v>178</v>
      </c>
      <c r="B179" s="10" t="s">
        <v>87</v>
      </c>
      <c r="C179" s="10" t="s">
        <v>500</v>
      </c>
      <c r="D179" s="10" t="s">
        <v>501</v>
      </c>
      <c r="E179" s="10" t="s">
        <v>502</v>
      </c>
      <c r="F179" s="10" t="s">
        <v>29</v>
      </c>
      <c r="G179" s="10">
        <f t="shared" si="14"/>
        <v>0</v>
      </c>
      <c r="H179" s="11">
        <v>15000</v>
      </c>
      <c r="I179" s="8">
        <v>2018</v>
      </c>
      <c r="J179" s="10" t="s">
        <v>44</v>
      </c>
      <c r="K179" s="8" t="e">
        <f t="shared" si="16"/>
        <v>#N/A</v>
      </c>
      <c r="L179" s="8">
        <v>6</v>
      </c>
      <c r="M179" s="8">
        <f t="shared" si="15"/>
        <v>18</v>
      </c>
      <c r="N179" s="8" t="s">
        <v>43</v>
      </c>
      <c r="O179" s="8">
        <f t="shared" si="17"/>
        <v>16</v>
      </c>
      <c r="P179" s="8" t="s">
        <v>34</v>
      </c>
      <c r="Q179" s="17" t="s">
        <v>29</v>
      </c>
      <c r="R179" s="8">
        <f>VLOOKUP(Master19[[#This Row],[Elevated Priority]],Epriority,2,)</f>
        <v>0</v>
      </c>
      <c r="S179" s="8" t="e">
        <f>IF(Master19[[#This Row],[Status]]="Active",Master19[[#This Row],[Status_Score]],IF(C179="","",K179+G179+M179+O179+R179-5))</f>
        <v>#N/A</v>
      </c>
    </row>
    <row r="180" spans="1:20" ht="30" hidden="1" x14ac:dyDescent="0.25">
      <c r="A180" s="1">
        <v>179</v>
      </c>
      <c r="B180" s="10" t="s">
        <v>94</v>
      </c>
      <c r="C180" s="10" t="s">
        <v>411</v>
      </c>
      <c r="D180" s="10" t="s">
        <v>412</v>
      </c>
      <c r="E180" s="10" t="s">
        <v>413</v>
      </c>
      <c r="F180" s="10" t="s">
        <v>29</v>
      </c>
      <c r="G180" s="10">
        <f t="shared" si="14"/>
        <v>0</v>
      </c>
      <c r="H180" s="11">
        <v>150000</v>
      </c>
      <c r="I180" s="8">
        <v>2018</v>
      </c>
      <c r="J180" s="10" t="s">
        <v>44</v>
      </c>
      <c r="K180" s="8" t="e">
        <f t="shared" si="16"/>
        <v>#N/A</v>
      </c>
      <c r="L180" s="8">
        <v>21</v>
      </c>
      <c r="M180" s="8">
        <f t="shared" si="15"/>
        <v>27</v>
      </c>
      <c r="N180" s="8" t="s">
        <v>41</v>
      </c>
      <c r="O180" s="8">
        <f t="shared" si="17"/>
        <v>4</v>
      </c>
      <c r="P180" s="8" t="s">
        <v>30</v>
      </c>
      <c r="Q180" s="17" t="s">
        <v>29</v>
      </c>
      <c r="R180" s="8">
        <f>VLOOKUP(Master19[[#This Row],[Elevated Priority]],Epriority,2,)</f>
        <v>0</v>
      </c>
      <c r="S180" s="8" t="e">
        <f>IF(Master19[[#This Row],[Status]]="Active",Master19[[#This Row],[Status_Score]],IF(C180="","",K180+G180+M180+O180+R180-5))</f>
        <v>#N/A</v>
      </c>
    </row>
    <row r="181" spans="1:20" hidden="1" x14ac:dyDescent="0.25">
      <c r="A181" s="1">
        <v>180</v>
      </c>
      <c r="B181" s="10" t="s">
        <v>65</v>
      </c>
      <c r="C181" s="10" t="s">
        <v>509</v>
      </c>
      <c r="E181" s="10"/>
      <c r="F181" s="10" t="s">
        <v>29</v>
      </c>
      <c r="G181" s="10">
        <f t="shared" si="14"/>
        <v>0</v>
      </c>
      <c r="H181" s="11">
        <v>3500000</v>
      </c>
      <c r="I181" s="8">
        <v>2018</v>
      </c>
      <c r="J181" s="10" t="s">
        <v>44</v>
      </c>
      <c r="K181" s="8" t="e">
        <f t="shared" si="16"/>
        <v>#N/A</v>
      </c>
      <c r="L181" s="8">
        <v>7</v>
      </c>
      <c r="M181" s="8">
        <f t="shared" si="15"/>
        <v>20</v>
      </c>
      <c r="N181" s="8" t="s">
        <v>43</v>
      </c>
      <c r="O181" s="8">
        <f t="shared" si="17"/>
        <v>16</v>
      </c>
      <c r="P181" s="8" t="s">
        <v>34</v>
      </c>
      <c r="Q181" s="17" t="s">
        <v>29</v>
      </c>
      <c r="R181" s="8">
        <f>VLOOKUP(Master19[[#This Row],[Elevated Priority]],Epriority,2,)</f>
        <v>0</v>
      </c>
      <c r="S181" s="8" t="e">
        <f>IF(Master19[[#This Row],[Status]]="Active",Master19[[#This Row],[Status_Score]],IF(C181="","",K181+G181+M181+O181+R181-5))</f>
        <v>#N/A</v>
      </c>
    </row>
    <row r="182" spans="1:20" ht="30" hidden="1" x14ac:dyDescent="0.25">
      <c r="A182" s="1">
        <v>181</v>
      </c>
      <c r="B182" s="10" t="s">
        <v>79</v>
      </c>
      <c r="C182" s="10" t="s">
        <v>510</v>
      </c>
      <c r="D182" s="10" t="s">
        <v>511</v>
      </c>
      <c r="E182" s="10" t="s">
        <v>512</v>
      </c>
      <c r="F182" s="10" t="s">
        <v>29</v>
      </c>
      <c r="G182" s="10">
        <f t="shared" si="14"/>
        <v>0</v>
      </c>
      <c r="H182" s="11">
        <v>15000</v>
      </c>
      <c r="I182" s="8">
        <v>2018</v>
      </c>
      <c r="J182" s="10" t="s">
        <v>40</v>
      </c>
      <c r="K182" s="8" t="e">
        <f t="shared" ref="K182:K213" si="18">VLOOKUP(J182,Importance,2,FALSE)</f>
        <v>#N/A</v>
      </c>
      <c r="L182" s="8">
        <v>16</v>
      </c>
      <c r="M182" s="8">
        <f t="shared" si="15"/>
        <v>24</v>
      </c>
      <c r="N182" s="8" t="s">
        <v>45</v>
      </c>
      <c r="O182" s="8">
        <f t="shared" si="17"/>
        <v>32</v>
      </c>
      <c r="P182" s="8" t="s">
        <v>30</v>
      </c>
      <c r="Q182" s="17" t="s">
        <v>29</v>
      </c>
      <c r="R182" s="8">
        <f>VLOOKUP(Master19[[#This Row],[Elevated Priority]],Epriority,2,)</f>
        <v>0</v>
      </c>
      <c r="S182" s="8" t="e">
        <f>IF(Master19[[#This Row],[Status]]="Active",Master19[[#This Row],[Status_Score]],IF(C182="","",K182+G182+M182+O182+R182-5))</f>
        <v>#N/A</v>
      </c>
    </row>
    <row r="183" spans="1:20" ht="90" hidden="1" x14ac:dyDescent="0.25">
      <c r="A183" s="1">
        <v>182</v>
      </c>
      <c r="B183" s="10" t="s">
        <v>71</v>
      </c>
      <c r="C183" s="10" t="s">
        <v>516</v>
      </c>
      <c r="D183" s="10" t="s">
        <v>517</v>
      </c>
      <c r="E183" s="10" t="s">
        <v>518</v>
      </c>
      <c r="F183" s="10" t="s">
        <v>29</v>
      </c>
      <c r="G183" s="10">
        <f t="shared" si="14"/>
        <v>0</v>
      </c>
      <c r="H183" s="11">
        <v>1500000</v>
      </c>
      <c r="I183" s="8">
        <v>2018</v>
      </c>
      <c r="J183" s="10" t="s">
        <v>46</v>
      </c>
      <c r="K183" s="8">
        <f t="shared" si="18"/>
        <v>50</v>
      </c>
      <c r="L183" s="8">
        <v>3</v>
      </c>
      <c r="M183" s="8">
        <f t="shared" si="15"/>
        <v>9</v>
      </c>
      <c r="N183" s="8" t="s">
        <v>41</v>
      </c>
      <c r="O183" s="8">
        <f t="shared" si="17"/>
        <v>4</v>
      </c>
      <c r="P183" s="8" t="s">
        <v>34</v>
      </c>
      <c r="Q183" s="17" t="s">
        <v>29</v>
      </c>
      <c r="R183" s="8">
        <f>VLOOKUP(Master19[[#This Row],[Elevated Priority]],Epriority,2,)</f>
        <v>0</v>
      </c>
      <c r="S183" s="8">
        <f>IF(Master19[[#This Row],[Status]]="Active",Master19[[#This Row],[Status_Score]],IF(C183="","",K183+G183+M183+O183+R183-5))</f>
        <v>58</v>
      </c>
    </row>
    <row r="184" spans="1:20" ht="105" hidden="1" x14ac:dyDescent="0.25">
      <c r="A184" s="1">
        <v>183</v>
      </c>
      <c r="B184" s="10" t="s">
        <v>61</v>
      </c>
      <c r="C184" s="10" t="s">
        <v>519</v>
      </c>
      <c r="D184" s="10" t="s">
        <v>520</v>
      </c>
      <c r="E184" s="10" t="s">
        <v>521</v>
      </c>
      <c r="F184" s="10" t="s">
        <v>29</v>
      </c>
      <c r="G184" s="10">
        <f t="shared" si="14"/>
        <v>0</v>
      </c>
      <c r="H184" s="11">
        <v>22000000</v>
      </c>
      <c r="I184" s="8">
        <v>2018</v>
      </c>
      <c r="J184" s="10" t="s">
        <v>46</v>
      </c>
      <c r="K184" s="8">
        <f t="shared" si="18"/>
        <v>50</v>
      </c>
      <c r="L184" s="8">
        <v>3</v>
      </c>
      <c r="M184" s="8">
        <f t="shared" si="15"/>
        <v>9</v>
      </c>
      <c r="N184" s="8" t="s">
        <v>41</v>
      </c>
      <c r="O184" s="8">
        <f t="shared" si="17"/>
        <v>4</v>
      </c>
      <c r="P184" s="8" t="s">
        <v>34</v>
      </c>
      <c r="Q184" s="17" t="s">
        <v>29</v>
      </c>
      <c r="R184" s="8">
        <f>VLOOKUP(Master19[[#This Row],[Elevated Priority]],Epriority,2,)</f>
        <v>0</v>
      </c>
      <c r="S184" s="8">
        <f>IF(Master19[[#This Row],[Status]]="Active",Master19[[#This Row],[Status_Score]],IF(C184="","",K184+G184+M184+O184+R184-5))</f>
        <v>58</v>
      </c>
    </row>
    <row r="185" spans="1:20" ht="45" hidden="1" x14ac:dyDescent="0.25">
      <c r="A185" s="1">
        <v>184</v>
      </c>
      <c r="B185" s="10" t="s">
        <v>79</v>
      </c>
      <c r="C185" s="10" t="s">
        <v>513</v>
      </c>
      <c r="D185" s="10" t="s">
        <v>514</v>
      </c>
      <c r="E185" s="10" t="s">
        <v>515</v>
      </c>
      <c r="F185" s="10" t="s">
        <v>29</v>
      </c>
      <c r="G185" s="10">
        <f t="shared" si="14"/>
        <v>0</v>
      </c>
      <c r="H185" s="11">
        <v>50000</v>
      </c>
      <c r="I185" s="8">
        <v>2018</v>
      </c>
      <c r="J185" s="10" t="s">
        <v>44</v>
      </c>
      <c r="K185" s="8" t="e">
        <f t="shared" si="18"/>
        <v>#N/A</v>
      </c>
      <c r="L185" s="8">
        <v>10</v>
      </c>
      <c r="M185" s="8">
        <f t="shared" si="15"/>
        <v>21</v>
      </c>
      <c r="N185" s="8" t="s">
        <v>43</v>
      </c>
      <c r="O185" s="8">
        <f t="shared" si="17"/>
        <v>16</v>
      </c>
      <c r="P185" s="8" t="s">
        <v>34</v>
      </c>
      <c r="Q185" s="17" t="s">
        <v>29</v>
      </c>
      <c r="R185" s="8">
        <f>VLOOKUP(Master19[[#This Row],[Elevated Priority]],Epriority,2,)</f>
        <v>0</v>
      </c>
      <c r="S185" s="8" t="e">
        <f>IF(Master19[[#This Row],[Status]]="Active",Master19[[#This Row],[Status_Score]],IF(C185="","",K185+G185+M185+O185+R185-5))</f>
        <v>#N/A</v>
      </c>
    </row>
    <row r="186" spans="1:20" ht="45" hidden="1" x14ac:dyDescent="0.25">
      <c r="A186" s="1">
        <v>185</v>
      </c>
      <c r="B186" s="10" t="s">
        <v>79</v>
      </c>
      <c r="C186" s="10" t="s">
        <v>525</v>
      </c>
      <c r="D186" s="10" t="s">
        <v>526</v>
      </c>
      <c r="E186" s="10" t="s">
        <v>527</v>
      </c>
      <c r="F186" s="10" t="s">
        <v>29</v>
      </c>
      <c r="G186" s="10">
        <f t="shared" si="14"/>
        <v>0</v>
      </c>
      <c r="H186" s="11">
        <v>35000</v>
      </c>
      <c r="I186" s="8">
        <v>2018</v>
      </c>
      <c r="J186" s="10" t="s">
        <v>44</v>
      </c>
      <c r="K186" s="8" t="e">
        <f t="shared" si="18"/>
        <v>#N/A</v>
      </c>
      <c r="L186" s="8">
        <v>11</v>
      </c>
      <c r="M186" s="8">
        <f t="shared" si="15"/>
        <v>22</v>
      </c>
      <c r="N186" s="8" t="s">
        <v>43</v>
      </c>
      <c r="O186" s="8">
        <f t="shared" si="17"/>
        <v>16</v>
      </c>
      <c r="P186" s="8" t="s">
        <v>34</v>
      </c>
      <c r="Q186" s="17" t="s">
        <v>29</v>
      </c>
      <c r="R186" s="8">
        <f>VLOOKUP(Master19[[#This Row],[Elevated Priority]],Epriority,2,)</f>
        <v>0</v>
      </c>
      <c r="S186" s="8" t="e">
        <f>IF(Master19[[#This Row],[Status]]="Active",Master19[[#This Row],[Status_Score]],IF(C186="","",K186+G186+M186+O186+R186-5))</f>
        <v>#N/A</v>
      </c>
    </row>
    <row r="187" spans="1:20" ht="75" hidden="1" x14ac:dyDescent="0.25">
      <c r="A187" s="1">
        <v>186</v>
      </c>
      <c r="B187" s="10" t="s">
        <v>61</v>
      </c>
      <c r="C187" s="10" t="s">
        <v>528</v>
      </c>
      <c r="D187" s="10" t="s">
        <v>529</v>
      </c>
      <c r="E187" s="10" t="s">
        <v>530</v>
      </c>
      <c r="F187" s="10" t="s">
        <v>29</v>
      </c>
      <c r="G187" s="10">
        <f t="shared" si="14"/>
        <v>0</v>
      </c>
      <c r="H187" s="11">
        <v>4500000</v>
      </c>
      <c r="I187" s="8">
        <v>2018</v>
      </c>
      <c r="J187" s="10" t="s">
        <v>46</v>
      </c>
      <c r="K187" s="8">
        <f t="shared" si="18"/>
        <v>50</v>
      </c>
      <c r="L187" s="8">
        <v>4</v>
      </c>
      <c r="M187" s="8">
        <f t="shared" si="15"/>
        <v>12</v>
      </c>
      <c r="N187" s="8" t="s">
        <v>41</v>
      </c>
      <c r="O187" s="8">
        <f t="shared" si="17"/>
        <v>4</v>
      </c>
      <c r="P187" s="8" t="s">
        <v>34</v>
      </c>
      <c r="Q187" s="17" t="s">
        <v>29</v>
      </c>
      <c r="R187" s="8">
        <f>VLOOKUP(Master19[[#This Row],[Elevated Priority]],Epriority,2,)</f>
        <v>0</v>
      </c>
      <c r="S187" s="8">
        <f>IF(Master19[[#This Row],[Status]]="Active",Master19[[#This Row],[Status_Score]],IF(C187="","",K187+G187+M187+O187+R187-5))</f>
        <v>61</v>
      </c>
    </row>
    <row r="188" spans="1:20" ht="30" hidden="1" x14ac:dyDescent="0.25">
      <c r="A188" s="1">
        <v>187</v>
      </c>
      <c r="B188" s="10" t="s">
        <v>94</v>
      </c>
      <c r="C188" s="10" t="s">
        <v>586</v>
      </c>
      <c r="D188" s="10" t="s">
        <v>587</v>
      </c>
      <c r="E188" s="10"/>
      <c r="F188" s="10" t="s">
        <v>29</v>
      </c>
      <c r="G188" s="10">
        <f t="shared" si="14"/>
        <v>0</v>
      </c>
      <c r="H188" s="11">
        <v>50000</v>
      </c>
      <c r="I188" s="17">
        <v>2019</v>
      </c>
      <c r="J188" s="10" t="s">
        <v>44</v>
      </c>
      <c r="K188" s="8" t="e">
        <f t="shared" si="18"/>
        <v>#N/A</v>
      </c>
      <c r="L188" s="8">
        <v>15</v>
      </c>
      <c r="M188" s="8">
        <f t="shared" si="15"/>
        <v>24</v>
      </c>
      <c r="N188" s="8" t="s">
        <v>43</v>
      </c>
      <c r="O188" s="8">
        <f t="shared" si="17"/>
        <v>16</v>
      </c>
      <c r="P188" s="8" t="s">
        <v>30</v>
      </c>
      <c r="Q188" s="17" t="s">
        <v>29</v>
      </c>
      <c r="R188" s="8">
        <f>VLOOKUP(Master19[[#This Row],[Elevated Priority]],Epriority,2,)</f>
        <v>0</v>
      </c>
      <c r="S188" s="8" t="e">
        <f>IF(Master19[[#This Row],[Status]]="Active",Master19[[#This Row],[Status_Score]],IF(C188="","",K188+G188+M188+O188+R188-5))</f>
        <v>#N/A</v>
      </c>
      <c r="T188" s="65"/>
    </row>
    <row r="189" spans="1:20" ht="30" hidden="1" x14ac:dyDescent="0.25">
      <c r="A189" s="1">
        <v>188</v>
      </c>
      <c r="B189" s="10" t="s">
        <v>94</v>
      </c>
      <c r="C189" s="10" t="s">
        <v>592</v>
      </c>
      <c r="D189" s="10" t="s">
        <v>593</v>
      </c>
      <c r="E189" s="10"/>
      <c r="F189" s="10" t="s">
        <v>29</v>
      </c>
      <c r="G189" s="10">
        <f t="shared" si="14"/>
        <v>0</v>
      </c>
      <c r="H189" s="11">
        <v>350000</v>
      </c>
      <c r="I189" s="17">
        <v>2019</v>
      </c>
      <c r="J189" s="10" t="s">
        <v>44</v>
      </c>
      <c r="K189" s="8" t="e">
        <f t="shared" si="18"/>
        <v>#N/A</v>
      </c>
      <c r="L189" s="8">
        <v>16</v>
      </c>
      <c r="M189" s="8">
        <f t="shared" si="15"/>
        <v>24</v>
      </c>
      <c r="N189" s="8" t="s">
        <v>43</v>
      </c>
      <c r="O189" s="8">
        <f t="shared" si="17"/>
        <v>16</v>
      </c>
      <c r="P189" s="8" t="s">
        <v>34</v>
      </c>
      <c r="Q189" s="17" t="s">
        <v>29</v>
      </c>
      <c r="R189" s="8">
        <f>VLOOKUP(Master19[[#This Row],[Elevated Priority]],Epriority,2,)</f>
        <v>0</v>
      </c>
      <c r="S189" s="8" t="e">
        <f>IF(Master19[[#This Row],[Status]]="Active",Master19[[#This Row],[Status_Score]],IF(C189="","",K189+G189+M189+O189+R189-5))</f>
        <v>#N/A</v>
      </c>
      <c r="T189" s="65"/>
    </row>
    <row r="190" spans="1:20" ht="60" hidden="1" x14ac:dyDescent="0.25">
      <c r="A190" s="1">
        <v>189</v>
      </c>
      <c r="B190" s="10" t="s">
        <v>94</v>
      </c>
      <c r="C190" s="10" t="s">
        <v>590</v>
      </c>
      <c r="D190" s="10" t="s">
        <v>591</v>
      </c>
      <c r="E190" s="10"/>
      <c r="F190" s="10" t="s">
        <v>29</v>
      </c>
      <c r="G190" s="10">
        <f t="shared" si="14"/>
        <v>0</v>
      </c>
      <c r="H190" s="11"/>
      <c r="I190" s="17">
        <v>2019</v>
      </c>
      <c r="J190" s="10" t="s">
        <v>44</v>
      </c>
      <c r="K190" s="8" t="e">
        <f t="shared" si="18"/>
        <v>#N/A</v>
      </c>
      <c r="L190" s="8">
        <v>17</v>
      </c>
      <c r="M190" s="8">
        <f t="shared" si="15"/>
        <v>25</v>
      </c>
      <c r="N190" s="8" t="s">
        <v>43</v>
      </c>
      <c r="O190" s="8">
        <f t="shared" ref="O190:O221" si="19">VLOOKUP(N190,Urgency,2,FALSE)</f>
        <v>16</v>
      </c>
      <c r="P190" s="8" t="s">
        <v>34</v>
      </c>
      <c r="Q190" s="17" t="s">
        <v>29</v>
      </c>
      <c r="R190" s="8">
        <f>VLOOKUP(Master19[[#This Row],[Elevated Priority]],Epriority,2,)</f>
        <v>0</v>
      </c>
      <c r="S190" s="8" t="e">
        <f>IF(Master19[[#This Row],[Status]]="Active",Master19[[#This Row],[Status_Score]],IF(C190="","",K190+G190+M190+O190+R190-5))</f>
        <v>#N/A</v>
      </c>
      <c r="T190" s="65"/>
    </row>
    <row r="191" spans="1:20" ht="75" hidden="1" x14ac:dyDescent="0.25">
      <c r="A191" s="1">
        <v>190</v>
      </c>
      <c r="B191" s="10" t="s">
        <v>67</v>
      </c>
      <c r="C191" s="10" t="s">
        <v>531</v>
      </c>
      <c r="D191" s="10" t="s">
        <v>532</v>
      </c>
      <c r="E191" s="10" t="s">
        <v>533</v>
      </c>
      <c r="F191" s="10" t="s">
        <v>29</v>
      </c>
      <c r="G191" s="10">
        <f t="shared" si="14"/>
        <v>0</v>
      </c>
      <c r="H191" s="11">
        <v>2000000</v>
      </c>
      <c r="I191" s="8">
        <v>2018</v>
      </c>
      <c r="J191" s="10" t="s">
        <v>46</v>
      </c>
      <c r="K191" s="8">
        <f t="shared" si="18"/>
        <v>50</v>
      </c>
      <c r="L191" s="8">
        <v>2</v>
      </c>
      <c r="M191" s="8">
        <f t="shared" si="15"/>
        <v>6</v>
      </c>
      <c r="N191" s="8" t="s">
        <v>43</v>
      </c>
      <c r="O191" s="8">
        <f t="shared" si="19"/>
        <v>16</v>
      </c>
      <c r="P191" s="8" t="s">
        <v>34</v>
      </c>
      <c r="Q191" s="17" t="s">
        <v>29</v>
      </c>
      <c r="R191" s="8">
        <f>VLOOKUP(Master19[[#This Row],[Elevated Priority]],Epriority,2,)</f>
        <v>0</v>
      </c>
      <c r="S191" s="8">
        <f>IF(Master19[[#This Row],[Status]]="Active",Master19[[#This Row],[Status_Score]],IF(C191="","",K191+G191+M191+O191+R191-5))</f>
        <v>67</v>
      </c>
    </row>
    <row r="192" spans="1:20" ht="30" hidden="1" x14ac:dyDescent="0.25">
      <c r="A192" s="1">
        <v>191</v>
      </c>
      <c r="B192" s="10" t="s">
        <v>91</v>
      </c>
      <c r="C192" s="10" t="s">
        <v>534</v>
      </c>
      <c r="E192" s="10"/>
      <c r="F192" s="10" t="s">
        <v>29</v>
      </c>
      <c r="G192" s="10">
        <f t="shared" si="14"/>
        <v>0</v>
      </c>
      <c r="H192" s="11">
        <v>20000</v>
      </c>
      <c r="I192" s="8">
        <v>2018</v>
      </c>
      <c r="J192" s="10" t="s">
        <v>42</v>
      </c>
      <c r="K192" s="8" t="e">
        <f t="shared" si="18"/>
        <v>#N/A</v>
      </c>
      <c r="L192" s="8">
        <v>7</v>
      </c>
      <c r="M192" s="8">
        <f t="shared" si="15"/>
        <v>20</v>
      </c>
      <c r="N192" s="8" t="s">
        <v>45</v>
      </c>
      <c r="O192" s="8">
        <f t="shared" si="19"/>
        <v>32</v>
      </c>
      <c r="P192" s="8" t="s">
        <v>30</v>
      </c>
      <c r="Q192" s="17" t="s">
        <v>29</v>
      </c>
      <c r="R192" s="8">
        <f>VLOOKUP(Master19[[#This Row],[Elevated Priority]],Epriority,2,)</f>
        <v>0</v>
      </c>
      <c r="S192" s="8" t="e">
        <f>IF(Master19[[#This Row],[Status]]="Active",Master19[[#This Row],[Status_Score]],IF(C192="","",K192+G192+M192+O192+R192-5))</f>
        <v>#N/A</v>
      </c>
    </row>
    <row r="193" spans="1:21" ht="45" hidden="1" x14ac:dyDescent="0.25">
      <c r="A193" s="1">
        <v>192</v>
      </c>
      <c r="B193" s="10" t="s">
        <v>67</v>
      </c>
      <c r="C193" s="10" t="s">
        <v>621</v>
      </c>
      <c r="D193" s="10" t="s">
        <v>622</v>
      </c>
      <c r="E193" s="10" t="s">
        <v>623</v>
      </c>
      <c r="F193" s="10" t="s">
        <v>29</v>
      </c>
      <c r="G193" s="10">
        <f t="shared" si="14"/>
        <v>0</v>
      </c>
      <c r="H193" s="32">
        <v>400000</v>
      </c>
      <c r="I193" s="8">
        <v>2019</v>
      </c>
      <c r="J193" s="10" t="s">
        <v>46</v>
      </c>
      <c r="K193" s="8">
        <f t="shared" si="18"/>
        <v>50</v>
      </c>
      <c r="L193" s="8">
        <v>7</v>
      </c>
      <c r="M193" s="8">
        <f t="shared" si="15"/>
        <v>20</v>
      </c>
      <c r="N193" s="8" t="s">
        <v>41</v>
      </c>
      <c r="O193" s="8">
        <f t="shared" si="19"/>
        <v>4</v>
      </c>
      <c r="P193" s="8" t="s">
        <v>34</v>
      </c>
      <c r="Q193" s="8" t="s">
        <v>29</v>
      </c>
      <c r="R193" s="8">
        <f>VLOOKUP(Master19[[#This Row],[Elevated Priority]],Epriority,2,)</f>
        <v>0</v>
      </c>
      <c r="S193" s="8">
        <f>IF(Master19[[#This Row],[Status]]="Active",Master19[[#This Row],[Status_Score]],IF(C193="","",K193+G193+M193+O193+R193-5))</f>
        <v>69</v>
      </c>
      <c r="T193" s="65"/>
    </row>
    <row r="194" spans="1:21" ht="45" hidden="1" x14ac:dyDescent="0.25">
      <c r="A194" s="1">
        <v>193</v>
      </c>
      <c r="B194" s="10" t="s">
        <v>61</v>
      </c>
      <c r="C194" s="10" t="s">
        <v>541</v>
      </c>
      <c r="D194" s="10" t="s">
        <v>542</v>
      </c>
      <c r="E194" s="10" t="s">
        <v>543</v>
      </c>
      <c r="F194" s="10" t="s">
        <v>29</v>
      </c>
      <c r="G194" s="10">
        <f t="shared" ref="G194:G218" si="20">VLOOKUP(F194,Status_Score,2,FALSE)</f>
        <v>0</v>
      </c>
      <c r="H194" s="11">
        <v>10000000</v>
      </c>
      <c r="I194" s="8">
        <v>2018</v>
      </c>
      <c r="J194" s="10" t="s">
        <v>46</v>
      </c>
      <c r="K194" s="8">
        <f t="shared" si="18"/>
        <v>50</v>
      </c>
      <c r="L194" s="8">
        <v>4</v>
      </c>
      <c r="M194" s="8">
        <f t="shared" ref="M194:M221" si="21">VLOOKUP(L194,Department,2,FALSE)</f>
        <v>12</v>
      </c>
      <c r="N194" s="8" t="s">
        <v>43</v>
      </c>
      <c r="O194" s="8">
        <f t="shared" si="19"/>
        <v>16</v>
      </c>
      <c r="P194" s="8" t="s">
        <v>34</v>
      </c>
      <c r="Q194" s="17" t="s">
        <v>29</v>
      </c>
      <c r="R194" s="8">
        <f>VLOOKUP(Master19[[#This Row],[Elevated Priority]],Epriority,2,)</f>
        <v>0</v>
      </c>
      <c r="S194" s="8">
        <f>IF(Master19[[#This Row],[Status]]="Active",Master19[[#This Row],[Status_Score]],IF(C194="","",K194+G194+M194+O194+R194-5))</f>
        <v>73</v>
      </c>
    </row>
    <row r="195" spans="1:21" ht="60" hidden="1" x14ac:dyDescent="0.25">
      <c r="A195" s="1">
        <v>194</v>
      </c>
      <c r="B195" s="10" t="s">
        <v>70</v>
      </c>
      <c r="C195" s="10" t="s">
        <v>486</v>
      </c>
      <c r="D195" s="10" t="s">
        <v>487</v>
      </c>
      <c r="E195" s="10" t="s">
        <v>488</v>
      </c>
      <c r="F195" s="10" t="s">
        <v>29</v>
      </c>
      <c r="G195" s="10">
        <f t="shared" si="20"/>
        <v>0</v>
      </c>
      <c r="H195" s="11">
        <v>1000000</v>
      </c>
      <c r="I195" s="8">
        <v>2018</v>
      </c>
      <c r="J195" s="10" t="s">
        <v>44</v>
      </c>
      <c r="K195" s="8" t="e">
        <f t="shared" si="18"/>
        <v>#N/A</v>
      </c>
      <c r="L195" s="8">
        <v>6</v>
      </c>
      <c r="M195" s="8">
        <f t="shared" si="21"/>
        <v>18</v>
      </c>
      <c r="N195" s="8" t="s">
        <v>45</v>
      </c>
      <c r="O195" s="8">
        <f t="shared" si="19"/>
        <v>32</v>
      </c>
      <c r="P195" s="8" t="s">
        <v>34</v>
      </c>
      <c r="Q195" s="17" t="s">
        <v>29</v>
      </c>
      <c r="R195" s="8">
        <f>VLOOKUP(Master19[[#This Row],[Elevated Priority]],Epriority,2,)</f>
        <v>0</v>
      </c>
      <c r="S195" s="8" t="e">
        <f>IF(Master19[[#This Row],[Status]]="Active",Master19[[#This Row],[Status_Score]],IF(C195="","",K195+G195+M195+O195+R195-5))</f>
        <v>#N/A</v>
      </c>
    </row>
    <row r="196" spans="1:21" ht="45" hidden="1" x14ac:dyDescent="0.25">
      <c r="A196" s="1">
        <v>195</v>
      </c>
      <c r="B196" s="10" t="s">
        <v>65</v>
      </c>
      <c r="C196" s="10" t="s">
        <v>544</v>
      </c>
      <c r="D196" s="10" t="s">
        <v>545</v>
      </c>
      <c r="E196" s="10" t="s">
        <v>546</v>
      </c>
      <c r="F196" s="10" t="s">
        <v>29</v>
      </c>
      <c r="G196" s="10">
        <f t="shared" si="20"/>
        <v>0</v>
      </c>
      <c r="H196" s="11">
        <v>400000</v>
      </c>
      <c r="I196" s="8">
        <v>2018</v>
      </c>
      <c r="J196" s="10" t="s">
        <v>44</v>
      </c>
      <c r="K196" s="8" t="e">
        <f t="shared" si="18"/>
        <v>#N/A</v>
      </c>
      <c r="L196" s="8">
        <v>6</v>
      </c>
      <c r="M196" s="8">
        <f t="shared" si="21"/>
        <v>18</v>
      </c>
      <c r="N196" s="8" t="s">
        <v>45</v>
      </c>
      <c r="O196" s="8">
        <f t="shared" si="19"/>
        <v>32</v>
      </c>
      <c r="P196" s="8" t="s">
        <v>34</v>
      </c>
      <c r="Q196" s="17" t="s">
        <v>29</v>
      </c>
      <c r="R196" s="8">
        <f>VLOOKUP(Master19[[#This Row],[Elevated Priority]],Epriority,2,)</f>
        <v>0</v>
      </c>
      <c r="S196" s="8" t="e">
        <f>IF(Master19[[#This Row],[Status]]="Active",Master19[[#This Row],[Status_Score]],IF(C196="","",K196+G196+M196+O196+R196-5))</f>
        <v>#N/A</v>
      </c>
    </row>
    <row r="197" spans="1:21" ht="45" hidden="1" x14ac:dyDescent="0.25">
      <c r="A197" s="1">
        <v>196</v>
      </c>
      <c r="B197" s="10" t="s">
        <v>67</v>
      </c>
      <c r="C197" s="10" t="s">
        <v>618</v>
      </c>
      <c r="D197" s="10" t="s">
        <v>619</v>
      </c>
      <c r="E197" s="10" t="s">
        <v>620</v>
      </c>
      <c r="F197" s="10" t="s">
        <v>29</v>
      </c>
      <c r="G197" s="10">
        <f t="shared" si="20"/>
        <v>0</v>
      </c>
      <c r="H197" s="32">
        <v>500000</v>
      </c>
      <c r="I197" s="8">
        <v>2019</v>
      </c>
      <c r="J197" s="10" t="s">
        <v>46</v>
      </c>
      <c r="K197" s="8">
        <f t="shared" si="18"/>
        <v>50</v>
      </c>
      <c r="L197" s="8">
        <v>5</v>
      </c>
      <c r="M197" s="8">
        <f t="shared" si="21"/>
        <v>15</v>
      </c>
      <c r="N197" s="8" t="s">
        <v>43</v>
      </c>
      <c r="O197" s="8">
        <f t="shared" si="19"/>
        <v>16</v>
      </c>
      <c r="P197" s="8" t="s">
        <v>34</v>
      </c>
      <c r="Q197" s="8" t="s">
        <v>29</v>
      </c>
      <c r="R197" s="8">
        <f>VLOOKUP(Master19[[#This Row],[Elevated Priority]],Epriority,2,)</f>
        <v>0</v>
      </c>
      <c r="S197" s="8">
        <f>IF(Master19[[#This Row],[Status]]="Active",Master19[[#This Row],[Status_Score]],IF(C197="","",K197+G197+M197+O197+R197-5))</f>
        <v>76</v>
      </c>
      <c r="T197" s="65"/>
    </row>
    <row r="198" spans="1:21" ht="45" hidden="1" x14ac:dyDescent="0.25">
      <c r="A198" s="1">
        <v>197</v>
      </c>
      <c r="B198" s="10" t="s">
        <v>70</v>
      </c>
      <c r="C198" s="10" t="s">
        <v>489</v>
      </c>
      <c r="D198" s="10" t="s">
        <v>490</v>
      </c>
      <c r="E198" s="10" t="s">
        <v>491</v>
      </c>
      <c r="F198" s="10" t="s">
        <v>29</v>
      </c>
      <c r="G198" s="10">
        <f t="shared" si="20"/>
        <v>0</v>
      </c>
      <c r="H198" s="11">
        <v>20000</v>
      </c>
      <c r="I198" s="8">
        <v>2018</v>
      </c>
      <c r="J198" s="10" t="s">
        <v>44</v>
      </c>
      <c r="K198" s="8" t="e">
        <f t="shared" si="18"/>
        <v>#N/A</v>
      </c>
      <c r="L198" s="8">
        <v>8</v>
      </c>
      <c r="M198" s="8">
        <f t="shared" si="21"/>
        <v>20</v>
      </c>
      <c r="N198" s="8" t="s">
        <v>45</v>
      </c>
      <c r="O198" s="8">
        <f t="shared" si="19"/>
        <v>32</v>
      </c>
      <c r="P198" s="8" t="s">
        <v>34</v>
      </c>
      <c r="Q198" s="17" t="s">
        <v>29</v>
      </c>
      <c r="R198" s="8">
        <f>VLOOKUP(Master19[[#This Row],[Elevated Priority]],Epriority,2,)</f>
        <v>0</v>
      </c>
      <c r="S198" s="8" t="e">
        <f>IF(Master19[[#This Row],[Status]]="Active",Master19[[#This Row],[Status_Score]],IF(C198="","",K198+G198+M198+O198+R198-5))</f>
        <v>#N/A</v>
      </c>
    </row>
    <row r="199" spans="1:21" ht="30" hidden="1" x14ac:dyDescent="0.25">
      <c r="A199" s="1">
        <v>198</v>
      </c>
      <c r="B199" s="10" t="s">
        <v>65</v>
      </c>
      <c r="C199" s="10" t="s">
        <v>550</v>
      </c>
      <c r="D199" s="10" t="s">
        <v>551</v>
      </c>
      <c r="E199" s="10"/>
      <c r="F199" s="10" t="s">
        <v>29</v>
      </c>
      <c r="G199" s="10">
        <f t="shared" si="20"/>
        <v>0</v>
      </c>
      <c r="H199" s="11">
        <v>2000000</v>
      </c>
      <c r="I199" s="8">
        <v>2018</v>
      </c>
      <c r="J199" s="10" t="s">
        <v>46</v>
      </c>
      <c r="K199" s="8">
        <f t="shared" si="18"/>
        <v>50</v>
      </c>
      <c r="L199" s="8" t="s">
        <v>29</v>
      </c>
      <c r="M199" s="8">
        <f t="shared" si="21"/>
        <v>0</v>
      </c>
      <c r="N199" s="8" t="s">
        <v>45</v>
      </c>
      <c r="O199" s="8">
        <f t="shared" si="19"/>
        <v>32</v>
      </c>
      <c r="P199" s="8" t="s">
        <v>34</v>
      </c>
      <c r="Q199" s="17" t="s">
        <v>29</v>
      </c>
      <c r="R199" s="8">
        <f>VLOOKUP(Master19[[#This Row],[Elevated Priority]],Epriority,2,)</f>
        <v>0</v>
      </c>
      <c r="S199" s="8">
        <f>IF(Master19[[#This Row],[Status]]="Active",Master19[[#This Row],[Status_Score]],IF(C199="","",K199+G199+M199+O199+R199-5))</f>
        <v>77</v>
      </c>
    </row>
    <row r="200" spans="1:21" ht="30" hidden="1" x14ac:dyDescent="0.25">
      <c r="A200" s="1">
        <v>199</v>
      </c>
      <c r="B200" s="10" t="s">
        <v>69</v>
      </c>
      <c r="C200" s="10" t="s">
        <v>552</v>
      </c>
      <c r="D200" s="10" t="s">
        <v>553</v>
      </c>
      <c r="E200" s="10" t="s">
        <v>554</v>
      </c>
      <c r="F200" s="10" t="s">
        <v>29</v>
      </c>
      <c r="G200" s="10">
        <f t="shared" si="20"/>
        <v>0</v>
      </c>
      <c r="H200" s="18">
        <v>400000</v>
      </c>
      <c r="I200" s="8">
        <v>2018</v>
      </c>
      <c r="J200" s="10" t="s">
        <v>40</v>
      </c>
      <c r="K200" s="8" t="e">
        <f t="shared" si="18"/>
        <v>#N/A</v>
      </c>
      <c r="L200" s="17">
        <v>3</v>
      </c>
      <c r="M200" s="8">
        <f t="shared" si="21"/>
        <v>9</v>
      </c>
      <c r="N200" s="17" t="s">
        <v>47</v>
      </c>
      <c r="O200" s="8">
        <f t="shared" si="19"/>
        <v>64</v>
      </c>
      <c r="P200" s="8" t="s">
        <v>30</v>
      </c>
      <c r="Q200" s="17" t="s">
        <v>29</v>
      </c>
      <c r="R200" s="8">
        <f>VLOOKUP(Master19[[#This Row],[Elevated Priority]],Epriority,2,)</f>
        <v>0</v>
      </c>
      <c r="S200" s="8" t="e">
        <f>IF(Master19[[#This Row],[Status]]="Active",Master19[[#This Row],[Status_Score]],IF(C200="","",K200+G200+M200+O200+R200-5))</f>
        <v>#N/A</v>
      </c>
    </row>
    <row r="201" spans="1:21" hidden="1" x14ac:dyDescent="0.25">
      <c r="A201" s="1">
        <v>200</v>
      </c>
      <c r="B201" s="10" t="s">
        <v>65</v>
      </c>
      <c r="C201" s="10" t="s">
        <v>555</v>
      </c>
      <c r="E201" s="10"/>
      <c r="F201" s="10" t="s">
        <v>29</v>
      </c>
      <c r="G201" s="10">
        <f t="shared" si="20"/>
        <v>0</v>
      </c>
      <c r="H201" s="11">
        <v>5000000</v>
      </c>
      <c r="I201" s="8">
        <v>2018</v>
      </c>
      <c r="J201" s="10" t="s">
        <v>46</v>
      </c>
      <c r="K201" s="8">
        <f t="shared" si="18"/>
        <v>50</v>
      </c>
      <c r="L201" s="8">
        <v>6</v>
      </c>
      <c r="M201" s="8">
        <f t="shared" si="21"/>
        <v>18</v>
      </c>
      <c r="N201" s="8" t="s">
        <v>43</v>
      </c>
      <c r="O201" s="8">
        <f t="shared" si="19"/>
        <v>16</v>
      </c>
      <c r="P201" s="8" t="s">
        <v>34</v>
      </c>
      <c r="Q201" s="17" t="s">
        <v>29</v>
      </c>
      <c r="R201" s="8">
        <f>VLOOKUP(Master19[[#This Row],[Elevated Priority]],Epriority,2,)</f>
        <v>0</v>
      </c>
      <c r="S201" s="8">
        <f>IF(Master19[[#This Row],[Status]]="Active",Master19[[#This Row],[Status_Score]],IF(C201="","",K201+G201+M201+O201+R201-5))</f>
        <v>79</v>
      </c>
    </row>
    <row r="202" spans="1:21" ht="30" hidden="1" x14ac:dyDescent="0.25">
      <c r="A202" s="1">
        <v>201</v>
      </c>
      <c r="B202" s="10" t="s">
        <v>94</v>
      </c>
      <c r="C202" s="10" t="s">
        <v>465</v>
      </c>
      <c r="D202" s="10" t="s">
        <v>466</v>
      </c>
      <c r="E202" s="10" t="s">
        <v>467</v>
      </c>
      <c r="F202" s="10" t="s">
        <v>29</v>
      </c>
      <c r="G202" s="10">
        <f t="shared" si="20"/>
        <v>0</v>
      </c>
      <c r="H202" s="11">
        <v>200000</v>
      </c>
      <c r="I202" s="8">
        <v>2018</v>
      </c>
      <c r="J202" s="10" t="s">
        <v>46</v>
      </c>
      <c r="K202" s="8">
        <f t="shared" si="18"/>
        <v>50</v>
      </c>
      <c r="L202" s="8">
        <v>30</v>
      </c>
      <c r="M202" s="8">
        <f t="shared" si="21"/>
        <v>31</v>
      </c>
      <c r="N202" s="8" t="s">
        <v>37</v>
      </c>
      <c r="O202" s="8">
        <f t="shared" si="19"/>
        <v>3</v>
      </c>
      <c r="P202" s="8" t="s">
        <v>34</v>
      </c>
      <c r="Q202" s="17" t="s">
        <v>29</v>
      </c>
      <c r="R202" s="8">
        <f>VLOOKUP(Master19[[#This Row],[Elevated Priority]],Epriority,2,)</f>
        <v>0</v>
      </c>
      <c r="S202" s="8">
        <f>IF(Master19[[#This Row],[Status]]="Active",Master19[[#This Row],[Status_Score]],IF(C202="","",K202+G202+M202+O202+R202-5))</f>
        <v>79</v>
      </c>
    </row>
    <row r="203" spans="1:21" ht="30" hidden="1" x14ac:dyDescent="0.25">
      <c r="A203" s="1">
        <v>202</v>
      </c>
      <c r="B203" s="10" t="s">
        <v>65</v>
      </c>
      <c r="C203" s="10" t="s">
        <v>556</v>
      </c>
      <c r="D203" s="10" t="s">
        <v>557</v>
      </c>
      <c r="E203" s="10" t="s">
        <v>558</v>
      </c>
      <c r="F203" s="10" t="s">
        <v>29</v>
      </c>
      <c r="G203" s="10">
        <f t="shared" si="20"/>
        <v>0</v>
      </c>
      <c r="H203" s="11">
        <v>30000</v>
      </c>
      <c r="I203" s="8">
        <v>2018</v>
      </c>
      <c r="J203" s="10" t="s">
        <v>44</v>
      </c>
      <c r="K203" s="8" t="e">
        <f t="shared" si="18"/>
        <v>#N/A</v>
      </c>
      <c r="L203" s="8">
        <v>14</v>
      </c>
      <c r="M203" s="8">
        <f t="shared" si="21"/>
        <v>23</v>
      </c>
      <c r="N203" s="8" t="s">
        <v>45</v>
      </c>
      <c r="O203" s="8">
        <f t="shared" si="19"/>
        <v>32</v>
      </c>
      <c r="P203" s="8" t="s">
        <v>30</v>
      </c>
      <c r="Q203" s="17" t="s">
        <v>29</v>
      </c>
      <c r="R203" s="8">
        <f>VLOOKUP(Master19[[#This Row],[Elevated Priority]],Epriority,2,)</f>
        <v>0</v>
      </c>
      <c r="S203" s="8" t="e">
        <f>IF(Master19[[#This Row],[Status]]="Active",Master19[[#This Row],[Status_Score]],IF(C203="","",K203+G203+M203+O203+R203-5))</f>
        <v>#N/A</v>
      </c>
    </row>
    <row r="204" spans="1:21" ht="30" hidden="1" x14ac:dyDescent="0.25">
      <c r="A204" s="1">
        <v>203</v>
      </c>
      <c r="B204" s="10" t="s">
        <v>94</v>
      </c>
      <c r="C204" s="10" t="s">
        <v>506</v>
      </c>
      <c r="D204" s="10" t="s">
        <v>507</v>
      </c>
      <c r="E204" s="10" t="s">
        <v>508</v>
      </c>
      <c r="F204" s="10" t="s">
        <v>29</v>
      </c>
      <c r="G204" s="10">
        <f t="shared" si="20"/>
        <v>0</v>
      </c>
      <c r="H204" s="11">
        <v>350000</v>
      </c>
      <c r="I204" s="8">
        <v>2018</v>
      </c>
      <c r="J204" s="10" t="s">
        <v>46</v>
      </c>
      <c r="K204" s="8">
        <f t="shared" si="18"/>
        <v>50</v>
      </c>
      <c r="L204" s="8">
        <v>23</v>
      </c>
      <c r="M204" s="8">
        <f t="shared" si="21"/>
        <v>28</v>
      </c>
      <c r="N204" s="8" t="s">
        <v>41</v>
      </c>
      <c r="O204" s="8">
        <f t="shared" si="19"/>
        <v>4</v>
      </c>
      <c r="P204" s="8" t="s">
        <v>30</v>
      </c>
      <c r="Q204" s="17" t="s">
        <v>29</v>
      </c>
      <c r="R204" s="8">
        <f>VLOOKUP(Master19[[#This Row],[Elevated Priority]],Epriority,2,)</f>
        <v>0</v>
      </c>
      <c r="S204" s="8">
        <f>IF(Master19[[#This Row],[Status]]="Active",Master19[[#This Row],[Status_Score]],IF(C204="","",K204+G204+M204+O204+R204-5))</f>
        <v>77</v>
      </c>
    </row>
    <row r="205" spans="1:21" ht="45" hidden="1" x14ac:dyDescent="0.25">
      <c r="A205" s="1">
        <v>204</v>
      </c>
      <c r="B205" s="10" t="s">
        <v>67</v>
      </c>
      <c r="C205" s="10" t="s">
        <v>624</v>
      </c>
      <c r="D205" s="10" t="s">
        <v>625</v>
      </c>
      <c r="E205" s="10"/>
      <c r="F205" s="10" t="s">
        <v>29</v>
      </c>
      <c r="G205" s="10">
        <f t="shared" si="20"/>
        <v>0</v>
      </c>
      <c r="H205" s="32">
        <v>750000</v>
      </c>
      <c r="I205" s="8">
        <v>2019</v>
      </c>
      <c r="J205" s="10" t="s">
        <v>46</v>
      </c>
      <c r="K205" s="8">
        <f t="shared" si="18"/>
        <v>50</v>
      </c>
      <c r="L205" s="8">
        <v>7</v>
      </c>
      <c r="M205" s="8">
        <f t="shared" si="21"/>
        <v>20</v>
      </c>
      <c r="N205" s="8" t="s">
        <v>43</v>
      </c>
      <c r="O205" s="8">
        <f t="shared" si="19"/>
        <v>16</v>
      </c>
      <c r="P205" s="8" t="s">
        <v>34</v>
      </c>
      <c r="Q205" s="8" t="s">
        <v>29</v>
      </c>
      <c r="R205" s="8">
        <f>VLOOKUP(Master19[[#This Row],[Elevated Priority]],Epriority,2,)</f>
        <v>0</v>
      </c>
      <c r="S205" s="8">
        <f>IF(Master19[[#This Row],[Status]]="Active",Master19[[#This Row],[Status_Score]],IF(C205="","",K205+G205+M205+O205+R205-5))</f>
        <v>81</v>
      </c>
      <c r="T205" s="65"/>
    </row>
    <row r="206" spans="1:21" ht="60" hidden="1" x14ac:dyDescent="0.25">
      <c r="A206" s="1">
        <v>205</v>
      </c>
      <c r="B206" s="10" t="s">
        <v>67</v>
      </c>
      <c r="C206" s="10" t="s">
        <v>626</v>
      </c>
      <c r="D206" s="10" t="s">
        <v>627</v>
      </c>
      <c r="E206" s="10" t="s">
        <v>628</v>
      </c>
      <c r="F206" s="10" t="s">
        <v>29</v>
      </c>
      <c r="G206" s="10">
        <f t="shared" si="20"/>
        <v>0</v>
      </c>
      <c r="I206" s="8">
        <v>2019</v>
      </c>
      <c r="J206" s="10" t="s">
        <v>46</v>
      </c>
      <c r="K206" s="8">
        <f t="shared" si="18"/>
        <v>50</v>
      </c>
      <c r="L206" s="8">
        <v>7</v>
      </c>
      <c r="M206" s="8">
        <f t="shared" si="21"/>
        <v>20</v>
      </c>
      <c r="N206" s="8" t="s">
        <v>43</v>
      </c>
      <c r="O206" s="8">
        <f t="shared" si="19"/>
        <v>16</v>
      </c>
      <c r="P206" s="8" t="s">
        <v>34</v>
      </c>
      <c r="Q206" s="8" t="s">
        <v>29</v>
      </c>
      <c r="R206" s="8">
        <f>VLOOKUP(Master19[[#This Row],[Elevated Priority]],Epriority,2,)</f>
        <v>0</v>
      </c>
      <c r="S206" s="8">
        <f>IF(Master19[[#This Row],[Status]]="Active",Master19[[#This Row],[Status_Score]],IF(C206="","",K206+G206+M206+O206+R206-5))</f>
        <v>81</v>
      </c>
      <c r="T206" s="65"/>
    </row>
    <row r="207" spans="1:21" ht="30" hidden="1" x14ac:dyDescent="0.25">
      <c r="A207" s="1">
        <v>206</v>
      </c>
      <c r="B207" s="10" t="s">
        <v>94</v>
      </c>
      <c r="C207" s="10" t="s">
        <v>462</v>
      </c>
      <c r="D207" s="10" t="s">
        <v>463</v>
      </c>
      <c r="E207" s="10" t="s">
        <v>464</v>
      </c>
      <c r="F207" s="10" t="s">
        <v>29</v>
      </c>
      <c r="G207" s="10">
        <f t="shared" si="20"/>
        <v>0</v>
      </c>
      <c r="H207" s="11">
        <v>400000</v>
      </c>
      <c r="I207" s="8">
        <v>2018</v>
      </c>
      <c r="J207" s="10" t="s">
        <v>46</v>
      </c>
      <c r="K207" s="8">
        <f t="shared" si="18"/>
        <v>50</v>
      </c>
      <c r="L207" s="8">
        <v>33</v>
      </c>
      <c r="M207" s="8">
        <f t="shared" si="21"/>
        <v>33</v>
      </c>
      <c r="N207" s="8" t="s">
        <v>37</v>
      </c>
      <c r="O207" s="8">
        <f t="shared" si="19"/>
        <v>3</v>
      </c>
      <c r="P207" s="8" t="s">
        <v>34</v>
      </c>
      <c r="Q207" s="17" t="s">
        <v>29</v>
      </c>
      <c r="R207" s="8">
        <f>VLOOKUP(Master19[[#This Row],[Elevated Priority]],Epriority,2,)</f>
        <v>0</v>
      </c>
      <c r="S207" s="8">
        <f>IF(Master19[[#This Row],[Status]]="Active",Master19[[#This Row],[Status_Score]],IF(C207="","",K207+G207+M207+O207+R207-5))</f>
        <v>81</v>
      </c>
      <c r="U207" t="s">
        <v>672</v>
      </c>
    </row>
    <row r="208" spans="1:21" ht="30" hidden="1" x14ac:dyDescent="0.25">
      <c r="A208" s="1">
        <v>207</v>
      </c>
      <c r="B208" s="10" t="s">
        <v>94</v>
      </c>
      <c r="C208" s="10" t="s">
        <v>503</v>
      </c>
      <c r="D208" s="10" t="s">
        <v>504</v>
      </c>
      <c r="E208" s="10" t="s">
        <v>505</v>
      </c>
      <c r="F208" s="10" t="s">
        <v>29</v>
      </c>
      <c r="G208" s="10">
        <f t="shared" si="20"/>
        <v>0</v>
      </c>
      <c r="H208" s="11">
        <v>75000</v>
      </c>
      <c r="I208" s="8">
        <v>2018</v>
      </c>
      <c r="J208" s="10" t="s">
        <v>46</v>
      </c>
      <c r="K208" s="8">
        <f t="shared" si="18"/>
        <v>50</v>
      </c>
      <c r="L208" s="8">
        <v>31</v>
      </c>
      <c r="M208" s="8">
        <f t="shared" si="21"/>
        <v>32</v>
      </c>
      <c r="N208" s="8" t="s">
        <v>41</v>
      </c>
      <c r="O208" s="8">
        <f t="shared" si="19"/>
        <v>4</v>
      </c>
      <c r="P208" s="8" t="s">
        <v>34</v>
      </c>
      <c r="Q208" s="17" t="s">
        <v>29</v>
      </c>
      <c r="R208" s="8">
        <f>VLOOKUP(Master19[[#This Row],[Elevated Priority]],Epriority,2,)</f>
        <v>0</v>
      </c>
      <c r="S208" s="8">
        <f>IF(Master19[[#This Row],[Status]]="Active",Master19[[#This Row],[Status_Score]],IF(C208="","",K208+G208+M208+O208+R208-5))</f>
        <v>81</v>
      </c>
      <c r="U208" t="s">
        <v>672</v>
      </c>
    </row>
    <row r="209" spans="1:21" ht="30" hidden="1" x14ac:dyDescent="0.25">
      <c r="A209" s="1">
        <v>208</v>
      </c>
      <c r="B209" s="10" t="s">
        <v>94</v>
      </c>
      <c r="C209" s="10" t="s">
        <v>522</v>
      </c>
      <c r="D209" s="10" t="s">
        <v>523</v>
      </c>
      <c r="E209" s="10" t="s">
        <v>524</v>
      </c>
      <c r="F209" s="10" t="s">
        <v>29</v>
      </c>
      <c r="G209" s="10">
        <f t="shared" si="20"/>
        <v>0</v>
      </c>
      <c r="H209" s="11">
        <v>100000</v>
      </c>
      <c r="I209" s="8">
        <v>2018</v>
      </c>
      <c r="J209" s="10" t="s">
        <v>46</v>
      </c>
      <c r="K209" s="8">
        <f t="shared" si="18"/>
        <v>50</v>
      </c>
      <c r="L209" s="8">
        <v>32</v>
      </c>
      <c r="M209" s="8">
        <f t="shared" si="21"/>
        <v>32</v>
      </c>
      <c r="N209" s="8" t="s">
        <v>41</v>
      </c>
      <c r="O209" s="8">
        <f t="shared" si="19"/>
        <v>4</v>
      </c>
      <c r="P209" s="8" t="s">
        <v>30</v>
      </c>
      <c r="Q209" s="17" t="s">
        <v>29</v>
      </c>
      <c r="R209" s="8">
        <f>VLOOKUP(Master19[[#This Row],[Elevated Priority]],Epriority,2,)</f>
        <v>0</v>
      </c>
      <c r="S209" s="8">
        <f>IF(Master19[[#This Row],[Status]]="Active",Master19[[#This Row],[Status_Score]],IF(C209="","",K209+G209+M209+O209+R209-5))</f>
        <v>81</v>
      </c>
    </row>
    <row r="210" spans="1:21" ht="45" hidden="1" x14ac:dyDescent="0.25">
      <c r="A210" s="1">
        <v>209</v>
      </c>
      <c r="B210" s="10" t="s">
        <v>94</v>
      </c>
      <c r="C210" s="10" t="s">
        <v>535</v>
      </c>
      <c r="D210" s="10" t="s">
        <v>536</v>
      </c>
      <c r="E210" s="10" t="s">
        <v>537</v>
      </c>
      <c r="F210" s="10" t="s">
        <v>29</v>
      </c>
      <c r="G210" s="10">
        <f t="shared" si="20"/>
        <v>0</v>
      </c>
      <c r="H210" s="11">
        <v>500000</v>
      </c>
      <c r="I210" s="8">
        <v>2018</v>
      </c>
      <c r="J210" s="10" t="s">
        <v>46</v>
      </c>
      <c r="K210" s="8">
        <f t="shared" si="18"/>
        <v>50</v>
      </c>
      <c r="L210" s="8">
        <v>24</v>
      </c>
      <c r="M210" s="8">
        <f t="shared" si="21"/>
        <v>28</v>
      </c>
      <c r="N210" s="8" t="s">
        <v>43</v>
      </c>
      <c r="O210" s="8">
        <f t="shared" si="19"/>
        <v>16</v>
      </c>
      <c r="P210" s="8" t="s">
        <v>34</v>
      </c>
      <c r="Q210" s="17" t="s">
        <v>29</v>
      </c>
      <c r="R210" s="8">
        <f>VLOOKUP(Master19[[#This Row],[Elevated Priority]],Epriority,2,)</f>
        <v>0</v>
      </c>
      <c r="S210" s="8">
        <f>IF(Master19[[#This Row],[Status]]="Active",Master19[[#This Row],[Status_Score]],IF(C210="","",K210+G210+M210+O210+R210-5))</f>
        <v>89</v>
      </c>
    </row>
    <row r="211" spans="1:21" ht="75" hidden="1" x14ac:dyDescent="0.25">
      <c r="A211" s="1">
        <v>210</v>
      </c>
      <c r="B211" s="10" t="s">
        <v>71</v>
      </c>
      <c r="C211" s="10" t="s">
        <v>562</v>
      </c>
      <c r="D211" s="10" t="s">
        <v>563</v>
      </c>
      <c r="E211" s="10" t="s">
        <v>564</v>
      </c>
      <c r="F211" s="10" t="s">
        <v>29</v>
      </c>
      <c r="G211" s="10">
        <f t="shared" si="20"/>
        <v>0</v>
      </c>
      <c r="H211" s="11">
        <v>850000</v>
      </c>
      <c r="I211" s="8">
        <v>2018</v>
      </c>
      <c r="J211" s="10" t="s">
        <v>46</v>
      </c>
      <c r="K211" s="8">
        <f t="shared" si="18"/>
        <v>50</v>
      </c>
      <c r="L211" s="8">
        <v>4</v>
      </c>
      <c r="M211" s="8">
        <f t="shared" si="21"/>
        <v>12</v>
      </c>
      <c r="N211" s="8" t="s">
        <v>45</v>
      </c>
      <c r="O211" s="8">
        <f t="shared" si="19"/>
        <v>32</v>
      </c>
      <c r="P211" s="8" t="s">
        <v>34</v>
      </c>
      <c r="Q211" s="17" t="s">
        <v>29</v>
      </c>
      <c r="R211" s="8">
        <f>VLOOKUP(Master19[[#This Row],[Elevated Priority]],Epriority,2,)</f>
        <v>0</v>
      </c>
      <c r="S211" s="8">
        <f>IF(Master19[[#This Row],[Status]]="Active",Master19[[#This Row],[Status_Score]],IF(C211="","",K211+G211+M211+O211+R211-5))</f>
        <v>89</v>
      </c>
    </row>
    <row r="212" spans="1:21" hidden="1" x14ac:dyDescent="0.25">
      <c r="A212" s="1">
        <v>211</v>
      </c>
      <c r="B212" s="10" t="s">
        <v>91</v>
      </c>
      <c r="C212" s="10" t="s">
        <v>565</v>
      </c>
      <c r="E212" s="10"/>
      <c r="F212" s="10" t="s">
        <v>29</v>
      </c>
      <c r="G212" s="10">
        <f t="shared" si="20"/>
        <v>0</v>
      </c>
      <c r="H212" s="11">
        <v>25000</v>
      </c>
      <c r="I212" s="8">
        <v>2018</v>
      </c>
      <c r="J212" s="10" t="s">
        <v>40</v>
      </c>
      <c r="K212" s="8" t="e">
        <f t="shared" si="18"/>
        <v>#N/A</v>
      </c>
      <c r="L212" s="8">
        <v>10</v>
      </c>
      <c r="M212" s="8">
        <f t="shared" si="21"/>
        <v>21</v>
      </c>
      <c r="N212" s="8" t="s">
        <v>47</v>
      </c>
      <c r="O212" s="8">
        <f t="shared" si="19"/>
        <v>64</v>
      </c>
      <c r="P212" s="8" t="s">
        <v>30</v>
      </c>
      <c r="Q212" s="17" t="s">
        <v>29</v>
      </c>
      <c r="R212" s="8">
        <f>VLOOKUP(Master19[[#This Row],[Elevated Priority]],Epriority,2,)</f>
        <v>0</v>
      </c>
      <c r="S212" s="8" t="e">
        <f>IF(Master19[[#This Row],[Status]]="Active",Master19[[#This Row],[Status_Score]],IF(C212="","",K212+G212+M212+O212+R212-5))</f>
        <v>#N/A</v>
      </c>
    </row>
    <row r="213" spans="1:21" hidden="1" x14ac:dyDescent="0.25">
      <c r="A213" s="1">
        <v>212</v>
      </c>
      <c r="B213" s="10" t="s">
        <v>91</v>
      </c>
      <c r="C213" s="10" t="s">
        <v>566</v>
      </c>
      <c r="E213" s="10"/>
      <c r="F213" s="10" t="s">
        <v>29</v>
      </c>
      <c r="G213" s="10">
        <f t="shared" si="20"/>
        <v>0</v>
      </c>
      <c r="H213" s="11">
        <v>400000</v>
      </c>
      <c r="I213" s="8">
        <v>2018</v>
      </c>
      <c r="J213" s="10" t="s">
        <v>40</v>
      </c>
      <c r="K213" s="8" t="e">
        <f t="shared" si="18"/>
        <v>#N/A</v>
      </c>
      <c r="L213" s="8">
        <v>10</v>
      </c>
      <c r="M213" s="8">
        <f t="shared" si="21"/>
        <v>21</v>
      </c>
      <c r="N213" s="8" t="s">
        <v>47</v>
      </c>
      <c r="O213" s="8">
        <f t="shared" si="19"/>
        <v>64</v>
      </c>
      <c r="P213" s="8" t="s">
        <v>30</v>
      </c>
      <c r="Q213" s="17" t="s">
        <v>29</v>
      </c>
      <c r="R213" s="8">
        <f>VLOOKUP(Master19[[#This Row],[Elevated Priority]],Epriority,2,)</f>
        <v>0</v>
      </c>
      <c r="S213" s="8" t="e">
        <f>IF(Master19[[#This Row],[Status]]="Active",Master19[[#This Row],[Status_Score]],IF(C213="","",K213+G213+M213+O213+R213-5))</f>
        <v>#N/A</v>
      </c>
    </row>
    <row r="214" spans="1:21" ht="45" hidden="1" x14ac:dyDescent="0.25">
      <c r="A214" s="1">
        <v>213</v>
      </c>
      <c r="B214" s="10" t="s">
        <v>94</v>
      </c>
      <c r="C214" s="10" t="s">
        <v>538</v>
      </c>
      <c r="D214" s="10" t="s">
        <v>539</v>
      </c>
      <c r="E214" s="10" t="s">
        <v>540</v>
      </c>
      <c r="F214" s="10" t="s">
        <v>29</v>
      </c>
      <c r="G214" s="10">
        <f t="shared" si="20"/>
        <v>0</v>
      </c>
      <c r="H214" s="11">
        <v>1500000</v>
      </c>
      <c r="I214" s="8">
        <v>2018</v>
      </c>
      <c r="J214" s="10" t="s">
        <v>46</v>
      </c>
      <c r="K214" s="8">
        <f t="shared" ref="K214:K221" si="22">VLOOKUP(J214,Importance,2,FALSE)</f>
        <v>50</v>
      </c>
      <c r="L214" s="8">
        <v>29</v>
      </c>
      <c r="M214" s="8">
        <f t="shared" si="21"/>
        <v>31</v>
      </c>
      <c r="N214" s="8" t="s">
        <v>43</v>
      </c>
      <c r="O214" s="8">
        <f t="shared" si="19"/>
        <v>16</v>
      </c>
      <c r="P214" s="8" t="s">
        <v>34</v>
      </c>
      <c r="Q214" s="17" t="s">
        <v>29</v>
      </c>
      <c r="R214" s="8">
        <f>VLOOKUP(Master19[[#This Row],[Elevated Priority]],Epriority,2,)</f>
        <v>0</v>
      </c>
      <c r="S214" s="8">
        <f>IF(Master19[[#This Row],[Status]]="Active",Master19[[#This Row],[Status_Score]],IF(C214="","",K214+G214+M214+O214+R214-5))</f>
        <v>92</v>
      </c>
    </row>
    <row r="215" spans="1:21" ht="75" hidden="1" x14ac:dyDescent="0.25">
      <c r="A215" s="1">
        <v>214</v>
      </c>
      <c r="B215" s="10" t="s">
        <v>65</v>
      </c>
      <c r="C215" s="10" t="s">
        <v>567</v>
      </c>
      <c r="D215" s="10" t="s">
        <v>568</v>
      </c>
      <c r="E215" s="10" t="s">
        <v>569</v>
      </c>
      <c r="F215" s="10" t="s">
        <v>29</v>
      </c>
      <c r="G215" s="10">
        <f t="shared" si="20"/>
        <v>0</v>
      </c>
      <c r="H215" s="11">
        <v>5000000</v>
      </c>
      <c r="I215" s="8">
        <v>2018</v>
      </c>
      <c r="J215" s="10" t="s">
        <v>46</v>
      </c>
      <c r="K215" s="8">
        <f t="shared" si="22"/>
        <v>50</v>
      </c>
      <c r="L215" s="8">
        <v>5</v>
      </c>
      <c r="M215" s="8">
        <f t="shared" si="21"/>
        <v>15</v>
      </c>
      <c r="N215" s="8" t="s">
        <v>45</v>
      </c>
      <c r="O215" s="8">
        <f t="shared" si="19"/>
        <v>32</v>
      </c>
      <c r="P215" s="8" t="s">
        <v>34</v>
      </c>
      <c r="Q215" s="17" t="s">
        <v>29</v>
      </c>
      <c r="R215" s="8">
        <f>VLOOKUP(Master19[[#This Row],[Elevated Priority]],Epriority,2,)</f>
        <v>0</v>
      </c>
      <c r="S215" s="8">
        <f>IF(Master19[[#This Row],[Status]]="Active",Master19[[#This Row],[Status_Score]],IF(C215="","",K215+G215+M215+O215+R215-5))</f>
        <v>92</v>
      </c>
    </row>
    <row r="216" spans="1:21" hidden="1" x14ac:dyDescent="0.25">
      <c r="A216" s="1">
        <v>215</v>
      </c>
      <c r="B216" s="10" t="s">
        <v>91</v>
      </c>
      <c r="C216" s="10" t="s">
        <v>573</v>
      </c>
      <c r="E216" s="10" t="s">
        <v>574</v>
      </c>
      <c r="F216" s="10" t="s">
        <v>29</v>
      </c>
      <c r="G216" s="10">
        <f t="shared" si="20"/>
        <v>0</v>
      </c>
      <c r="H216" s="11">
        <v>50000</v>
      </c>
      <c r="I216" s="8">
        <v>2018</v>
      </c>
      <c r="J216" s="10" t="s">
        <v>46</v>
      </c>
      <c r="K216" s="8">
        <f t="shared" si="22"/>
        <v>50</v>
      </c>
      <c r="L216" s="8">
        <v>5</v>
      </c>
      <c r="M216" s="8">
        <f t="shared" si="21"/>
        <v>15</v>
      </c>
      <c r="N216" s="8" t="s">
        <v>45</v>
      </c>
      <c r="O216" s="8">
        <f t="shared" si="19"/>
        <v>32</v>
      </c>
      <c r="P216" s="8" t="s">
        <v>30</v>
      </c>
      <c r="Q216" s="17" t="s">
        <v>29</v>
      </c>
      <c r="R216" s="8">
        <f>VLOOKUP(Master19[[#This Row],[Elevated Priority]],Epriority,2,)</f>
        <v>0</v>
      </c>
      <c r="S216" s="8">
        <f>IF(Master19[[#This Row],[Status]]="Active",Master19[[#This Row],[Status_Score]],IF(C216="","",K216+G216+M216+O216+R216-5))</f>
        <v>92</v>
      </c>
    </row>
    <row r="217" spans="1:21" ht="60" hidden="1" x14ac:dyDescent="0.25">
      <c r="A217" s="1">
        <v>216</v>
      </c>
      <c r="B217" s="27" t="s">
        <v>143</v>
      </c>
      <c r="C217" s="27" t="s">
        <v>372</v>
      </c>
      <c r="D217" s="27" t="s">
        <v>373</v>
      </c>
      <c r="E217" s="27" t="s">
        <v>374</v>
      </c>
      <c r="F217" s="27" t="s">
        <v>29</v>
      </c>
      <c r="G217" s="27">
        <f t="shared" si="20"/>
        <v>0</v>
      </c>
      <c r="H217" s="83">
        <v>15000000</v>
      </c>
      <c r="I217" s="30">
        <v>2018</v>
      </c>
      <c r="J217" s="27" t="s">
        <v>46</v>
      </c>
      <c r="K217" s="8">
        <f t="shared" si="22"/>
        <v>50</v>
      </c>
      <c r="L217" s="28">
        <v>6</v>
      </c>
      <c r="M217" s="8">
        <f t="shared" si="21"/>
        <v>18</v>
      </c>
      <c r="N217" s="28" t="s">
        <v>45</v>
      </c>
      <c r="O217" s="8">
        <f t="shared" si="19"/>
        <v>32</v>
      </c>
      <c r="P217" s="30" t="s">
        <v>34</v>
      </c>
      <c r="Q217" s="28" t="s">
        <v>29</v>
      </c>
      <c r="R217" s="8">
        <f>VLOOKUP(Master19[[#This Row],[Elevated Priority]],Epriority,2,)</f>
        <v>0</v>
      </c>
      <c r="S217" s="30">
        <f>IF(Master19[[#This Row],[Status]]="Active",Master19[[#This Row],[Status_Score]],IF(C217="","",K217+G217+M217+O217+R217-5))</f>
        <v>95</v>
      </c>
      <c r="T217" s="31"/>
    </row>
    <row r="218" spans="1:21" ht="195" hidden="1" x14ac:dyDescent="0.25">
      <c r="A218" s="1">
        <v>217</v>
      </c>
      <c r="B218" s="10" t="s">
        <v>61</v>
      </c>
      <c r="C218" s="10" t="s">
        <v>570</v>
      </c>
      <c r="D218" s="10" t="s">
        <v>571</v>
      </c>
      <c r="E218" s="10" t="s">
        <v>572</v>
      </c>
      <c r="F218" s="10" t="s">
        <v>29</v>
      </c>
      <c r="G218" s="10">
        <f t="shared" si="20"/>
        <v>0</v>
      </c>
      <c r="H218" s="11">
        <v>30000000</v>
      </c>
      <c r="I218" s="8">
        <v>2018</v>
      </c>
      <c r="J218" s="10" t="s">
        <v>46</v>
      </c>
      <c r="K218" s="8">
        <f t="shared" si="22"/>
        <v>50</v>
      </c>
      <c r="L218" s="8">
        <v>6</v>
      </c>
      <c r="M218" s="8">
        <f t="shared" si="21"/>
        <v>18</v>
      </c>
      <c r="N218" s="8" t="s">
        <v>45</v>
      </c>
      <c r="O218" s="8">
        <f t="shared" si="19"/>
        <v>32</v>
      </c>
      <c r="P218" s="8" t="s">
        <v>34</v>
      </c>
      <c r="Q218" s="17" t="s">
        <v>29</v>
      </c>
      <c r="R218" s="8">
        <f>VLOOKUP(Master19[[#This Row],[Elevated Priority]],Epriority,2,)</f>
        <v>0</v>
      </c>
      <c r="S218" s="8">
        <f>IF(Master19[[#This Row],[Status]]="Active",Master19[[#This Row],[Status_Score]],IF(C218="","",K218+G218+M218+O218+R218-5))</f>
        <v>95</v>
      </c>
    </row>
    <row r="219" spans="1:21" ht="45" hidden="1" x14ac:dyDescent="0.25">
      <c r="A219" s="1">
        <v>218</v>
      </c>
      <c r="B219" s="10" t="s">
        <v>67</v>
      </c>
      <c r="C219" s="10" t="s">
        <v>615</v>
      </c>
      <c r="D219" s="10" t="s">
        <v>616</v>
      </c>
      <c r="E219" s="10" t="s">
        <v>617</v>
      </c>
      <c r="F219" s="10" t="s">
        <v>29</v>
      </c>
      <c r="G219" s="32"/>
      <c r="H219" s="32">
        <v>1500000</v>
      </c>
      <c r="I219" s="8">
        <v>2019</v>
      </c>
      <c r="J219" s="10" t="s">
        <v>46</v>
      </c>
      <c r="K219" s="8">
        <f t="shared" si="22"/>
        <v>50</v>
      </c>
      <c r="L219" s="8">
        <v>9</v>
      </c>
      <c r="M219" s="8">
        <f t="shared" si="21"/>
        <v>21</v>
      </c>
      <c r="N219" s="8" t="s">
        <v>45</v>
      </c>
      <c r="O219" s="8">
        <f t="shared" si="19"/>
        <v>32</v>
      </c>
      <c r="P219" s="8" t="s">
        <v>34</v>
      </c>
      <c r="Q219" s="8" t="s">
        <v>29</v>
      </c>
      <c r="R219" s="8">
        <f>VLOOKUP(Master19[[#This Row],[Elevated Priority]],Epriority,2,)</f>
        <v>0</v>
      </c>
      <c r="S219" s="8">
        <f>IF(Master19[[#This Row],[Status]]="Active",Master19[[#This Row],[Status_Score]],IF(C219="","",K219+G219+M219+O219+R219-5))</f>
        <v>98</v>
      </c>
      <c r="T219" s="65"/>
    </row>
    <row r="220" spans="1:21" ht="45" hidden="1" x14ac:dyDescent="0.25">
      <c r="A220" s="1">
        <v>219</v>
      </c>
      <c r="B220" s="23" t="s">
        <v>159</v>
      </c>
      <c r="C220" s="9" t="s">
        <v>575</v>
      </c>
      <c r="D220" s="10" t="s">
        <v>576</v>
      </c>
      <c r="E220" s="10" t="s">
        <v>577</v>
      </c>
      <c r="F220" s="23" t="s">
        <v>29</v>
      </c>
      <c r="G220" s="23">
        <f>VLOOKUP(F220,Status_Score,2,FALSE)</f>
        <v>0</v>
      </c>
      <c r="H220" s="11">
        <v>350000</v>
      </c>
      <c r="I220" s="8">
        <v>2018</v>
      </c>
      <c r="J220" s="10" t="s">
        <v>44</v>
      </c>
      <c r="K220" s="8" t="e">
        <f t="shared" si="22"/>
        <v>#N/A</v>
      </c>
      <c r="L220" s="8">
        <v>8</v>
      </c>
      <c r="M220" s="8">
        <f t="shared" si="21"/>
        <v>20</v>
      </c>
      <c r="N220" s="8" t="s">
        <v>47</v>
      </c>
      <c r="O220" s="8">
        <f t="shared" si="19"/>
        <v>64</v>
      </c>
      <c r="P220" s="8" t="s">
        <v>34</v>
      </c>
      <c r="Q220" s="17" t="s">
        <v>29</v>
      </c>
      <c r="R220" s="8">
        <f>VLOOKUP(Master19[[#This Row],[Elevated Priority]],Epriority,2,)</f>
        <v>0</v>
      </c>
      <c r="S220" s="8" t="e">
        <f>IF(Master19[[#This Row],[Status]]="Active",Master19[[#This Row],[Status_Score]],IF(C220="","",K220+G220+M220+O220+R220-5))</f>
        <v>#N/A</v>
      </c>
      <c r="T220" s="66"/>
    </row>
    <row r="221" spans="1:21" ht="30" hidden="1" x14ac:dyDescent="0.25">
      <c r="A221" s="1">
        <v>220</v>
      </c>
      <c r="B221" s="10" t="s">
        <v>65</v>
      </c>
      <c r="C221" s="10" t="s">
        <v>578</v>
      </c>
      <c r="D221" s="10" t="s">
        <v>579</v>
      </c>
      <c r="E221" s="10" t="s">
        <v>580</v>
      </c>
      <c r="F221" s="10" t="s">
        <v>29</v>
      </c>
      <c r="G221" s="10">
        <f>VLOOKUP(F221,Status_Score,2,FALSE)</f>
        <v>0</v>
      </c>
      <c r="H221" s="11">
        <v>100000</v>
      </c>
      <c r="I221" s="8">
        <v>2018</v>
      </c>
      <c r="J221" s="10" t="s">
        <v>46</v>
      </c>
      <c r="K221" s="8">
        <f t="shared" si="22"/>
        <v>50</v>
      </c>
      <c r="L221" s="8">
        <v>15</v>
      </c>
      <c r="M221" s="8">
        <f t="shared" si="21"/>
        <v>24</v>
      </c>
      <c r="N221" s="8" t="s">
        <v>47</v>
      </c>
      <c r="O221" s="8">
        <f t="shared" si="19"/>
        <v>64</v>
      </c>
      <c r="P221" s="8" t="s">
        <v>34</v>
      </c>
      <c r="Q221" s="17" t="s">
        <v>29</v>
      </c>
      <c r="R221" s="8">
        <f>VLOOKUP(Master19[[#This Row],[Elevated Priority]],Epriority,2,)</f>
        <v>0</v>
      </c>
      <c r="S221" s="8">
        <f>IF(Master19[[#This Row],[Status]]="Active",Master19[[#This Row],[Status_Score]],IF(C221="","",K221+G221+M221+O221+R221-5))</f>
        <v>133</v>
      </c>
      <c r="T221" s="66"/>
    </row>
    <row r="222" spans="1:21" hidden="1" x14ac:dyDescent="0.25">
      <c r="B222" s="5"/>
      <c r="C222" s="5"/>
      <c r="D222" s="5"/>
      <c r="E222" s="5"/>
      <c r="F222" s="5"/>
      <c r="G222" s="80" t="e">
        <f>VLOOKUP(F222,Status_Score,2,FALSE)</f>
        <v>#N/A</v>
      </c>
      <c r="H222" s="81">
        <f>SUM(H223:H442)</f>
        <v>0</v>
      </c>
      <c r="I222" s="7"/>
      <c r="J222" s="4"/>
      <c r="K222" s="4"/>
      <c r="L222" s="7"/>
      <c r="M222" s="4"/>
      <c r="N222" s="4"/>
      <c r="O222" s="7"/>
      <c r="P222" s="7"/>
      <c r="Q222" s="4"/>
      <c r="R222" s="8" t="e">
        <f>VLOOKUP(Master19[[#This Row],[Elevated Priority]],Epriority,2,)</f>
        <v>#N/A</v>
      </c>
      <c r="S222" s="7" t="str">
        <f>IF(Master19[[#This Row],[Status]]="Active",Master19[[#This Row],[Status_Score]],IF(C222="","",K222+G222+M222+O222+R222-5))</f>
        <v/>
      </c>
      <c r="T222" s="7"/>
      <c r="U222" s="79"/>
    </row>
    <row r="223" spans="1:21" ht="38.25" hidden="1" customHeight="1" x14ac:dyDescent="0.25">
      <c r="B223" s="5"/>
      <c r="C223" s="5"/>
      <c r="D223" s="5"/>
      <c r="E223" s="5"/>
      <c r="F223" s="5"/>
      <c r="G223" s="80" t="e">
        <f>VLOOKUP(F223,Status_Score,2,FALSE)</f>
        <v>#N/A</v>
      </c>
      <c r="H223" s="81">
        <f>SUM(H224:H443)</f>
        <v>0</v>
      </c>
      <c r="I223" s="7"/>
      <c r="J223" s="4"/>
      <c r="K223" s="4"/>
      <c r="L223" s="7"/>
      <c r="M223" s="4"/>
      <c r="N223" s="4"/>
      <c r="O223" s="7"/>
      <c r="P223" s="7"/>
      <c r="Q223" s="4"/>
      <c r="R223" s="8" t="e">
        <f>VLOOKUP(Master19[[#This Row],[Elevated Priority]],Epriority,2,)</f>
        <v>#N/A</v>
      </c>
      <c r="S223" s="7" t="str">
        <f>IF(Master19[[#This Row],[Status]]="Active",Master19[[#This Row],[Status_Score]],IF(C223="","",K223+G223+M223+O223+R223-5))</f>
        <v/>
      </c>
      <c r="T223" s="7"/>
      <c r="U223" s="79"/>
    </row>
    <row r="224" spans="1:21" hidden="1" x14ac:dyDescent="0.25">
      <c r="B224" s="48"/>
      <c r="E224" s="10"/>
      <c r="F224" s="10"/>
      <c r="G224" s="10"/>
      <c r="H224" s="24"/>
      <c r="I224" s="8"/>
      <c r="Q224" s="17"/>
      <c r="T224" s="66"/>
    </row>
    <row r="225" spans="2:20" hidden="1" x14ac:dyDescent="0.25">
      <c r="B225" s="48"/>
      <c r="E225" s="10"/>
      <c r="F225" s="10"/>
      <c r="G225" s="10"/>
      <c r="H225" s="24"/>
      <c r="I225" s="8"/>
      <c r="Q225" s="17"/>
      <c r="T225" s="66"/>
    </row>
    <row r="226" spans="2:20" hidden="1" x14ac:dyDescent="0.25">
      <c r="B226" s="50"/>
      <c r="C226" s="23"/>
      <c r="D226" s="23"/>
      <c r="E226" s="23"/>
      <c r="F226" s="10"/>
      <c r="G226" s="23"/>
      <c r="H226" s="24"/>
      <c r="I226" s="8"/>
      <c r="L226" s="25"/>
      <c r="O226" s="25"/>
      <c r="P226" s="25"/>
      <c r="Q226" s="26"/>
      <c r="R226" s="25"/>
      <c r="S226" s="25"/>
      <c r="T226" s="73"/>
    </row>
  </sheetData>
  <conditionalFormatting sqref="C1:C75 C77:C1048576">
    <cfRule type="duplicateValues" priority="2"/>
  </conditionalFormatting>
  <conditionalFormatting sqref="C76">
    <cfRule type="duplicateValues" priority="1"/>
  </conditionalFormatting>
  <dataValidations count="7">
    <dataValidation type="list" allowBlank="1" showInputMessage="1" showErrorMessage="1" sqref="F2:F226" xr:uid="{00000000-0002-0000-0500-000000000000}">
      <formula1>Status</formula1>
    </dataValidation>
    <dataValidation type="list" allowBlank="1" showInputMessage="1" showErrorMessage="1" sqref="L2:L226" xr:uid="{00000000-0002-0000-0500-000001000000}">
      <formula1>Department_List</formula1>
    </dataValidation>
    <dataValidation type="list" allowBlank="1" showInputMessage="1" showErrorMessage="1" sqref="N2:N226" xr:uid="{00000000-0002-0000-0500-000002000000}">
      <formula1>Urgency_List</formula1>
    </dataValidation>
    <dataValidation type="list" allowBlank="1" showInputMessage="1" showErrorMessage="1" sqref="P2:P226" xr:uid="{00000000-0002-0000-0500-000003000000}">
      <formula1>Funding</formula1>
    </dataValidation>
    <dataValidation type="list" allowBlank="1" showInputMessage="1" showErrorMessage="1" sqref="Q2:Q226" xr:uid="{00000000-0002-0000-0500-000004000000}">
      <formula1>ele_pri</formula1>
    </dataValidation>
    <dataValidation type="list" allowBlank="1" showInputMessage="1" showErrorMessage="1" sqref="J4:J6" xr:uid="{00000000-0002-0000-0500-000005000000}">
      <formula1>Importance_List</formula1>
    </dataValidation>
    <dataValidation type="list" allowBlank="1" showInputMessage="1" showErrorMessage="1" sqref="H227:I238" xr:uid="{00000000-0002-0000-0500-000006000000}">
      <formula1>"implist"</formula1>
    </dataValidation>
  </dataValidations>
  <pageMargins left="0.7" right="0.7" top="0.75" bottom="0.75" header="0.3" footer="0.3"/>
  <pageSetup paperSize="3" scale="5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Database!$D$3:$D$12</xm:f>
          </x14:formula1>
          <xm:sqref>J7:J226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31"/>
  <sheetViews>
    <sheetView topLeftCell="A7" workbookViewId="0">
      <selection activeCell="J24" sqref="J24"/>
    </sheetView>
  </sheetViews>
  <sheetFormatPr defaultColWidth="14.7109375" defaultRowHeight="15" x14ac:dyDescent="0.25"/>
  <cols>
    <col min="1" max="1" width="6.140625" style="36" customWidth="1"/>
    <col min="2" max="2" width="14.7109375" customWidth="1"/>
    <col min="3" max="3" width="30.42578125" style="9" customWidth="1"/>
    <col min="4" max="4" width="24.7109375" style="9" customWidth="1"/>
    <col min="5" max="6" width="24.7109375" style="35" customWidth="1"/>
    <col min="7" max="7" width="16.140625" customWidth="1"/>
    <col min="8" max="8" width="24.7109375" style="36" customWidth="1"/>
  </cols>
  <sheetData>
    <row r="1" spans="1:9" ht="30" customHeight="1" x14ac:dyDescent="0.25">
      <c r="A1" s="204" t="s">
        <v>79</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39" t="s">
        <v>49</v>
      </c>
      <c r="C3" s="39" t="s">
        <v>50</v>
      </c>
      <c r="D3" s="38" t="s">
        <v>51</v>
      </c>
      <c r="E3" s="38" t="s">
        <v>52</v>
      </c>
      <c r="F3" s="38" t="s">
        <v>595</v>
      </c>
      <c r="G3" s="40" t="s">
        <v>54</v>
      </c>
      <c r="H3" s="38" t="s">
        <v>596</v>
      </c>
      <c r="I3" s="92" t="s">
        <v>23</v>
      </c>
    </row>
    <row r="4" spans="1:9" ht="45" x14ac:dyDescent="0.25">
      <c r="A4" s="30">
        <v>1</v>
      </c>
      <c r="B4" s="10" t="s">
        <v>684</v>
      </c>
      <c r="C4" s="10" t="s">
        <v>80</v>
      </c>
      <c r="D4" s="10" t="s">
        <v>81</v>
      </c>
      <c r="E4" s="10" t="s">
        <v>82</v>
      </c>
      <c r="F4" s="10" t="s">
        <v>29</v>
      </c>
      <c r="G4" s="11">
        <v>120000</v>
      </c>
      <c r="H4" s="8">
        <v>2018</v>
      </c>
      <c r="I4" s="8" t="s">
        <v>30</v>
      </c>
    </row>
    <row r="5" spans="1:9" ht="30" x14ac:dyDescent="0.25">
      <c r="A5" s="8">
        <v>2</v>
      </c>
      <c r="B5" s="10" t="s">
        <v>79</v>
      </c>
      <c r="C5" s="10" t="s">
        <v>113</v>
      </c>
      <c r="D5" s="10" t="s">
        <v>114</v>
      </c>
      <c r="E5" s="10" t="s">
        <v>115</v>
      </c>
      <c r="F5" s="10" t="s">
        <v>29</v>
      </c>
      <c r="G5" s="11">
        <v>25000</v>
      </c>
      <c r="H5" s="8">
        <v>2018</v>
      </c>
      <c r="I5" s="8" t="s">
        <v>30</v>
      </c>
    </row>
    <row r="6" spans="1:9" ht="30" x14ac:dyDescent="0.25">
      <c r="A6" s="30">
        <v>3</v>
      </c>
      <c r="B6" s="10" t="s">
        <v>79</v>
      </c>
      <c r="C6" s="10" t="s">
        <v>199</v>
      </c>
      <c r="D6" s="10" t="s">
        <v>200</v>
      </c>
      <c r="E6" s="10" t="s">
        <v>201</v>
      </c>
      <c r="F6" s="10" t="s">
        <v>29</v>
      </c>
      <c r="G6" s="11">
        <v>30000</v>
      </c>
      <c r="H6" s="8">
        <v>2018</v>
      </c>
      <c r="I6" s="8" t="s">
        <v>30</v>
      </c>
    </row>
    <row r="7" spans="1:9" ht="30" x14ac:dyDescent="0.25">
      <c r="A7" s="8">
        <v>4</v>
      </c>
      <c r="B7" s="10" t="s">
        <v>79</v>
      </c>
      <c r="C7" s="10" t="s">
        <v>202</v>
      </c>
      <c r="D7" s="10" t="s">
        <v>203</v>
      </c>
      <c r="E7" s="10" t="s">
        <v>204</v>
      </c>
      <c r="F7" s="10" t="s">
        <v>29</v>
      </c>
      <c r="G7" s="11">
        <v>15000</v>
      </c>
      <c r="H7" s="8">
        <v>2018</v>
      </c>
      <c r="I7" s="8" t="s">
        <v>30</v>
      </c>
    </row>
    <row r="8" spans="1:9" ht="45" x14ac:dyDescent="0.25">
      <c r="A8" s="30">
        <v>5</v>
      </c>
      <c r="B8" s="10" t="s">
        <v>79</v>
      </c>
      <c r="C8" s="10" t="s">
        <v>245</v>
      </c>
      <c r="D8" s="10" t="s">
        <v>246</v>
      </c>
      <c r="E8" s="10" t="s">
        <v>247</v>
      </c>
      <c r="F8" s="10" t="s">
        <v>29</v>
      </c>
      <c r="G8" s="11">
        <v>20000</v>
      </c>
      <c r="H8" s="8">
        <v>2018</v>
      </c>
      <c r="I8" s="8" t="s">
        <v>30</v>
      </c>
    </row>
    <row r="9" spans="1:9" ht="30" x14ac:dyDescent="0.25">
      <c r="A9" s="8">
        <v>6</v>
      </c>
      <c r="B9" s="10" t="s">
        <v>79</v>
      </c>
      <c r="C9" s="10" t="s">
        <v>248</v>
      </c>
      <c r="D9" s="10" t="s">
        <v>249</v>
      </c>
      <c r="E9" s="10" t="s">
        <v>250</v>
      </c>
      <c r="F9" s="10" t="s">
        <v>29</v>
      </c>
      <c r="G9" s="11">
        <v>250000</v>
      </c>
      <c r="H9" s="8">
        <v>2018</v>
      </c>
      <c r="I9" s="8" t="s">
        <v>30</v>
      </c>
    </row>
    <row r="10" spans="1:9" ht="75" x14ac:dyDescent="0.25">
      <c r="A10" s="8">
        <v>7</v>
      </c>
      <c r="B10" s="10" t="s">
        <v>79</v>
      </c>
      <c r="C10" s="10" t="s">
        <v>251</v>
      </c>
      <c r="D10" s="10" t="s">
        <v>252</v>
      </c>
      <c r="E10" s="10" t="s">
        <v>253</v>
      </c>
      <c r="F10" s="10" t="s">
        <v>29</v>
      </c>
      <c r="G10" s="11">
        <v>250000</v>
      </c>
      <c r="H10" s="8">
        <v>2018</v>
      </c>
      <c r="I10" s="8" t="s">
        <v>30</v>
      </c>
    </row>
    <row r="11" spans="1:9" ht="30" x14ac:dyDescent="0.25">
      <c r="A11" s="8">
        <v>8</v>
      </c>
      <c r="B11" s="10" t="s">
        <v>79</v>
      </c>
      <c r="C11" s="10" t="s">
        <v>254</v>
      </c>
      <c r="D11" s="10" t="s">
        <v>255</v>
      </c>
      <c r="E11" s="10" t="s">
        <v>256</v>
      </c>
      <c r="F11" s="10" t="s">
        <v>29</v>
      </c>
      <c r="G11" s="11">
        <v>50000</v>
      </c>
      <c r="H11" s="8">
        <v>2018</v>
      </c>
      <c r="I11" s="8" t="s">
        <v>30</v>
      </c>
    </row>
    <row r="12" spans="1:9" ht="45" x14ac:dyDescent="0.25">
      <c r="A12" s="8">
        <v>9</v>
      </c>
      <c r="B12" s="10" t="s">
        <v>79</v>
      </c>
      <c r="C12" s="10" t="s">
        <v>310</v>
      </c>
      <c r="D12" s="10" t="s">
        <v>311</v>
      </c>
      <c r="E12" s="10" t="s">
        <v>312</v>
      </c>
      <c r="F12" s="10" t="s">
        <v>29</v>
      </c>
      <c r="G12" s="11">
        <v>250000</v>
      </c>
      <c r="H12" s="8">
        <v>2018</v>
      </c>
      <c r="I12" s="8" t="s">
        <v>34</v>
      </c>
    </row>
    <row r="13" spans="1:9" ht="45" x14ac:dyDescent="0.25">
      <c r="A13" s="8">
        <v>10</v>
      </c>
      <c r="B13" s="10" t="s">
        <v>79</v>
      </c>
      <c r="C13" s="10" t="s">
        <v>325</v>
      </c>
      <c r="D13" s="10" t="s">
        <v>326</v>
      </c>
      <c r="E13" s="10" t="s">
        <v>663</v>
      </c>
      <c r="F13" s="10" t="s">
        <v>29</v>
      </c>
      <c r="G13" s="11">
        <v>500000</v>
      </c>
      <c r="H13" s="8">
        <v>2018</v>
      </c>
      <c r="I13" s="8" t="s">
        <v>30</v>
      </c>
    </row>
    <row r="14" spans="1:9" ht="30" x14ac:dyDescent="0.25">
      <c r="A14" s="8">
        <v>11</v>
      </c>
      <c r="B14" s="10" t="s">
        <v>79</v>
      </c>
      <c r="C14" s="10" t="s">
        <v>470</v>
      </c>
      <c r="D14" s="10" t="s">
        <v>471</v>
      </c>
      <c r="E14" s="10" t="s">
        <v>472</v>
      </c>
      <c r="F14" s="10" t="s">
        <v>29</v>
      </c>
      <c r="G14" s="11">
        <v>50000</v>
      </c>
      <c r="H14" s="8">
        <v>2018</v>
      </c>
      <c r="I14" s="8" t="s">
        <v>30</v>
      </c>
    </row>
    <row r="15" spans="1:9" ht="30" x14ac:dyDescent="0.25">
      <c r="A15" s="8">
        <v>12</v>
      </c>
      <c r="B15" s="10" t="s">
        <v>79</v>
      </c>
      <c r="C15" s="10" t="s">
        <v>510</v>
      </c>
      <c r="D15" s="10" t="s">
        <v>511</v>
      </c>
      <c r="E15" s="10" t="s">
        <v>512</v>
      </c>
      <c r="F15" s="10" t="s">
        <v>29</v>
      </c>
      <c r="G15" s="11">
        <v>15000</v>
      </c>
      <c r="H15" s="8">
        <v>2018</v>
      </c>
      <c r="I15" s="8" t="s">
        <v>30</v>
      </c>
    </row>
    <row r="16" spans="1:9" ht="45" x14ac:dyDescent="0.25">
      <c r="A16" s="8">
        <v>13</v>
      </c>
      <c r="B16" s="10" t="s">
        <v>79</v>
      </c>
      <c r="C16" s="10" t="s">
        <v>513</v>
      </c>
      <c r="D16" s="10" t="s">
        <v>514</v>
      </c>
      <c r="E16" s="10" t="s">
        <v>515</v>
      </c>
      <c r="F16" s="10" t="s">
        <v>29</v>
      </c>
      <c r="G16" s="11">
        <v>50000</v>
      </c>
      <c r="H16" s="8">
        <v>2018</v>
      </c>
      <c r="I16" s="8" t="s">
        <v>34</v>
      </c>
    </row>
    <row r="17" spans="1:9" ht="45" x14ac:dyDescent="0.25">
      <c r="A17" s="8">
        <v>14</v>
      </c>
      <c r="B17" s="10" t="s">
        <v>79</v>
      </c>
      <c r="C17" s="10" t="s">
        <v>525</v>
      </c>
      <c r="D17" s="10" t="s">
        <v>526</v>
      </c>
      <c r="E17" s="10" t="s">
        <v>527</v>
      </c>
      <c r="F17" s="10" t="s">
        <v>29</v>
      </c>
      <c r="G17" s="11">
        <v>35000</v>
      </c>
      <c r="H17" s="8">
        <v>2018</v>
      </c>
      <c r="I17" s="8" t="s">
        <v>34</v>
      </c>
    </row>
    <row r="18" spans="1:9" x14ac:dyDescent="0.25">
      <c r="A18" s="8">
        <v>17</v>
      </c>
      <c r="B18" s="1"/>
      <c r="C18" s="34"/>
      <c r="D18" s="10"/>
      <c r="E18" s="10"/>
      <c r="F18" s="10"/>
      <c r="G18" s="3"/>
      <c r="H18" s="8"/>
    </row>
    <row r="19" spans="1:9" x14ac:dyDescent="0.25">
      <c r="A19" s="8">
        <v>18</v>
      </c>
      <c r="B19" s="1"/>
      <c r="C19" s="34"/>
      <c r="D19" s="10"/>
      <c r="E19" s="10"/>
      <c r="F19" s="10"/>
      <c r="G19" s="3"/>
      <c r="H19" s="8"/>
    </row>
    <row r="20" spans="1:9" x14ac:dyDescent="0.25">
      <c r="A20" s="8">
        <v>19</v>
      </c>
      <c r="B20" s="1"/>
      <c r="C20" s="34"/>
      <c r="D20" s="10"/>
      <c r="E20" s="10"/>
      <c r="F20" s="10"/>
      <c r="G20" s="3"/>
      <c r="H20" s="8"/>
    </row>
    <row r="21" spans="1:9" x14ac:dyDescent="0.25">
      <c r="A21" s="8">
        <v>20</v>
      </c>
      <c r="B21" s="1"/>
      <c r="C21" s="34"/>
      <c r="D21" s="10"/>
      <c r="E21" s="10"/>
      <c r="F21" s="10"/>
      <c r="G21" s="3"/>
      <c r="H21" s="8"/>
    </row>
    <row r="22" spans="1:9" x14ac:dyDescent="0.25">
      <c r="A22" s="8">
        <v>21</v>
      </c>
      <c r="B22" s="1"/>
      <c r="C22" s="34"/>
      <c r="D22" s="10"/>
      <c r="E22" s="10"/>
      <c r="F22" s="10"/>
      <c r="G22" s="3"/>
      <c r="H22" s="8"/>
    </row>
    <row r="23" spans="1:9" x14ac:dyDescent="0.25">
      <c r="A23" s="8">
        <v>22</v>
      </c>
      <c r="B23" s="1"/>
      <c r="C23" s="34"/>
      <c r="D23" s="10"/>
      <c r="E23" s="10"/>
      <c r="F23" s="10"/>
      <c r="G23" s="3"/>
      <c r="H23" s="8"/>
    </row>
    <row r="24" spans="1:9" x14ac:dyDescent="0.25">
      <c r="A24" s="8">
        <v>23</v>
      </c>
      <c r="B24" s="1"/>
      <c r="C24" s="34"/>
      <c r="D24" s="10"/>
      <c r="E24" s="10"/>
      <c r="F24" s="10"/>
      <c r="G24" s="3"/>
      <c r="H24" s="8"/>
    </row>
    <row r="25" spans="1:9" x14ac:dyDescent="0.25">
      <c r="A25" s="8">
        <v>24</v>
      </c>
      <c r="B25" s="1"/>
      <c r="C25" s="34"/>
      <c r="D25" s="10"/>
      <c r="E25" s="10"/>
      <c r="F25" s="10"/>
      <c r="G25" s="3"/>
      <c r="H25" s="8"/>
    </row>
    <row r="26" spans="1:9" x14ac:dyDescent="0.25">
      <c r="A26" s="8">
        <v>25</v>
      </c>
      <c r="B26" s="1"/>
      <c r="C26" s="34"/>
      <c r="D26" s="10"/>
      <c r="E26" s="10"/>
      <c r="F26" s="10"/>
      <c r="G26" s="3"/>
      <c r="H26" s="8"/>
    </row>
    <row r="27" spans="1:9" x14ac:dyDescent="0.25">
      <c r="A27" s="8">
        <v>26</v>
      </c>
      <c r="B27" s="1"/>
      <c r="C27" s="34"/>
      <c r="D27" s="10"/>
      <c r="E27" s="10"/>
      <c r="F27" s="10"/>
      <c r="G27" s="3"/>
      <c r="H27" s="8"/>
    </row>
    <row r="28" spans="1:9" x14ac:dyDescent="0.25">
      <c r="A28" s="8">
        <v>27</v>
      </c>
      <c r="B28" s="1"/>
      <c r="C28" s="34"/>
      <c r="D28" s="10"/>
      <c r="E28" s="10"/>
      <c r="F28" s="10"/>
      <c r="G28" s="3"/>
      <c r="H28" s="8"/>
    </row>
    <row r="29" spans="1:9" x14ac:dyDescent="0.25">
      <c r="A29" s="8">
        <v>28</v>
      </c>
      <c r="B29" s="1"/>
      <c r="C29" s="34"/>
      <c r="D29" s="10"/>
      <c r="E29" s="10"/>
      <c r="F29" s="10"/>
      <c r="G29" s="3"/>
      <c r="H29" s="8"/>
    </row>
    <row r="30" spans="1:9" x14ac:dyDescent="0.25">
      <c r="A30" s="8">
        <v>29</v>
      </c>
      <c r="B30" s="1"/>
      <c r="C30" s="34"/>
      <c r="D30" s="10"/>
      <c r="E30" s="10"/>
      <c r="F30" s="10"/>
      <c r="G30" s="3"/>
      <c r="H30" s="8"/>
    </row>
    <row r="31" spans="1:9" x14ac:dyDescent="0.25">
      <c r="A31" s="8">
        <v>30</v>
      </c>
      <c r="B31" s="1"/>
      <c r="C31" s="34"/>
      <c r="D31" s="10"/>
      <c r="E31" s="10"/>
      <c r="F31" s="10"/>
      <c r="G31" s="3"/>
      <c r="H31" s="8"/>
    </row>
  </sheetData>
  <mergeCells count="1">
    <mergeCell ref="A1:H2"/>
  </mergeCells>
  <conditionalFormatting sqref="C4:C17">
    <cfRule type="duplicateValues" priority="1"/>
  </conditionalFormatting>
  <dataValidations count="3">
    <dataValidation type="list" allowBlank="1" showInputMessage="1" showErrorMessage="1" sqref="G32:H104" xr:uid="{00000000-0002-0000-0600-000000000000}">
      <formula1>"implist"</formula1>
    </dataValidation>
    <dataValidation type="list" allowBlank="1" showInputMessage="1" showErrorMessage="1" sqref="F4:F17" xr:uid="{00000000-0002-0000-0600-000001000000}">
      <formula1>Status</formula1>
    </dataValidation>
    <dataValidation type="list" allowBlank="1" showInputMessage="1" showErrorMessage="1" sqref="I4:I17" xr:uid="{00000000-0002-0000-0600-000002000000}">
      <formula1>Funding</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I34"/>
  <sheetViews>
    <sheetView topLeftCell="A11" workbookViewId="0">
      <selection activeCell="J24" sqref="J24"/>
    </sheetView>
  </sheetViews>
  <sheetFormatPr defaultColWidth="14.7109375" defaultRowHeight="15" x14ac:dyDescent="0.25"/>
  <cols>
    <col min="1" max="1" width="6.140625" style="36" customWidth="1"/>
    <col min="2" max="2" width="14.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73</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ht="195" x14ac:dyDescent="0.25">
      <c r="A4" s="30">
        <v>1</v>
      </c>
      <c r="B4" s="13" t="s">
        <v>73</v>
      </c>
      <c r="C4" s="13" t="s">
        <v>640</v>
      </c>
      <c r="D4" s="13" t="s">
        <v>679</v>
      </c>
      <c r="E4" s="13" t="s">
        <v>83</v>
      </c>
      <c r="F4" s="13" t="s">
        <v>598</v>
      </c>
      <c r="G4" s="14">
        <v>650000</v>
      </c>
      <c r="H4" s="15">
        <v>2018</v>
      </c>
      <c r="I4" s="15" t="s">
        <v>30</v>
      </c>
    </row>
    <row r="5" spans="1:9" ht="135" x14ac:dyDescent="0.25">
      <c r="A5" s="8">
        <v>2</v>
      </c>
      <c r="B5" s="10" t="s">
        <v>73</v>
      </c>
      <c r="C5" s="10" t="s">
        <v>196</v>
      </c>
      <c r="D5" s="10" t="s">
        <v>197</v>
      </c>
      <c r="E5" s="10" t="s">
        <v>198</v>
      </c>
      <c r="F5" s="10" t="s">
        <v>29</v>
      </c>
      <c r="G5" s="11">
        <v>25000</v>
      </c>
      <c r="H5" s="8">
        <v>2018</v>
      </c>
      <c r="I5" s="8" t="s">
        <v>34</v>
      </c>
    </row>
    <row r="6" spans="1:9" ht="105" x14ac:dyDescent="0.25">
      <c r="A6" s="30">
        <v>3</v>
      </c>
      <c r="B6" s="10" t="s">
        <v>73</v>
      </c>
      <c r="C6" s="48" t="s">
        <v>438</v>
      </c>
      <c r="D6" s="10" t="s">
        <v>439</v>
      </c>
      <c r="E6" s="10" t="s">
        <v>440</v>
      </c>
      <c r="F6" s="10" t="s">
        <v>29</v>
      </c>
      <c r="G6" s="11">
        <v>15000</v>
      </c>
      <c r="H6" s="8">
        <v>2018</v>
      </c>
      <c r="I6" s="8" t="s">
        <v>30</v>
      </c>
    </row>
    <row r="7" spans="1:9" ht="60" x14ac:dyDescent="0.25">
      <c r="A7" s="8">
        <v>4</v>
      </c>
      <c r="B7" s="10" t="s">
        <v>73</v>
      </c>
      <c r="C7" s="10" t="s">
        <v>177</v>
      </c>
      <c r="D7" s="10" t="s">
        <v>178</v>
      </c>
      <c r="E7" s="10" t="s">
        <v>179</v>
      </c>
      <c r="F7" s="10" t="s">
        <v>29</v>
      </c>
      <c r="G7" s="11">
        <v>15000</v>
      </c>
      <c r="H7" s="8">
        <v>2018</v>
      </c>
      <c r="I7" s="8" t="s">
        <v>30</v>
      </c>
    </row>
    <row r="8" spans="1:9" ht="135" x14ac:dyDescent="0.25">
      <c r="A8" s="30">
        <v>5</v>
      </c>
      <c r="B8" s="10" t="s">
        <v>73</v>
      </c>
      <c r="C8" s="10" t="s">
        <v>107</v>
      </c>
      <c r="D8" s="10" t="s">
        <v>108</v>
      </c>
      <c r="E8" s="10" t="s">
        <v>109</v>
      </c>
      <c r="F8" s="10" t="s">
        <v>29</v>
      </c>
      <c r="G8" s="11">
        <v>25000</v>
      </c>
      <c r="H8" s="8">
        <v>2018</v>
      </c>
      <c r="I8" s="8" t="s">
        <v>30</v>
      </c>
    </row>
    <row r="9" spans="1:9" ht="105" x14ac:dyDescent="0.25">
      <c r="A9" s="8">
        <v>6</v>
      </c>
      <c r="B9" s="10" t="s">
        <v>73</v>
      </c>
      <c r="C9" s="10" t="s">
        <v>257</v>
      </c>
      <c r="D9" s="10" t="s">
        <v>258</v>
      </c>
      <c r="E9" s="10" t="s">
        <v>259</v>
      </c>
      <c r="F9" s="10" t="s">
        <v>29</v>
      </c>
      <c r="G9" s="11">
        <v>35000</v>
      </c>
      <c r="H9" s="8">
        <v>2018</v>
      </c>
      <c r="I9" s="8" t="s">
        <v>30</v>
      </c>
    </row>
    <row r="10" spans="1:9" ht="285" x14ac:dyDescent="0.25">
      <c r="A10" s="8">
        <v>7</v>
      </c>
      <c r="B10" s="10" t="s">
        <v>73</v>
      </c>
      <c r="C10" s="10" t="s">
        <v>354</v>
      </c>
      <c r="D10" s="10" t="s">
        <v>355</v>
      </c>
      <c r="E10" s="10" t="s">
        <v>356</v>
      </c>
      <c r="F10" s="10" t="s">
        <v>29</v>
      </c>
      <c r="G10" s="11">
        <v>250000</v>
      </c>
      <c r="H10" s="8">
        <v>2018</v>
      </c>
      <c r="I10" s="8" t="s">
        <v>30</v>
      </c>
    </row>
    <row r="11" spans="1:9" ht="300" x14ac:dyDescent="0.25">
      <c r="A11" s="8">
        <v>8</v>
      </c>
      <c r="B11" s="10" t="s">
        <v>73</v>
      </c>
      <c r="C11" s="10" t="s">
        <v>547</v>
      </c>
      <c r="D11" s="10" t="s">
        <v>548</v>
      </c>
      <c r="E11" s="10" t="s">
        <v>549</v>
      </c>
      <c r="F11" s="10" t="s">
        <v>29</v>
      </c>
      <c r="G11" s="11">
        <v>65000</v>
      </c>
      <c r="H11" s="8">
        <v>2018</v>
      </c>
      <c r="I11" s="8" t="s">
        <v>34</v>
      </c>
    </row>
    <row r="12" spans="1:9" x14ac:dyDescent="0.25">
      <c r="A12" s="8">
        <v>11</v>
      </c>
      <c r="B12" s="10"/>
      <c r="C12" s="10"/>
      <c r="D12" s="10"/>
      <c r="E12" s="10"/>
      <c r="F12" s="10"/>
      <c r="G12" s="11"/>
      <c r="H12" s="8"/>
    </row>
    <row r="13" spans="1:9" x14ac:dyDescent="0.25">
      <c r="A13" s="8">
        <v>12</v>
      </c>
      <c r="B13" s="10"/>
      <c r="C13" s="10"/>
      <c r="D13" s="10"/>
      <c r="E13" s="10"/>
      <c r="F13" s="10"/>
      <c r="G13" s="11"/>
      <c r="H13" s="8"/>
    </row>
    <row r="14" spans="1:9" x14ac:dyDescent="0.25">
      <c r="A14" s="8">
        <v>13</v>
      </c>
      <c r="B14" s="10"/>
      <c r="C14" s="10"/>
      <c r="D14" s="10"/>
      <c r="E14" s="10"/>
      <c r="F14" s="10"/>
      <c r="G14" s="11"/>
      <c r="H14" s="8"/>
    </row>
    <row r="15" spans="1:9" x14ac:dyDescent="0.25">
      <c r="A15" s="8">
        <v>14</v>
      </c>
      <c r="B15" s="10"/>
      <c r="C15" s="10"/>
      <c r="D15" s="10"/>
      <c r="E15" s="10"/>
      <c r="F15" s="10"/>
      <c r="G15" s="11"/>
      <c r="H15" s="8"/>
    </row>
    <row r="16" spans="1:9" x14ac:dyDescent="0.25">
      <c r="A16" s="8">
        <v>15</v>
      </c>
      <c r="B16" s="10"/>
      <c r="C16" s="10"/>
      <c r="D16" s="10"/>
      <c r="E16" s="10"/>
      <c r="F16" s="10"/>
      <c r="G16" s="11"/>
      <c r="H16" s="8"/>
    </row>
    <row r="17" spans="1:8" x14ac:dyDescent="0.25">
      <c r="A17" s="8">
        <v>16</v>
      </c>
      <c r="B17" s="10"/>
      <c r="C17" s="10"/>
      <c r="D17" s="10"/>
      <c r="E17" s="10"/>
      <c r="F17" s="10"/>
      <c r="G17" s="11"/>
      <c r="H17" s="8"/>
    </row>
    <row r="18" spans="1:8" x14ac:dyDescent="0.25">
      <c r="A18" s="8">
        <v>17</v>
      </c>
      <c r="B18" s="10"/>
      <c r="C18" s="10"/>
      <c r="D18" s="10"/>
      <c r="E18" s="10"/>
      <c r="F18" s="10"/>
      <c r="G18" s="11"/>
      <c r="H18" s="8"/>
    </row>
    <row r="19" spans="1:8" x14ac:dyDescent="0.25">
      <c r="A19" s="8">
        <v>18</v>
      </c>
      <c r="B19" s="10"/>
      <c r="C19" s="10"/>
      <c r="D19" s="10"/>
      <c r="E19" s="10"/>
      <c r="F19" s="10"/>
      <c r="G19" s="11"/>
      <c r="H19" s="8"/>
    </row>
    <row r="20" spans="1:8" x14ac:dyDescent="0.25">
      <c r="A20" s="8">
        <v>19</v>
      </c>
      <c r="B20" s="10"/>
      <c r="C20" s="10"/>
      <c r="D20" s="10"/>
      <c r="E20" s="10"/>
      <c r="F20" s="10"/>
      <c r="G20" s="11"/>
      <c r="H20" s="8"/>
    </row>
    <row r="21" spans="1:8" x14ac:dyDescent="0.25">
      <c r="A21" s="8">
        <v>20</v>
      </c>
      <c r="B21" s="10"/>
      <c r="C21" s="10"/>
      <c r="D21" s="10"/>
      <c r="E21" s="10"/>
      <c r="F21" s="10"/>
      <c r="G21" s="11"/>
      <c r="H21" s="8"/>
    </row>
    <row r="22" spans="1:8" x14ac:dyDescent="0.25">
      <c r="A22" s="8">
        <v>21</v>
      </c>
      <c r="B22" s="10"/>
      <c r="C22" s="10"/>
      <c r="D22" s="10"/>
      <c r="E22" s="10"/>
      <c r="F22" s="10"/>
      <c r="G22" s="11"/>
      <c r="H22" s="8"/>
    </row>
    <row r="23" spans="1:8" x14ac:dyDescent="0.25">
      <c r="A23" s="8">
        <v>22</v>
      </c>
      <c r="B23" s="10"/>
      <c r="C23" s="10"/>
      <c r="D23" s="10"/>
      <c r="E23" s="10"/>
      <c r="F23" s="10"/>
      <c r="G23" s="11"/>
      <c r="H23" s="8"/>
    </row>
    <row r="24" spans="1:8" x14ac:dyDescent="0.25">
      <c r="A24" s="8">
        <v>23</v>
      </c>
      <c r="B24" s="10"/>
      <c r="C24" s="10"/>
      <c r="D24" s="10"/>
      <c r="E24" s="10"/>
      <c r="F24" s="10"/>
      <c r="G24" s="11"/>
      <c r="H24" s="8"/>
    </row>
    <row r="25" spans="1:8" x14ac:dyDescent="0.25">
      <c r="A25" s="8">
        <v>24</v>
      </c>
      <c r="B25" s="10"/>
      <c r="C25" s="10"/>
      <c r="D25" s="10"/>
      <c r="E25" s="10"/>
      <c r="F25" s="10"/>
      <c r="G25" s="11"/>
      <c r="H25" s="8"/>
    </row>
    <row r="26" spans="1:8" x14ac:dyDescent="0.25">
      <c r="A26" s="8">
        <v>25</v>
      </c>
      <c r="B26" s="10"/>
      <c r="C26" s="10"/>
      <c r="D26" s="10"/>
      <c r="E26" s="10"/>
      <c r="F26" s="10"/>
      <c r="G26" s="11"/>
      <c r="H26" s="8"/>
    </row>
    <row r="27" spans="1:8" x14ac:dyDescent="0.25">
      <c r="A27" s="8">
        <v>26</v>
      </c>
      <c r="B27" s="10"/>
      <c r="C27" s="10"/>
      <c r="D27" s="10"/>
      <c r="E27" s="10"/>
      <c r="F27" s="10"/>
      <c r="G27" s="11"/>
      <c r="H27" s="8"/>
    </row>
    <row r="28" spans="1:8" x14ac:dyDescent="0.25">
      <c r="A28" s="8">
        <v>27</v>
      </c>
      <c r="B28" s="10"/>
      <c r="C28" s="10"/>
      <c r="D28" s="10"/>
      <c r="E28" s="10"/>
      <c r="F28" s="10"/>
      <c r="G28" s="11"/>
      <c r="H28" s="8"/>
    </row>
    <row r="29" spans="1:8" x14ac:dyDescent="0.25">
      <c r="A29" s="8">
        <v>28</v>
      </c>
      <c r="B29" s="10"/>
      <c r="C29" s="10"/>
      <c r="D29" s="10"/>
      <c r="E29" s="10"/>
      <c r="F29" s="10"/>
      <c r="G29" s="11"/>
      <c r="H29" s="8"/>
    </row>
    <row r="30" spans="1:8" x14ac:dyDescent="0.25">
      <c r="A30" s="8">
        <v>29</v>
      </c>
      <c r="B30" s="10"/>
      <c r="C30" s="10"/>
      <c r="D30" s="10"/>
      <c r="E30" s="10"/>
      <c r="F30" s="10"/>
      <c r="G30" s="11"/>
      <c r="H30" s="8"/>
    </row>
    <row r="31" spans="1:8" x14ac:dyDescent="0.25">
      <c r="A31" s="8">
        <v>30</v>
      </c>
      <c r="B31" s="10"/>
      <c r="C31" s="10"/>
      <c r="D31" s="10"/>
      <c r="E31" s="10"/>
      <c r="F31" s="10"/>
      <c r="G31" s="11"/>
      <c r="H31" s="8"/>
    </row>
    <row r="32" spans="1:8" x14ac:dyDescent="0.25">
      <c r="A32" s="8">
        <v>31</v>
      </c>
      <c r="B32" s="10"/>
      <c r="C32" s="10"/>
      <c r="D32" s="10"/>
      <c r="E32" s="10"/>
      <c r="F32" s="10"/>
      <c r="G32" s="11"/>
      <c r="H32" s="8"/>
    </row>
    <row r="33" spans="1:8" x14ac:dyDescent="0.25">
      <c r="A33" s="8">
        <v>32</v>
      </c>
      <c r="B33" s="10"/>
      <c r="C33" s="10"/>
      <c r="D33" s="10"/>
      <c r="E33" s="10"/>
      <c r="F33" s="10"/>
      <c r="G33" s="11"/>
      <c r="H33" s="8"/>
    </row>
    <row r="34" spans="1:8" x14ac:dyDescent="0.25">
      <c r="A34" s="8">
        <v>33</v>
      </c>
      <c r="B34" s="10"/>
      <c r="C34" s="10"/>
      <c r="D34" s="10"/>
      <c r="E34" s="10"/>
      <c r="F34" s="10"/>
      <c r="G34" s="11"/>
      <c r="H34" s="8"/>
    </row>
  </sheetData>
  <mergeCells count="1">
    <mergeCell ref="A1:H2"/>
  </mergeCells>
  <conditionalFormatting sqref="C4:C11">
    <cfRule type="duplicateValues" priority="1"/>
  </conditionalFormatting>
  <dataValidations count="3">
    <dataValidation type="list" allowBlank="1" showInputMessage="1" showErrorMessage="1" sqref="G35:H107" xr:uid="{00000000-0002-0000-0700-000000000000}">
      <formula1>"implist"</formula1>
    </dataValidation>
    <dataValidation type="list" allowBlank="1" showInputMessage="1" showErrorMessage="1" sqref="F4:F11" xr:uid="{00000000-0002-0000-0700-000001000000}">
      <formula1>Status</formula1>
    </dataValidation>
    <dataValidation type="list" allowBlank="1" showInputMessage="1" showErrorMessage="1" sqref="I4:I11" xr:uid="{00000000-0002-0000-0700-000002000000}">
      <formula1>Funding</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32"/>
  <sheetViews>
    <sheetView workbookViewId="0">
      <selection activeCell="J24" sqref="J24"/>
    </sheetView>
  </sheetViews>
  <sheetFormatPr defaultColWidth="14.7109375" defaultRowHeight="15" x14ac:dyDescent="0.25"/>
  <cols>
    <col min="1" max="1" width="6.140625" style="36" customWidth="1"/>
    <col min="2" max="2" width="14.7109375" customWidth="1"/>
    <col min="3" max="3" width="30.42578125" style="9" customWidth="1"/>
    <col min="4" max="4" width="24.7109375" style="9" customWidth="1"/>
    <col min="5" max="6" width="24.7109375" style="35" customWidth="1"/>
    <col min="7" max="7" width="16.140625" customWidth="1"/>
    <col min="8" max="8" width="24.7109375" style="36" customWidth="1"/>
  </cols>
  <sheetData>
    <row r="1" spans="1:9" ht="30" customHeight="1" x14ac:dyDescent="0.25">
      <c r="A1" s="204" t="s">
        <v>71</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39" t="s">
        <v>50</v>
      </c>
      <c r="D3" s="38" t="s">
        <v>51</v>
      </c>
      <c r="E3" s="38" t="s">
        <v>52</v>
      </c>
      <c r="F3" s="38" t="s">
        <v>595</v>
      </c>
      <c r="G3" s="40" t="s">
        <v>54</v>
      </c>
      <c r="H3" s="38" t="s">
        <v>596</v>
      </c>
      <c r="I3" s="92" t="s">
        <v>23</v>
      </c>
    </row>
    <row r="4" spans="1:9" ht="30" x14ac:dyDescent="0.25">
      <c r="A4" s="30">
        <v>1</v>
      </c>
      <c r="B4" s="13" t="s">
        <v>71</v>
      </c>
      <c r="C4" s="13" t="s">
        <v>12</v>
      </c>
      <c r="D4" s="13" t="s">
        <v>62</v>
      </c>
      <c r="E4" s="13"/>
      <c r="F4" s="13" t="s">
        <v>598</v>
      </c>
      <c r="G4" s="14">
        <v>2000000</v>
      </c>
      <c r="H4" s="15">
        <v>2018</v>
      </c>
      <c r="I4" s="15" t="s">
        <v>38</v>
      </c>
    </row>
    <row r="5" spans="1:9" ht="120" x14ac:dyDescent="0.25">
      <c r="A5" s="8">
        <v>2</v>
      </c>
      <c r="B5" s="10" t="s">
        <v>71</v>
      </c>
      <c r="C5" s="10" t="s">
        <v>455</v>
      </c>
      <c r="D5" s="10" t="s">
        <v>456</v>
      </c>
      <c r="E5" s="10" t="s">
        <v>457</v>
      </c>
      <c r="F5" s="10" t="s">
        <v>29</v>
      </c>
      <c r="G5" s="11">
        <v>8000000</v>
      </c>
      <c r="H5" s="8">
        <v>2018</v>
      </c>
      <c r="I5" s="8" t="s">
        <v>34</v>
      </c>
    </row>
    <row r="6" spans="1:9" ht="90" x14ac:dyDescent="0.25">
      <c r="A6" s="30">
        <v>3</v>
      </c>
      <c r="B6" s="10" t="s">
        <v>71</v>
      </c>
      <c r="C6" s="10" t="s">
        <v>495</v>
      </c>
      <c r="D6" s="10" t="s">
        <v>496</v>
      </c>
      <c r="E6" s="10" t="s">
        <v>497</v>
      </c>
      <c r="F6" s="10" t="s">
        <v>29</v>
      </c>
      <c r="G6" s="11">
        <v>2200000</v>
      </c>
      <c r="H6" s="8">
        <v>2018</v>
      </c>
      <c r="I6" s="8" t="s">
        <v>34</v>
      </c>
    </row>
    <row r="7" spans="1:9" ht="90" x14ac:dyDescent="0.25">
      <c r="A7" s="8">
        <v>4</v>
      </c>
      <c r="B7" s="10" t="s">
        <v>71</v>
      </c>
      <c r="C7" s="10" t="s">
        <v>516</v>
      </c>
      <c r="D7" s="10" t="s">
        <v>517</v>
      </c>
      <c r="E7" s="10" t="s">
        <v>518</v>
      </c>
      <c r="F7" s="10" t="s">
        <v>29</v>
      </c>
      <c r="G7" s="11">
        <v>1500000</v>
      </c>
      <c r="H7" s="8">
        <v>2018</v>
      </c>
      <c r="I7" s="8" t="s">
        <v>34</v>
      </c>
    </row>
    <row r="8" spans="1:9" ht="75" x14ac:dyDescent="0.25">
      <c r="A8" s="30">
        <v>5</v>
      </c>
      <c r="B8" s="10" t="s">
        <v>71</v>
      </c>
      <c r="C8" s="10" t="s">
        <v>562</v>
      </c>
      <c r="D8" s="10" t="s">
        <v>563</v>
      </c>
      <c r="E8" s="10" t="s">
        <v>564</v>
      </c>
      <c r="F8" s="10" t="s">
        <v>29</v>
      </c>
      <c r="G8" s="11">
        <v>850000</v>
      </c>
      <c r="H8" s="8">
        <v>2018</v>
      </c>
      <c r="I8" s="8" t="s">
        <v>34</v>
      </c>
    </row>
    <row r="9" spans="1:9" x14ac:dyDescent="0.25">
      <c r="A9" s="30">
        <v>6</v>
      </c>
      <c r="B9" s="1"/>
      <c r="C9" s="34"/>
      <c r="D9" s="10"/>
      <c r="E9" s="10"/>
      <c r="F9" s="10"/>
      <c r="G9" s="3"/>
      <c r="H9" s="30"/>
    </row>
    <row r="10" spans="1:9" x14ac:dyDescent="0.25">
      <c r="A10" s="30">
        <v>7</v>
      </c>
      <c r="B10" s="1"/>
      <c r="C10" s="34"/>
      <c r="D10" s="10"/>
      <c r="E10" s="10"/>
      <c r="F10" s="10"/>
      <c r="G10" s="3"/>
      <c r="H10" s="8"/>
    </row>
    <row r="11" spans="1:9" x14ac:dyDescent="0.25">
      <c r="A11" s="30">
        <v>8</v>
      </c>
      <c r="B11" s="1"/>
      <c r="C11" s="34"/>
      <c r="D11" s="10"/>
      <c r="E11" s="10"/>
      <c r="F11" s="10"/>
      <c r="G11" s="3"/>
      <c r="H11" s="8"/>
    </row>
    <row r="12" spans="1:9" x14ac:dyDescent="0.25">
      <c r="A12" s="30">
        <v>9</v>
      </c>
      <c r="B12" s="1"/>
      <c r="C12" s="34"/>
      <c r="D12" s="10"/>
      <c r="E12" s="10"/>
      <c r="F12" s="10"/>
      <c r="G12" s="3"/>
      <c r="H12" s="8"/>
    </row>
    <row r="13" spans="1:9" x14ac:dyDescent="0.25">
      <c r="A13" s="30">
        <v>10</v>
      </c>
      <c r="B13" s="1"/>
      <c r="C13" s="34"/>
      <c r="D13" s="10"/>
      <c r="E13" s="10"/>
      <c r="F13" s="10"/>
      <c r="G13" s="3"/>
      <c r="H13" s="8"/>
    </row>
    <row r="14" spans="1:9" x14ac:dyDescent="0.25">
      <c r="A14" s="30">
        <v>11</v>
      </c>
      <c r="B14" s="1"/>
      <c r="C14" s="34"/>
      <c r="D14" s="10"/>
      <c r="E14" s="10"/>
      <c r="F14" s="10"/>
      <c r="G14" s="3"/>
      <c r="H14" s="8"/>
    </row>
    <row r="15" spans="1:9" x14ac:dyDescent="0.25">
      <c r="A15" s="30">
        <v>12</v>
      </c>
      <c r="B15" s="1"/>
      <c r="C15" s="34"/>
      <c r="D15" s="10"/>
      <c r="E15" s="10"/>
      <c r="F15" s="10"/>
      <c r="G15" s="3"/>
      <c r="H15" s="8"/>
    </row>
    <row r="16" spans="1:9" x14ac:dyDescent="0.25">
      <c r="A16" s="30">
        <v>13</v>
      </c>
      <c r="B16" s="1"/>
      <c r="C16" s="34"/>
      <c r="D16" s="10"/>
      <c r="E16" s="10"/>
      <c r="F16" s="10"/>
      <c r="G16" s="3"/>
      <c r="H16" s="8"/>
    </row>
    <row r="17" spans="1:8" x14ac:dyDescent="0.25">
      <c r="A17" s="30">
        <v>14</v>
      </c>
      <c r="B17" s="1"/>
      <c r="C17" s="34"/>
      <c r="D17" s="10"/>
      <c r="E17" s="10"/>
      <c r="F17" s="10"/>
      <c r="G17" s="3"/>
      <c r="H17" s="8"/>
    </row>
    <row r="18" spans="1:8" x14ac:dyDescent="0.25">
      <c r="A18" s="30">
        <v>15</v>
      </c>
      <c r="B18" s="1"/>
      <c r="C18" s="34"/>
      <c r="D18" s="10"/>
      <c r="E18" s="10"/>
      <c r="F18" s="10"/>
      <c r="G18" s="3"/>
      <c r="H18" s="8"/>
    </row>
    <row r="19" spans="1:8" x14ac:dyDescent="0.25">
      <c r="A19" s="30">
        <v>16</v>
      </c>
      <c r="B19" s="1"/>
      <c r="C19" s="34"/>
      <c r="D19" s="10"/>
      <c r="E19" s="10"/>
      <c r="F19" s="10"/>
      <c r="G19" s="3"/>
      <c r="H19" s="8"/>
    </row>
    <row r="20" spans="1:8" x14ac:dyDescent="0.25">
      <c r="A20" s="30">
        <v>17</v>
      </c>
      <c r="B20" s="1"/>
      <c r="C20" s="34"/>
      <c r="D20" s="10"/>
      <c r="E20" s="10"/>
      <c r="F20" s="10"/>
      <c r="G20" s="3"/>
      <c r="H20" s="8"/>
    </row>
    <row r="21" spans="1:8" x14ac:dyDescent="0.25">
      <c r="A21" s="30">
        <v>18</v>
      </c>
      <c r="B21" s="1"/>
      <c r="C21" s="34"/>
      <c r="D21" s="10"/>
      <c r="E21" s="10"/>
      <c r="F21" s="10"/>
      <c r="G21" s="3"/>
      <c r="H21" s="8"/>
    </row>
    <row r="22" spans="1:8" x14ac:dyDescent="0.25">
      <c r="A22" s="30">
        <v>19</v>
      </c>
      <c r="B22" s="1"/>
      <c r="C22" s="34"/>
      <c r="D22" s="10"/>
      <c r="E22" s="10"/>
      <c r="F22" s="10"/>
      <c r="G22" s="3"/>
      <c r="H22" s="8"/>
    </row>
    <row r="23" spans="1:8" x14ac:dyDescent="0.25">
      <c r="A23" s="30">
        <v>20</v>
      </c>
      <c r="B23" s="1"/>
      <c r="C23" s="34"/>
      <c r="D23" s="10"/>
      <c r="E23" s="10"/>
      <c r="F23" s="10"/>
      <c r="G23" s="3"/>
      <c r="H23" s="8"/>
    </row>
    <row r="24" spans="1:8" x14ac:dyDescent="0.25">
      <c r="A24" s="30">
        <v>21</v>
      </c>
      <c r="B24" s="1"/>
      <c r="C24" s="34"/>
      <c r="D24" s="10"/>
      <c r="E24" s="10"/>
      <c r="F24" s="10"/>
      <c r="G24" s="3"/>
      <c r="H24" s="8"/>
    </row>
    <row r="25" spans="1:8" x14ac:dyDescent="0.25">
      <c r="A25" s="30">
        <v>22</v>
      </c>
      <c r="B25" s="1"/>
      <c r="C25" s="34"/>
      <c r="D25" s="10"/>
      <c r="E25" s="10"/>
      <c r="F25" s="10"/>
      <c r="G25" s="3"/>
      <c r="H25" s="8"/>
    </row>
    <row r="26" spans="1:8" x14ac:dyDescent="0.25">
      <c r="A26" s="30">
        <v>23</v>
      </c>
      <c r="B26" s="1"/>
      <c r="C26" s="34"/>
      <c r="D26" s="10"/>
      <c r="E26" s="10"/>
      <c r="F26" s="10"/>
      <c r="G26" s="3"/>
      <c r="H26" s="8"/>
    </row>
    <row r="27" spans="1:8" x14ac:dyDescent="0.25">
      <c r="A27" s="30">
        <v>24</v>
      </c>
      <c r="B27" s="1"/>
      <c r="C27" s="34"/>
      <c r="D27" s="10"/>
      <c r="E27" s="10"/>
      <c r="F27" s="10"/>
      <c r="G27" s="3"/>
      <c r="H27" s="8"/>
    </row>
    <row r="28" spans="1:8" x14ac:dyDescent="0.25">
      <c r="A28" s="30">
        <v>25</v>
      </c>
      <c r="B28" s="1"/>
      <c r="C28" s="34"/>
      <c r="D28" s="10"/>
      <c r="E28" s="10"/>
      <c r="F28" s="10"/>
      <c r="G28" s="3"/>
      <c r="H28" s="8"/>
    </row>
    <row r="29" spans="1:8" x14ac:dyDescent="0.25">
      <c r="A29" s="30">
        <v>26</v>
      </c>
      <c r="B29" s="1"/>
      <c r="C29" s="34"/>
      <c r="D29" s="10"/>
      <c r="E29" s="10"/>
      <c r="F29" s="10"/>
      <c r="G29" s="3"/>
      <c r="H29" s="8"/>
    </row>
    <row r="30" spans="1:8" x14ac:dyDescent="0.25">
      <c r="A30" s="30">
        <v>27</v>
      </c>
      <c r="B30" s="1"/>
      <c r="C30" s="34"/>
      <c r="D30" s="10"/>
      <c r="E30" s="10"/>
      <c r="F30" s="10"/>
      <c r="G30" s="3"/>
      <c r="H30" s="8"/>
    </row>
    <row r="31" spans="1:8" x14ac:dyDescent="0.25">
      <c r="A31" s="30">
        <v>28</v>
      </c>
      <c r="B31" s="1"/>
      <c r="C31" s="34"/>
      <c r="D31" s="10"/>
      <c r="E31" s="10"/>
      <c r="F31" s="10"/>
      <c r="G31" s="3"/>
      <c r="H31" s="8"/>
    </row>
    <row r="32" spans="1:8" x14ac:dyDescent="0.25">
      <c r="A32" s="30">
        <v>29</v>
      </c>
      <c r="B32" s="1"/>
      <c r="C32" s="34"/>
      <c r="D32" s="10"/>
      <c r="E32" s="10"/>
      <c r="F32" s="10"/>
      <c r="G32" s="3"/>
      <c r="H32" s="8"/>
    </row>
  </sheetData>
  <mergeCells count="1">
    <mergeCell ref="A1:H2"/>
  </mergeCells>
  <conditionalFormatting sqref="C4:C8">
    <cfRule type="duplicateValues" priority="1"/>
  </conditionalFormatting>
  <dataValidations count="3">
    <dataValidation type="list" allowBlank="1" showInputMessage="1" showErrorMessage="1" sqref="G33:H105" xr:uid="{00000000-0002-0000-0800-000000000000}">
      <formula1>"implist"</formula1>
    </dataValidation>
    <dataValidation type="list" allowBlank="1" showInputMessage="1" showErrorMessage="1" sqref="F4:F8" xr:uid="{00000000-0002-0000-0800-000001000000}">
      <formula1>Status</formula1>
    </dataValidation>
    <dataValidation type="list" allowBlank="1" showInputMessage="1" showErrorMessage="1" sqref="I4:I8" xr:uid="{00000000-0002-0000-0800-000002000000}">
      <formula1>Funding</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33"/>
  <sheetViews>
    <sheetView workbookViewId="0">
      <selection activeCell="J24" sqref="J24"/>
    </sheetView>
  </sheetViews>
  <sheetFormatPr defaultColWidth="14.7109375" defaultRowHeight="15" x14ac:dyDescent="0.25"/>
  <cols>
    <col min="1" max="1" width="6.140625" style="36" customWidth="1"/>
    <col min="2" max="2" width="14.7109375" customWidth="1"/>
    <col min="3" max="3" width="30.42578125" style="9"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72</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39" t="s">
        <v>49</v>
      </c>
      <c r="C3" s="39" t="s">
        <v>50</v>
      </c>
      <c r="D3" s="38" t="s">
        <v>51</v>
      </c>
      <c r="E3" s="38" t="s">
        <v>52</v>
      </c>
      <c r="F3" s="38" t="s">
        <v>595</v>
      </c>
      <c r="G3" s="40" t="s">
        <v>54</v>
      </c>
      <c r="H3" s="38" t="s">
        <v>596</v>
      </c>
      <c r="I3" s="92" t="s">
        <v>23</v>
      </c>
    </row>
    <row r="4" spans="1:9" x14ac:dyDescent="0.25">
      <c r="A4" s="30">
        <v>1</v>
      </c>
      <c r="B4" s="13" t="s">
        <v>72</v>
      </c>
      <c r="C4" s="13" t="s">
        <v>13</v>
      </c>
      <c r="D4" s="13" t="s">
        <v>62</v>
      </c>
      <c r="E4" s="13"/>
      <c r="F4" s="13" t="s">
        <v>598</v>
      </c>
      <c r="G4" s="14">
        <v>20000000</v>
      </c>
      <c r="H4" s="15">
        <v>2018</v>
      </c>
      <c r="I4" s="15" t="s">
        <v>38</v>
      </c>
    </row>
    <row r="5" spans="1:9" ht="30" x14ac:dyDescent="0.25">
      <c r="A5" s="8">
        <v>2</v>
      </c>
      <c r="B5" s="13" t="s">
        <v>72</v>
      </c>
      <c r="C5" s="13" t="s">
        <v>74</v>
      </c>
      <c r="D5" s="13" t="s">
        <v>62</v>
      </c>
      <c r="E5" s="13" t="s">
        <v>75</v>
      </c>
      <c r="F5" s="13" t="s">
        <v>598</v>
      </c>
      <c r="G5" s="14">
        <v>500000</v>
      </c>
      <c r="H5" s="15">
        <v>2018</v>
      </c>
      <c r="I5" s="15" t="s">
        <v>38</v>
      </c>
    </row>
    <row r="6" spans="1:9" ht="45" x14ac:dyDescent="0.25">
      <c r="A6" s="30">
        <v>3</v>
      </c>
      <c r="B6" s="10" t="s">
        <v>72</v>
      </c>
      <c r="C6" s="10" t="s">
        <v>110</v>
      </c>
      <c r="D6" s="10" t="s">
        <v>111</v>
      </c>
      <c r="E6" s="10" t="s">
        <v>112</v>
      </c>
      <c r="F6" s="10" t="s">
        <v>29</v>
      </c>
      <c r="G6" s="11">
        <v>90000</v>
      </c>
      <c r="H6" s="8">
        <v>2018</v>
      </c>
      <c r="I6" s="8" t="s">
        <v>34</v>
      </c>
    </row>
    <row r="7" spans="1:9" ht="30" x14ac:dyDescent="0.25">
      <c r="A7" s="8">
        <v>4</v>
      </c>
      <c r="B7" s="10" t="s">
        <v>72</v>
      </c>
      <c r="C7" s="10" t="s">
        <v>156</v>
      </c>
      <c r="D7" s="10" t="s">
        <v>157</v>
      </c>
      <c r="E7" s="10" t="s">
        <v>158</v>
      </c>
      <c r="F7" s="10" t="s">
        <v>29</v>
      </c>
      <c r="G7" s="11">
        <v>300000</v>
      </c>
      <c r="H7" s="8">
        <v>2018</v>
      </c>
      <c r="I7" s="8" t="s">
        <v>34</v>
      </c>
    </row>
    <row r="8" spans="1:9" ht="30" x14ac:dyDescent="0.25">
      <c r="A8" s="30">
        <v>5</v>
      </c>
      <c r="B8" s="10" t="s">
        <v>72</v>
      </c>
      <c r="C8" s="10" t="s">
        <v>169</v>
      </c>
      <c r="D8" s="10" t="s">
        <v>170</v>
      </c>
      <c r="E8" s="10" t="s">
        <v>171</v>
      </c>
      <c r="F8" s="19" t="s">
        <v>29</v>
      </c>
      <c r="G8" s="68">
        <v>500000</v>
      </c>
      <c r="H8" s="69">
        <v>2018</v>
      </c>
      <c r="I8" s="69" t="s">
        <v>30</v>
      </c>
    </row>
    <row r="9" spans="1:9" ht="30" x14ac:dyDescent="0.25">
      <c r="A9" s="8">
        <v>6</v>
      </c>
      <c r="B9" s="10" t="s">
        <v>72</v>
      </c>
      <c r="C9" s="10" t="s">
        <v>336</v>
      </c>
      <c r="D9" s="10" t="s">
        <v>337</v>
      </c>
      <c r="E9" s="10" t="s">
        <v>338</v>
      </c>
      <c r="F9" s="10" t="s">
        <v>29</v>
      </c>
      <c r="G9" s="11">
        <v>2500000</v>
      </c>
      <c r="H9" s="8">
        <v>2018</v>
      </c>
      <c r="I9" s="8" t="s">
        <v>34</v>
      </c>
    </row>
    <row r="10" spans="1:9" x14ac:dyDescent="0.25">
      <c r="A10" s="8">
        <v>7</v>
      </c>
      <c r="B10" s="1"/>
      <c r="C10" s="1"/>
      <c r="D10" s="10"/>
      <c r="E10" s="10"/>
      <c r="F10" s="17"/>
      <c r="G10" s="3"/>
      <c r="H10" s="8"/>
    </row>
    <row r="11" spans="1:9" x14ac:dyDescent="0.25">
      <c r="A11" s="8">
        <v>8</v>
      </c>
      <c r="B11" s="1"/>
      <c r="C11" s="34"/>
      <c r="D11" s="10"/>
      <c r="E11" s="10"/>
      <c r="F11" s="17"/>
      <c r="G11" s="3"/>
      <c r="H11" s="8"/>
    </row>
    <row r="12" spans="1:9" x14ac:dyDescent="0.25">
      <c r="A12" s="8">
        <v>9</v>
      </c>
      <c r="B12" s="1"/>
      <c r="C12" s="34"/>
      <c r="D12" s="10"/>
      <c r="E12" s="10"/>
      <c r="F12" s="17"/>
      <c r="G12" s="3"/>
      <c r="H12" s="8"/>
    </row>
    <row r="13" spans="1:9" x14ac:dyDescent="0.25">
      <c r="A13" s="8">
        <v>10</v>
      </c>
      <c r="B13" s="1"/>
      <c r="C13" s="34"/>
      <c r="D13" s="10"/>
      <c r="E13" s="10"/>
      <c r="F13" s="17"/>
      <c r="G13" s="3"/>
      <c r="H13" s="8"/>
    </row>
    <row r="14" spans="1:9" x14ac:dyDescent="0.25">
      <c r="A14" s="8">
        <v>11</v>
      </c>
      <c r="B14" s="1"/>
      <c r="C14" s="34"/>
      <c r="D14" s="10"/>
      <c r="E14" s="10"/>
      <c r="F14" s="17"/>
      <c r="G14" s="3"/>
      <c r="H14" s="8"/>
    </row>
    <row r="15" spans="1:9" x14ac:dyDescent="0.25">
      <c r="A15" s="8">
        <v>12</v>
      </c>
      <c r="B15" s="1"/>
      <c r="C15" s="34"/>
      <c r="D15" s="10"/>
      <c r="E15" s="10"/>
      <c r="F15" s="17"/>
      <c r="G15" s="3"/>
      <c r="H15" s="8"/>
    </row>
    <row r="16" spans="1:9" x14ac:dyDescent="0.25">
      <c r="A16" s="8">
        <v>13</v>
      </c>
      <c r="B16" s="1"/>
      <c r="C16" s="34"/>
      <c r="D16" s="10"/>
      <c r="E16" s="10"/>
      <c r="F16" s="17"/>
      <c r="G16" s="3"/>
      <c r="H16" s="8"/>
    </row>
    <row r="17" spans="1:8" x14ac:dyDescent="0.25">
      <c r="A17" s="8">
        <v>14</v>
      </c>
      <c r="B17" s="1"/>
      <c r="C17" s="34"/>
      <c r="D17" s="10"/>
      <c r="E17" s="10"/>
      <c r="F17" s="17"/>
      <c r="G17" s="3"/>
      <c r="H17" s="8"/>
    </row>
    <row r="18" spans="1:8" x14ac:dyDescent="0.25">
      <c r="A18" s="8">
        <v>15</v>
      </c>
      <c r="B18" s="1"/>
      <c r="C18" s="34"/>
      <c r="D18" s="10"/>
      <c r="E18" s="10"/>
      <c r="F18" s="17"/>
      <c r="G18" s="3"/>
      <c r="H18" s="8"/>
    </row>
    <row r="19" spans="1:8" x14ac:dyDescent="0.25">
      <c r="A19" s="8">
        <v>16</v>
      </c>
      <c r="B19" s="1"/>
      <c r="C19" s="34"/>
      <c r="D19" s="10"/>
      <c r="E19" s="10"/>
      <c r="F19" s="17"/>
      <c r="G19" s="3"/>
      <c r="H19" s="8"/>
    </row>
    <row r="20" spans="1:8" x14ac:dyDescent="0.25">
      <c r="A20" s="8">
        <v>17</v>
      </c>
      <c r="B20" s="1"/>
      <c r="C20" s="34"/>
      <c r="D20" s="10"/>
      <c r="E20" s="10"/>
      <c r="F20" s="17"/>
      <c r="G20" s="3"/>
      <c r="H20" s="8"/>
    </row>
    <row r="21" spans="1:8" x14ac:dyDescent="0.25">
      <c r="A21" s="8">
        <v>18</v>
      </c>
      <c r="B21" s="1"/>
      <c r="C21" s="34"/>
      <c r="D21" s="10"/>
      <c r="E21" s="10"/>
      <c r="F21" s="17"/>
      <c r="G21" s="3"/>
      <c r="H21" s="8"/>
    </row>
    <row r="22" spans="1:8" x14ac:dyDescent="0.25">
      <c r="A22" s="8">
        <v>19</v>
      </c>
      <c r="B22" s="1"/>
      <c r="C22" s="34"/>
      <c r="D22" s="10"/>
      <c r="E22" s="10"/>
      <c r="F22" s="17"/>
      <c r="G22" s="3"/>
      <c r="H22" s="8"/>
    </row>
    <row r="23" spans="1:8" x14ac:dyDescent="0.25">
      <c r="A23" s="8">
        <v>20</v>
      </c>
      <c r="B23" s="1"/>
      <c r="C23" s="34"/>
      <c r="D23" s="10"/>
      <c r="E23" s="10"/>
      <c r="F23" s="17"/>
      <c r="G23" s="3"/>
      <c r="H23" s="8"/>
    </row>
    <row r="24" spans="1:8" x14ac:dyDescent="0.25">
      <c r="A24" s="8">
        <v>21</v>
      </c>
      <c r="B24" s="1"/>
      <c r="C24" s="34"/>
      <c r="D24" s="10"/>
      <c r="E24" s="10"/>
      <c r="F24" s="17"/>
      <c r="G24" s="3"/>
      <c r="H24" s="8"/>
    </row>
    <row r="25" spans="1:8" x14ac:dyDescent="0.25">
      <c r="A25" s="8">
        <v>22</v>
      </c>
      <c r="B25" s="1"/>
      <c r="C25" s="34"/>
      <c r="D25" s="10"/>
      <c r="E25" s="10"/>
      <c r="F25" s="17"/>
      <c r="G25" s="3"/>
      <c r="H25" s="8"/>
    </row>
    <row r="26" spans="1:8" x14ac:dyDescent="0.25">
      <c r="A26" s="8">
        <v>23</v>
      </c>
      <c r="B26" s="1"/>
      <c r="C26" s="34"/>
      <c r="D26" s="10"/>
      <c r="E26" s="10"/>
      <c r="F26" s="17"/>
      <c r="G26" s="3"/>
      <c r="H26" s="8"/>
    </row>
    <row r="27" spans="1:8" x14ac:dyDescent="0.25">
      <c r="A27" s="8">
        <v>24</v>
      </c>
      <c r="B27" s="1"/>
      <c r="C27" s="34"/>
      <c r="D27" s="10"/>
      <c r="E27" s="10"/>
      <c r="F27" s="17"/>
      <c r="G27" s="3"/>
      <c r="H27" s="8"/>
    </row>
    <row r="28" spans="1:8" x14ac:dyDescent="0.25">
      <c r="A28" s="8">
        <v>25</v>
      </c>
      <c r="B28" s="1"/>
      <c r="C28" s="34"/>
      <c r="D28" s="10"/>
      <c r="E28" s="10"/>
      <c r="F28" s="17"/>
      <c r="G28" s="3"/>
      <c r="H28" s="8"/>
    </row>
    <row r="29" spans="1:8" x14ac:dyDescent="0.25">
      <c r="A29" s="8">
        <v>26</v>
      </c>
      <c r="B29" s="1"/>
      <c r="C29" s="34"/>
      <c r="D29" s="10"/>
      <c r="E29" s="10"/>
      <c r="F29" s="17"/>
      <c r="G29" s="3"/>
      <c r="H29" s="8"/>
    </row>
    <row r="30" spans="1:8" x14ac:dyDescent="0.25">
      <c r="A30" s="8">
        <v>27</v>
      </c>
      <c r="B30" s="1"/>
      <c r="C30" s="34"/>
      <c r="D30" s="10"/>
      <c r="E30" s="10"/>
      <c r="F30" s="17"/>
      <c r="G30" s="3"/>
      <c r="H30" s="8"/>
    </row>
    <row r="31" spans="1:8" x14ac:dyDescent="0.25">
      <c r="A31" s="8">
        <v>28</v>
      </c>
      <c r="B31" s="1"/>
      <c r="C31" s="34"/>
      <c r="D31" s="10"/>
      <c r="E31" s="10"/>
      <c r="F31" s="17"/>
      <c r="G31" s="3"/>
      <c r="H31" s="8"/>
    </row>
    <row r="32" spans="1:8" x14ac:dyDescent="0.25">
      <c r="A32" s="8">
        <v>29</v>
      </c>
      <c r="B32" s="1"/>
      <c r="C32" s="34"/>
      <c r="D32" s="10"/>
      <c r="E32" s="10"/>
      <c r="F32" s="17"/>
      <c r="G32" s="3"/>
      <c r="H32" s="8"/>
    </row>
    <row r="33" spans="1:8" x14ac:dyDescent="0.25">
      <c r="A33" s="8">
        <v>30</v>
      </c>
      <c r="B33" s="1"/>
      <c r="C33" s="34"/>
      <c r="D33" s="10"/>
      <c r="E33" s="10"/>
      <c r="F33" s="17"/>
      <c r="G33" s="3"/>
      <c r="H33" s="8"/>
    </row>
  </sheetData>
  <mergeCells count="1">
    <mergeCell ref="A1:H2"/>
  </mergeCells>
  <conditionalFormatting sqref="C4:C9">
    <cfRule type="duplicateValues" priority="1"/>
  </conditionalFormatting>
  <dataValidations count="3">
    <dataValidation type="list" allowBlank="1" showInputMessage="1" showErrorMessage="1" sqref="G34:H106" xr:uid="{00000000-0002-0000-0900-000000000000}">
      <formula1>"implist"</formula1>
    </dataValidation>
    <dataValidation type="list" allowBlank="1" showInputMessage="1" showErrorMessage="1" sqref="F4:F9" xr:uid="{00000000-0002-0000-0900-000001000000}">
      <formula1>Status</formula1>
    </dataValidation>
    <dataValidation type="list" allowBlank="1" showInputMessage="1" showErrorMessage="1" sqref="I4:I9" xr:uid="{00000000-0002-0000-0900-000002000000}">
      <formula1>Funding</formula1>
    </dataValidation>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35"/>
  <sheetViews>
    <sheetView topLeftCell="A7" workbookViewId="0">
      <selection activeCell="J24" sqref="J24"/>
    </sheetView>
  </sheetViews>
  <sheetFormatPr defaultColWidth="14.7109375" defaultRowHeight="15" x14ac:dyDescent="0.25"/>
  <cols>
    <col min="1" max="1" width="6.140625" style="36" customWidth="1"/>
    <col min="2" max="2" width="14.7109375" customWidth="1"/>
    <col min="3" max="3" width="34.5703125" customWidth="1"/>
    <col min="4" max="4" width="24.7109375" style="9" customWidth="1"/>
    <col min="5" max="5" width="46.28515625" style="35" customWidth="1"/>
    <col min="6" max="6" width="24.7109375" style="37" customWidth="1"/>
    <col min="7" max="7" width="16.140625" customWidth="1"/>
    <col min="8" max="8" width="24.7109375" style="36" customWidth="1"/>
  </cols>
  <sheetData>
    <row r="1" spans="1:9" ht="30" customHeight="1" x14ac:dyDescent="0.25">
      <c r="A1" s="204" t="s">
        <v>159</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ht="180" x14ac:dyDescent="0.25">
      <c r="A4" s="30">
        <v>1</v>
      </c>
      <c r="B4" s="10" t="s">
        <v>159</v>
      </c>
      <c r="C4" s="10" t="s">
        <v>262</v>
      </c>
      <c r="D4" s="10" t="s">
        <v>263</v>
      </c>
      <c r="E4" s="10" t="s">
        <v>264</v>
      </c>
      <c r="F4" s="10" t="s">
        <v>29</v>
      </c>
      <c r="G4" s="11">
        <v>500000</v>
      </c>
      <c r="H4" s="8">
        <v>2018</v>
      </c>
      <c r="I4" s="8" t="s">
        <v>30</v>
      </c>
    </row>
    <row r="5" spans="1:9" ht="200.25" customHeight="1" x14ac:dyDescent="0.25">
      <c r="A5" s="8">
        <v>2</v>
      </c>
      <c r="B5" s="10" t="s">
        <v>659</v>
      </c>
      <c r="C5" s="10" t="s">
        <v>211</v>
      </c>
      <c r="D5" s="10" t="s">
        <v>212</v>
      </c>
      <c r="E5" s="10" t="s">
        <v>213</v>
      </c>
      <c r="F5" s="10" t="s">
        <v>29</v>
      </c>
      <c r="G5" s="11">
        <v>25000</v>
      </c>
      <c r="H5" s="8">
        <v>2018</v>
      </c>
      <c r="I5" s="8" t="s">
        <v>30</v>
      </c>
    </row>
    <row r="6" spans="1:9" ht="150" x14ac:dyDescent="0.25">
      <c r="A6" s="30">
        <v>3</v>
      </c>
      <c r="B6" s="10" t="s">
        <v>159</v>
      </c>
      <c r="C6" s="10" t="s">
        <v>416</v>
      </c>
      <c r="D6" s="10" t="s">
        <v>417</v>
      </c>
      <c r="E6" s="10" t="s">
        <v>418</v>
      </c>
      <c r="F6" s="10" t="s">
        <v>29</v>
      </c>
      <c r="G6" s="11">
        <v>45000</v>
      </c>
      <c r="H6" s="8">
        <v>2018</v>
      </c>
      <c r="I6" s="8" t="s">
        <v>30</v>
      </c>
    </row>
    <row r="7" spans="1:9" ht="30" x14ac:dyDescent="0.25">
      <c r="A7" s="8">
        <v>4</v>
      </c>
      <c r="B7" s="23" t="s">
        <v>159</v>
      </c>
      <c r="C7" s="9" t="s">
        <v>575</v>
      </c>
      <c r="D7" s="10" t="s">
        <v>576</v>
      </c>
      <c r="E7" s="10" t="s">
        <v>577</v>
      </c>
      <c r="F7" s="23" t="s">
        <v>29</v>
      </c>
      <c r="G7" s="11">
        <v>350000</v>
      </c>
      <c r="H7" s="8">
        <v>2018</v>
      </c>
      <c r="I7" s="8" t="s">
        <v>34</v>
      </c>
    </row>
    <row r="8" spans="1:9" x14ac:dyDescent="0.25">
      <c r="A8" s="30">
        <v>5</v>
      </c>
      <c r="B8" s="19"/>
      <c r="C8" s="19"/>
      <c r="D8" s="19"/>
      <c r="E8" s="19"/>
      <c r="F8" s="19"/>
      <c r="G8" s="21"/>
      <c r="H8" s="22"/>
    </row>
    <row r="9" spans="1:9" x14ac:dyDescent="0.25">
      <c r="A9" s="8">
        <v>6</v>
      </c>
      <c r="B9" s="10"/>
      <c r="C9" s="10"/>
      <c r="D9" s="10"/>
      <c r="E9" s="10"/>
      <c r="F9" s="10"/>
      <c r="G9" s="11"/>
      <c r="H9" s="8"/>
    </row>
    <row r="10" spans="1:9" x14ac:dyDescent="0.25">
      <c r="A10" s="8">
        <v>7</v>
      </c>
      <c r="B10" s="10"/>
      <c r="C10" s="19"/>
      <c r="D10" s="19"/>
      <c r="E10" s="19"/>
      <c r="F10" s="19"/>
      <c r="G10" s="21"/>
      <c r="H10" s="22"/>
    </row>
    <row r="11" spans="1:9" x14ac:dyDescent="0.25">
      <c r="A11" s="8">
        <v>8</v>
      </c>
      <c r="B11" s="10"/>
      <c r="C11" s="19"/>
      <c r="D11" s="19"/>
      <c r="E11" s="19"/>
      <c r="F11" s="19"/>
      <c r="G11" s="21"/>
      <c r="H11" s="22"/>
    </row>
    <row r="12" spans="1:9" x14ac:dyDescent="0.25">
      <c r="A12" s="8">
        <v>9</v>
      </c>
      <c r="B12" s="10"/>
      <c r="C12" s="10"/>
      <c r="D12" s="10"/>
      <c r="E12" s="10"/>
      <c r="F12" s="10"/>
      <c r="G12" s="11"/>
      <c r="H12" s="8"/>
    </row>
    <row r="13" spans="1:9" x14ac:dyDescent="0.25">
      <c r="A13" s="8">
        <v>11</v>
      </c>
      <c r="B13" s="10"/>
      <c r="C13" s="10"/>
      <c r="D13" s="10"/>
      <c r="E13" s="10"/>
      <c r="F13" s="10"/>
      <c r="G13" s="11"/>
      <c r="H13" s="8"/>
    </row>
    <row r="14" spans="1:9" x14ac:dyDescent="0.25">
      <c r="A14" s="8">
        <v>12</v>
      </c>
      <c r="B14" s="10"/>
      <c r="C14" s="10"/>
      <c r="D14" s="10"/>
      <c r="E14" s="10"/>
      <c r="F14" s="10"/>
      <c r="G14" s="11"/>
      <c r="H14" s="8"/>
    </row>
    <row r="15" spans="1:9" x14ac:dyDescent="0.25">
      <c r="A15" s="8">
        <v>13</v>
      </c>
      <c r="B15" s="10"/>
      <c r="C15" s="10"/>
      <c r="D15" s="10"/>
      <c r="E15" s="10"/>
      <c r="F15" s="10"/>
      <c r="G15" s="11"/>
      <c r="H15" s="8"/>
    </row>
    <row r="16" spans="1:9" x14ac:dyDescent="0.25">
      <c r="A16" s="8">
        <v>14</v>
      </c>
      <c r="B16" s="10"/>
      <c r="C16" s="10"/>
      <c r="D16" s="10"/>
      <c r="E16" s="10"/>
      <c r="F16" s="10"/>
      <c r="G16" s="11"/>
      <c r="H16" s="8"/>
    </row>
    <row r="17" spans="1:8" x14ac:dyDescent="0.25">
      <c r="A17" s="8">
        <v>15</v>
      </c>
      <c r="B17" s="10"/>
      <c r="C17" s="10"/>
      <c r="D17" s="10"/>
      <c r="E17" s="10"/>
      <c r="F17" s="10"/>
      <c r="G17" s="11"/>
      <c r="H17" s="8"/>
    </row>
    <row r="18" spans="1:8" x14ac:dyDescent="0.25">
      <c r="A18" s="8">
        <v>16</v>
      </c>
      <c r="B18" s="10"/>
      <c r="C18" s="10"/>
      <c r="D18" s="10"/>
      <c r="E18" s="10"/>
      <c r="F18" s="10"/>
      <c r="G18" s="11"/>
      <c r="H18" s="8"/>
    </row>
    <row r="19" spans="1:8" x14ac:dyDescent="0.25">
      <c r="A19" s="8">
        <v>17</v>
      </c>
      <c r="B19" s="10"/>
      <c r="C19" s="10"/>
      <c r="D19" s="10"/>
      <c r="E19" s="10"/>
      <c r="F19" s="10"/>
      <c r="G19" s="11"/>
      <c r="H19" s="8"/>
    </row>
    <row r="20" spans="1:8" x14ac:dyDescent="0.25">
      <c r="A20" s="8">
        <v>18</v>
      </c>
      <c r="B20" s="10"/>
      <c r="C20" s="10"/>
      <c r="D20" s="10"/>
      <c r="E20" s="10"/>
      <c r="F20" s="10"/>
      <c r="G20" s="11"/>
      <c r="H20" s="8"/>
    </row>
    <row r="21" spans="1:8" x14ac:dyDescent="0.25">
      <c r="A21" s="8">
        <v>19</v>
      </c>
      <c r="B21" s="10"/>
      <c r="C21" s="10"/>
      <c r="D21" s="10"/>
      <c r="E21" s="10"/>
      <c r="F21" s="10"/>
      <c r="G21" s="11"/>
      <c r="H21" s="8"/>
    </row>
    <row r="22" spans="1:8" x14ac:dyDescent="0.25">
      <c r="A22" s="8">
        <v>20</v>
      </c>
      <c r="B22" s="10"/>
      <c r="C22" s="10"/>
      <c r="D22" s="10"/>
      <c r="E22" s="10"/>
      <c r="F22" s="10"/>
      <c r="G22" s="11"/>
      <c r="H22" s="8"/>
    </row>
    <row r="23" spans="1:8" x14ac:dyDescent="0.25">
      <c r="A23" s="8">
        <v>21</v>
      </c>
      <c r="B23" s="10"/>
      <c r="C23" s="10"/>
      <c r="D23" s="10"/>
      <c r="E23" s="10"/>
      <c r="F23" s="10"/>
      <c r="G23" s="11"/>
      <c r="H23" s="8"/>
    </row>
    <row r="24" spans="1:8" x14ac:dyDescent="0.25">
      <c r="A24" s="8">
        <v>22</v>
      </c>
      <c r="B24" s="10"/>
      <c r="C24" s="10"/>
      <c r="D24" s="10"/>
      <c r="E24" s="10"/>
      <c r="F24" s="10"/>
      <c r="G24" s="11"/>
      <c r="H24" s="8"/>
    </row>
    <row r="25" spans="1:8" x14ac:dyDescent="0.25">
      <c r="A25" s="8">
        <v>23</v>
      </c>
      <c r="B25" s="10"/>
      <c r="C25" s="10"/>
      <c r="D25" s="10"/>
      <c r="E25" s="10"/>
      <c r="F25" s="10"/>
      <c r="G25" s="11"/>
      <c r="H25" s="8"/>
    </row>
    <row r="26" spans="1:8" x14ac:dyDescent="0.25">
      <c r="A26" s="8">
        <v>24</v>
      </c>
      <c r="B26" s="10"/>
      <c r="C26" s="10"/>
      <c r="D26" s="10"/>
      <c r="E26" s="10"/>
      <c r="F26" s="10"/>
      <c r="G26" s="11"/>
      <c r="H26" s="8"/>
    </row>
    <row r="27" spans="1:8" x14ac:dyDescent="0.25">
      <c r="A27" s="8">
        <v>25</v>
      </c>
      <c r="B27" s="10"/>
      <c r="C27" s="10"/>
      <c r="D27" s="10"/>
      <c r="E27" s="10"/>
      <c r="F27" s="10"/>
      <c r="G27" s="11"/>
      <c r="H27" s="8"/>
    </row>
    <row r="28" spans="1:8" x14ac:dyDescent="0.25">
      <c r="A28" s="8">
        <v>26</v>
      </c>
      <c r="B28" s="10"/>
      <c r="C28" s="10"/>
      <c r="D28" s="10"/>
      <c r="E28" s="10"/>
      <c r="F28" s="10"/>
      <c r="G28" s="11"/>
      <c r="H28" s="8"/>
    </row>
    <row r="29" spans="1:8" x14ac:dyDescent="0.25">
      <c r="A29" s="8">
        <v>27</v>
      </c>
      <c r="B29" s="10"/>
      <c r="C29" s="10"/>
      <c r="D29" s="10"/>
      <c r="E29" s="10"/>
      <c r="F29" s="10"/>
      <c r="G29" s="11"/>
      <c r="H29" s="8"/>
    </row>
    <row r="30" spans="1:8" x14ac:dyDescent="0.25">
      <c r="A30" s="8">
        <v>28</v>
      </c>
      <c r="B30" s="10"/>
      <c r="C30" s="10"/>
      <c r="D30" s="10"/>
      <c r="E30" s="10"/>
      <c r="F30" s="10"/>
      <c r="G30" s="11"/>
      <c r="H30" s="8"/>
    </row>
    <row r="31" spans="1:8" x14ac:dyDescent="0.25">
      <c r="A31" s="8">
        <v>29</v>
      </c>
      <c r="B31" s="10"/>
      <c r="C31" s="10"/>
      <c r="D31" s="10"/>
      <c r="E31" s="10"/>
      <c r="F31" s="10"/>
      <c r="G31" s="11"/>
      <c r="H31" s="8"/>
    </row>
    <row r="32" spans="1:8" x14ac:dyDescent="0.25">
      <c r="A32" s="8">
        <v>30</v>
      </c>
      <c r="B32" s="10"/>
      <c r="C32" s="10"/>
      <c r="D32" s="10"/>
      <c r="E32" s="10"/>
      <c r="F32" s="10"/>
      <c r="G32" s="11"/>
      <c r="H32" s="8"/>
    </row>
    <row r="33" spans="1:8" x14ac:dyDescent="0.25">
      <c r="A33" s="8">
        <v>31</v>
      </c>
      <c r="B33" s="10"/>
      <c r="C33" s="10"/>
      <c r="D33" s="10"/>
      <c r="E33" s="10"/>
      <c r="F33" s="10"/>
      <c r="G33" s="11"/>
      <c r="H33" s="8"/>
    </row>
    <row r="34" spans="1:8" x14ac:dyDescent="0.25">
      <c r="A34" s="8">
        <v>32</v>
      </c>
      <c r="B34" s="10"/>
      <c r="C34" s="10"/>
      <c r="D34" s="10"/>
      <c r="E34" s="10"/>
      <c r="F34" s="10"/>
      <c r="G34" s="11"/>
      <c r="H34" s="8"/>
    </row>
    <row r="35" spans="1:8" x14ac:dyDescent="0.25">
      <c r="A35" s="8">
        <v>33</v>
      </c>
      <c r="B35" s="10"/>
      <c r="C35" s="10"/>
      <c r="D35" s="10"/>
      <c r="E35" s="10"/>
      <c r="F35" s="10"/>
      <c r="G35" s="11"/>
      <c r="H35" s="8"/>
    </row>
  </sheetData>
  <mergeCells count="1">
    <mergeCell ref="A1:H2"/>
  </mergeCells>
  <conditionalFormatting sqref="C5">
    <cfRule type="duplicateValues" priority="1"/>
  </conditionalFormatting>
  <conditionalFormatting sqref="C6:C7 C4">
    <cfRule type="duplicateValues" priority="2"/>
  </conditionalFormatting>
  <dataValidations count="3">
    <dataValidation type="list" allowBlank="1" showInputMessage="1" showErrorMessage="1" sqref="G36:H108" xr:uid="{00000000-0002-0000-0A00-000000000000}">
      <formula1>"implist"</formula1>
    </dataValidation>
    <dataValidation type="list" allowBlank="1" showInputMessage="1" showErrorMessage="1" sqref="F4:F7" xr:uid="{00000000-0002-0000-0A00-000001000000}">
      <formula1>Status</formula1>
    </dataValidation>
    <dataValidation type="list" allowBlank="1" showInputMessage="1" showErrorMessage="1" sqref="I4:I7" xr:uid="{00000000-0002-0000-0A00-000002000000}">
      <formula1>Funding</formula1>
    </dataValidation>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I33"/>
  <sheetViews>
    <sheetView workbookViewId="0">
      <selection activeCell="J24" sqref="J24"/>
    </sheetView>
  </sheetViews>
  <sheetFormatPr defaultColWidth="14.7109375" defaultRowHeight="15" x14ac:dyDescent="0.25"/>
  <cols>
    <col min="1" max="1" width="6.140625" style="36" customWidth="1"/>
    <col min="2" max="2" width="14.7109375" customWidth="1"/>
    <col min="3" max="4" width="24.7109375" style="9" customWidth="1"/>
    <col min="5" max="6" width="24.7109375" style="35" customWidth="1"/>
    <col min="7" max="7" width="24.7109375" customWidth="1"/>
    <col min="8" max="8" width="24.7109375" style="36" customWidth="1"/>
  </cols>
  <sheetData>
    <row r="1" spans="1:9" ht="30" customHeight="1" x14ac:dyDescent="0.25">
      <c r="A1" s="204" t="s">
        <v>597</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39" t="s">
        <v>49</v>
      </c>
      <c r="C3" s="39" t="s">
        <v>50</v>
      </c>
      <c r="D3" s="38" t="s">
        <v>51</v>
      </c>
      <c r="E3" s="38" t="s">
        <v>52</v>
      </c>
      <c r="F3" s="38" t="s">
        <v>595</v>
      </c>
      <c r="G3" s="40" t="s">
        <v>54</v>
      </c>
      <c r="H3" s="38" t="s">
        <v>596</v>
      </c>
      <c r="I3" s="92" t="s">
        <v>23</v>
      </c>
    </row>
    <row r="4" spans="1:9" ht="120" x14ac:dyDescent="0.25">
      <c r="A4" s="30">
        <v>1</v>
      </c>
      <c r="B4" s="10" t="s">
        <v>220</v>
      </c>
      <c r="C4" s="10" t="s">
        <v>221</v>
      </c>
      <c r="D4" s="43" t="s">
        <v>222</v>
      </c>
      <c r="E4" s="43" t="s">
        <v>223</v>
      </c>
      <c r="F4" s="10" t="s">
        <v>29</v>
      </c>
      <c r="G4" s="11" t="s">
        <v>224</v>
      </c>
      <c r="H4" s="8">
        <v>2018</v>
      </c>
      <c r="I4" s="8" t="s">
        <v>34</v>
      </c>
    </row>
    <row r="5" spans="1:9" ht="45" x14ac:dyDescent="0.25">
      <c r="A5" s="8">
        <v>2</v>
      </c>
      <c r="B5" s="10" t="s">
        <v>220</v>
      </c>
      <c r="C5" s="10" t="s">
        <v>339</v>
      </c>
      <c r="D5" s="10" t="s">
        <v>340</v>
      </c>
      <c r="E5" s="10" t="s">
        <v>341</v>
      </c>
      <c r="F5" s="10" t="s">
        <v>29</v>
      </c>
      <c r="G5" s="11" t="s">
        <v>224</v>
      </c>
      <c r="H5" s="8">
        <v>2018</v>
      </c>
      <c r="I5" s="8" t="s">
        <v>34</v>
      </c>
    </row>
    <row r="6" spans="1:9" x14ac:dyDescent="0.25">
      <c r="A6" s="30">
        <v>3</v>
      </c>
      <c r="B6" s="1"/>
      <c r="C6" s="34"/>
      <c r="D6" s="10"/>
      <c r="E6" s="42"/>
      <c r="F6" s="10"/>
      <c r="G6" s="3"/>
      <c r="H6" s="30"/>
    </row>
    <row r="7" spans="1:9" x14ac:dyDescent="0.25">
      <c r="A7" s="8">
        <v>4</v>
      </c>
      <c r="B7" s="1"/>
      <c r="C7" s="34"/>
      <c r="D7" s="10"/>
      <c r="E7" s="42"/>
      <c r="F7" s="10"/>
      <c r="G7" s="3"/>
      <c r="H7" s="30"/>
    </row>
    <row r="8" spans="1:9" x14ac:dyDescent="0.25">
      <c r="A8" s="30">
        <v>5</v>
      </c>
      <c r="B8" s="1"/>
      <c r="C8" s="34"/>
      <c r="D8" s="10"/>
      <c r="E8" s="42"/>
      <c r="F8" s="10"/>
      <c r="G8" s="3"/>
      <c r="H8" s="30"/>
    </row>
    <row r="9" spans="1:9" x14ac:dyDescent="0.25">
      <c r="A9" s="8">
        <v>6</v>
      </c>
      <c r="B9" s="1"/>
      <c r="C9" s="34"/>
      <c r="D9" s="10"/>
      <c r="E9" s="42"/>
      <c r="F9" s="10"/>
      <c r="G9" s="3"/>
      <c r="H9" s="30"/>
    </row>
    <row r="10" spans="1:9" x14ac:dyDescent="0.25">
      <c r="A10" s="8">
        <v>7</v>
      </c>
      <c r="B10" s="1"/>
      <c r="C10" s="34"/>
      <c r="D10" s="10"/>
      <c r="E10" s="10"/>
      <c r="F10" s="10"/>
      <c r="G10" s="3"/>
      <c r="H10" s="30"/>
    </row>
    <row r="11" spans="1:9" x14ac:dyDescent="0.25">
      <c r="A11" s="8">
        <v>8</v>
      </c>
      <c r="B11" s="1"/>
      <c r="C11" s="34"/>
      <c r="D11" s="10"/>
      <c r="E11" s="10"/>
      <c r="F11" s="10"/>
      <c r="G11" s="3"/>
      <c r="H11" s="8"/>
    </row>
    <row r="12" spans="1:9" x14ac:dyDescent="0.25">
      <c r="A12" s="8">
        <v>9</v>
      </c>
      <c r="B12" s="1"/>
      <c r="C12" s="34"/>
      <c r="D12" s="10"/>
      <c r="E12" s="10"/>
      <c r="F12" s="10"/>
      <c r="G12" s="3"/>
      <c r="H12" s="8"/>
    </row>
    <row r="13" spans="1:9" x14ac:dyDescent="0.25">
      <c r="A13" s="8">
        <v>10</v>
      </c>
      <c r="B13" s="1"/>
      <c r="C13" s="34"/>
      <c r="D13" s="10"/>
      <c r="E13" s="10"/>
      <c r="F13" s="10"/>
      <c r="G13" s="3"/>
      <c r="H13" s="8"/>
    </row>
    <row r="14" spans="1:9" x14ac:dyDescent="0.25">
      <c r="A14" s="8">
        <v>11</v>
      </c>
      <c r="B14" s="1"/>
      <c r="C14" s="34"/>
      <c r="D14" s="10"/>
      <c r="E14" s="10"/>
      <c r="F14" s="10"/>
      <c r="G14" s="3"/>
      <c r="H14" s="8"/>
    </row>
    <row r="15" spans="1:9" x14ac:dyDescent="0.25">
      <c r="A15" s="8">
        <v>12</v>
      </c>
      <c r="B15" s="1"/>
      <c r="C15" s="34"/>
      <c r="D15" s="10"/>
      <c r="E15" s="10"/>
      <c r="F15" s="10"/>
      <c r="G15" s="3"/>
      <c r="H15" s="8"/>
    </row>
    <row r="16" spans="1:9" x14ac:dyDescent="0.25">
      <c r="A16" s="8">
        <v>13</v>
      </c>
      <c r="B16" s="1"/>
      <c r="C16" s="34"/>
      <c r="D16" s="10"/>
      <c r="E16" s="10"/>
      <c r="F16" s="10"/>
      <c r="G16" s="3"/>
      <c r="H16" s="8"/>
    </row>
    <row r="17" spans="1:8" x14ac:dyDescent="0.25">
      <c r="A17" s="8">
        <v>14</v>
      </c>
      <c r="B17" s="1"/>
      <c r="C17" s="34"/>
      <c r="D17" s="10"/>
      <c r="E17" s="10"/>
      <c r="F17" s="10"/>
      <c r="G17" s="3"/>
      <c r="H17" s="8"/>
    </row>
    <row r="18" spans="1:8" x14ac:dyDescent="0.25">
      <c r="A18" s="8">
        <v>15</v>
      </c>
      <c r="B18" s="1"/>
      <c r="C18" s="34"/>
      <c r="D18" s="10"/>
      <c r="E18" s="10"/>
      <c r="F18" s="10"/>
      <c r="G18" s="3"/>
      <c r="H18" s="8"/>
    </row>
    <row r="19" spans="1:8" x14ac:dyDescent="0.25">
      <c r="A19" s="8">
        <v>16</v>
      </c>
      <c r="B19" s="1"/>
      <c r="C19" s="34"/>
      <c r="D19" s="10"/>
      <c r="E19" s="10"/>
      <c r="F19" s="10"/>
      <c r="G19" s="3"/>
      <c r="H19" s="8"/>
    </row>
    <row r="20" spans="1:8" x14ac:dyDescent="0.25">
      <c r="A20" s="8">
        <v>17</v>
      </c>
      <c r="B20" s="1"/>
      <c r="C20" s="34"/>
      <c r="D20" s="10"/>
      <c r="E20" s="10"/>
      <c r="F20" s="10"/>
      <c r="G20" s="3"/>
      <c r="H20" s="8"/>
    </row>
    <row r="21" spans="1:8" x14ac:dyDescent="0.25">
      <c r="A21" s="8">
        <v>18</v>
      </c>
      <c r="B21" s="1"/>
      <c r="C21" s="34"/>
      <c r="D21" s="10"/>
      <c r="E21" s="10"/>
      <c r="F21" s="10"/>
      <c r="G21" s="3"/>
      <c r="H21" s="8"/>
    </row>
    <row r="22" spans="1:8" x14ac:dyDescent="0.25">
      <c r="A22" s="8">
        <v>19</v>
      </c>
      <c r="B22" s="1"/>
      <c r="C22" s="34"/>
      <c r="D22" s="10"/>
      <c r="E22" s="10"/>
      <c r="F22" s="10"/>
      <c r="G22" s="3"/>
      <c r="H22" s="8"/>
    </row>
    <row r="23" spans="1:8" x14ac:dyDescent="0.25">
      <c r="A23" s="8">
        <v>20</v>
      </c>
      <c r="B23" s="1"/>
      <c r="C23" s="34"/>
      <c r="D23" s="10"/>
      <c r="E23" s="10"/>
      <c r="F23" s="10"/>
      <c r="G23" s="3"/>
      <c r="H23" s="8"/>
    </row>
    <row r="24" spans="1:8" x14ac:dyDescent="0.25">
      <c r="A24" s="8">
        <v>21</v>
      </c>
      <c r="B24" s="1"/>
      <c r="C24" s="34"/>
      <c r="D24" s="10"/>
      <c r="E24" s="10"/>
      <c r="F24" s="10"/>
      <c r="G24" s="3"/>
      <c r="H24" s="8"/>
    </row>
    <row r="25" spans="1:8" x14ac:dyDescent="0.25">
      <c r="A25" s="8">
        <v>22</v>
      </c>
      <c r="B25" s="1"/>
      <c r="C25" s="34"/>
      <c r="D25" s="10"/>
      <c r="E25" s="10"/>
      <c r="F25" s="10"/>
      <c r="G25" s="3"/>
      <c r="H25" s="8"/>
    </row>
    <row r="26" spans="1:8" x14ac:dyDescent="0.25">
      <c r="A26" s="8">
        <v>23</v>
      </c>
      <c r="B26" s="1"/>
      <c r="C26" s="34"/>
      <c r="D26" s="10"/>
      <c r="E26" s="10"/>
      <c r="F26" s="10"/>
      <c r="G26" s="3"/>
      <c r="H26" s="8"/>
    </row>
    <row r="27" spans="1:8" x14ac:dyDescent="0.25">
      <c r="A27" s="8">
        <v>24</v>
      </c>
      <c r="B27" s="1"/>
      <c r="C27" s="34"/>
      <c r="D27" s="10"/>
      <c r="E27" s="10"/>
      <c r="F27" s="10"/>
      <c r="G27" s="3"/>
      <c r="H27" s="8"/>
    </row>
    <row r="28" spans="1:8" x14ac:dyDescent="0.25">
      <c r="A28" s="8">
        <v>25</v>
      </c>
      <c r="B28" s="1"/>
      <c r="C28" s="34"/>
      <c r="D28" s="10"/>
      <c r="E28" s="10"/>
      <c r="F28" s="10"/>
      <c r="G28" s="3"/>
      <c r="H28" s="8"/>
    </row>
    <row r="29" spans="1:8" x14ac:dyDescent="0.25">
      <c r="A29" s="8">
        <v>26</v>
      </c>
      <c r="B29" s="1"/>
      <c r="C29" s="34"/>
      <c r="D29" s="10"/>
      <c r="E29" s="10"/>
      <c r="F29" s="10"/>
      <c r="G29" s="3"/>
      <c r="H29" s="8"/>
    </row>
    <row r="30" spans="1:8" x14ac:dyDescent="0.25">
      <c r="A30" s="8">
        <v>27</v>
      </c>
      <c r="B30" s="1"/>
      <c r="C30" s="34"/>
      <c r="D30" s="10"/>
      <c r="E30" s="10"/>
      <c r="F30" s="10"/>
      <c r="G30" s="3"/>
      <c r="H30" s="8"/>
    </row>
    <row r="31" spans="1:8" x14ac:dyDescent="0.25">
      <c r="A31" s="8">
        <v>28</v>
      </c>
      <c r="B31" s="1"/>
      <c r="C31" s="34"/>
      <c r="D31" s="10"/>
      <c r="E31" s="10"/>
      <c r="F31" s="10"/>
      <c r="G31" s="3"/>
      <c r="H31" s="8"/>
    </row>
    <row r="32" spans="1:8" x14ac:dyDescent="0.25">
      <c r="A32" s="8">
        <v>29</v>
      </c>
      <c r="B32" s="1"/>
      <c r="C32" s="34"/>
      <c r="D32" s="10"/>
      <c r="E32" s="10"/>
      <c r="F32" s="10"/>
      <c r="G32" s="3"/>
      <c r="H32" s="8"/>
    </row>
    <row r="33" spans="1:8" x14ac:dyDescent="0.25">
      <c r="A33" s="8">
        <v>30</v>
      </c>
      <c r="B33" s="1"/>
      <c r="C33" s="34"/>
      <c r="D33" s="10"/>
      <c r="E33" s="10"/>
      <c r="F33" s="10"/>
      <c r="G33" s="3"/>
      <c r="H33" s="8"/>
    </row>
  </sheetData>
  <mergeCells count="1">
    <mergeCell ref="A1:H2"/>
  </mergeCells>
  <conditionalFormatting sqref="C4:C5">
    <cfRule type="duplicateValues" priority="1"/>
  </conditionalFormatting>
  <dataValidations count="3">
    <dataValidation type="list" allowBlank="1" showInputMessage="1" showErrorMessage="1" sqref="G34:H106" xr:uid="{00000000-0002-0000-0B00-000000000000}">
      <formula1>"implist"</formula1>
    </dataValidation>
    <dataValidation type="list" allowBlank="1" showInputMessage="1" showErrorMessage="1" sqref="F4:F5" xr:uid="{00000000-0002-0000-0B00-000001000000}">
      <formula1>Status</formula1>
    </dataValidation>
    <dataValidation type="list" allowBlank="1" showInputMessage="1" showErrorMessage="1" sqref="I4:I5" xr:uid="{00000000-0002-0000-0B00-000002000000}">
      <formula1>Funding</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K33"/>
  <sheetViews>
    <sheetView workbookViewId="0">
      <selection activeCell="J24" sqref="J24"/>
    </sheetView>
  </sheetViews>
  <sheetFormatPr defaultColWidth="14.7109375" defaultRowHeight="15" x14ac:dyDescent="0.25"/>
  <cols>
    <col min="1" max="1" width="6.140625" style="36" customWidth="1"/>
    <col min="2" max="2" width="14.7109375" customWidth="1"/>
    <col min="3" max="4" width="24.7109375" style="9" customWidth="1"/>
    <col min="5" max="6" width="24.7109375" style="35" customWidth="1"/>
    <col min="7" max="8" width="24.7109375" style="36" customWidth="1"/>
  </cols>
  <sheetData>
    <row r="1" spans="1:11" ht="30" customHeight="1" x14ac:dyDescent="0.25">
      <c r="A1" s="204" t="s">
        <v>594</v>
      </c>
      <c r="B1" s="205"/>
      <c r="C1" s="205"/>
      <c r="D1" s="205"/>
      <c r="E1" s="205"/>
      <c r="F1" s="205"/>
      <c r="G1" s="205"/>
      <c r="H1" s="206"/>
    </row>
    <row r="2" spans="1:11" ht="15.75" thickBot="1" x14ac:dyDescent="0.3">
      <c r="A2" s="207"/>
      <c r="B2" s="208"/>
      <c r="C2" s="208"/>
      <c r="D2" s="208"/>
      <c r="E2" s="208"/>
      <c r="F2" s="208"/>
      <c r="G2" s="208"/>
      <c r="H2" s="209"/>
    </row>
    <row r="3" spans="1:11" ht="15" customHeight="1" thickBot="1" x14ac:dyDescent="0.3">
      <c r="A3" s="41" t="s">
        <v>48</v>
      </c>
      <c r="B3" s="39" t="s">
        <v>49</v>
      </c>
      <c r="C3" s="39" t="s">
        <v>50</v>
      </c>
      <c r="D3" s="38" t="s">
        <v>51</v>
      </c>
      <c r="E3" s="38" t="s">
        <v>52</v>
      </c>
      <c r="F3" s="38" t="s">
        <v>595</v>
      </c>
      <c r="G3" s="40" t="s">
        <v>54</v>
      </c>
      <c r="H3" s="38" t="s">
        <v>596</v>
      </c>
      <c r="I3" s="93" t="s">
        <v>23</v>
      </c>
      <c r="J3" s="9"/>
      <c r="K3" s="9"/>
    </row>
    <row r="4" spans="1:11" ht="75" x14ac:dyDescent="0.25">
      <c r="A4" s="30">
        <v>1</v>
      </c>
      <c r="B4" s="13" t="s">
        <v>214</v>
      </c>
      <c r="C4" s="13" t="s">
        <v>559</v>
      </c>
      <c r="D4" s="13" t="s">
        <v>689</v>
      </c>
      <c r="E4" s="13" t="s">
        <v>561</v>
      </c>
      <c r="F4" s="13" t="s">
        <v>598</v>
      </c>
      <c r="G4" s="14">
        <v>28000000</v>
      </c>
      <c r="H4" s="15">
        <v>2018</v>
      </c>
      <c r="I4" s="15" t="s">
        <v>34</v>
      </c>
      <c r="J4" s="9"/>
      <c r="K4" s="9"/>
    </row>
    <row r="5" spans="1:11" ht="30" x14ac:dyDescent="0.25">
      <c r="A5" s="8">
        <v>2</v>
      </c>
      <c r="B5" s="10" t="s">
        <v>214</v>
      </c>
      <c r="C5" s="10" t="s">
        <v>215</v>
      </c>
      <c r="D5" s="10" t="s">
        <v>216</v>
      </c>
      <c r="E5" s="10" t="s">
        <v>658</v>
      </c>
      <c r="F5" s="10" t="s">
        <v>29</v>
      </c>
      <c r="G5" s="11">
        <v>250000</v>
      </c>
      <c r="H5" s="8">
        <v>2018</v>
      </c>
      <c r="I5" s="8" t="s">
        <v>30</v>
      </c>
      <c r="J5" s="9"/>
      <c r="K5" s="9"/>
    </row>
    <row r="6" spans="1:11" ht="90" x14ac:dyDescent="0.25">
      <c r="A6" s="8">
        <v>3</v>
      </c>
      <c r="B6" s="10" t="s">
        <v>214</v>
      </c>
      <c r="C6" s="10" t="s">
        <v>225</v>
      </c>
      <c r="D6" s="10" t="s">
        <v>226</v>
      </c>
      <c r="E6" s="10" t="s">
        <v>227</v>
      </c>
      <c r="F6" s="10" t="s">
        <v>29</v>
      </c>
      <c r="G6" s="11">
        <v>250000</v>
      </c>
      <c r="H6" s="8">
        <v>2018</v>
      </c>
      <c r="I6" s="8" t="s">
        <v>30</v>
      </c>
      <c r="J6" s="46"/>
      <c r="K6" s="9"/>
    </row>
    <row r="7" spans="1:11" ht="30" x14ac:dyDescent="0.25">
      <c r="A7" s="8">
        <v>4</v>
      </c>
      <c r="B7" s="10" t="s">
        <v>214</v>
      </c>
      <c r="C7" s="10" t="s">
        <v>307</v>
      </c>
      <c r="D7" s="10" t="s">
        <v>308</v>
      </c>
      <c r="E7" s="10" t="s">
        <v>309</v>
      </c>
      <c r="F7" s="10" t="s">
        <v>29</v>
      </c>
      <c r="G7" s="11">
        <v>150000</v>
      </c>
      <c r="H7" s="8">
        <v>2018</v>
      </c>
      <c r="I7" s="8" t="s">
        <v>30</v>
      </c>
    </row>
    <row r="8" spans="1:11" ht="45" x14ac:dyDescent="0.25">
      <c r="A8" s="8">
        <v>5</v>
      </c>
      <c r="B8" s="10" t="s">
        <v>214</v>
      </c>
      <c r="C8" s="10" t="s">
        <v>447</v>
      </c>
      <c r="D8" s="10" t="s">
        <v>448</v>
      </c>
      <c r="E8" s="10" t="s">
        <v>449</v>
      </c>
      <c r="F8" s="10" t="s">
        <v>29</v>
      </c>
      <c r="G8" s="11">
        <v>200000</v>
      </c>
      <c r="H8" s="8">
        <v>2018</v>
      </c>
      <c r="I8" s="8" t="s">
        <v>30</v>
      </c>
    </row>
    <row r="9" spans="1:11" ht="30" x14ac:dyDescent="0.25">
      <c r="A9" s="8">
        <v>6</v>
      </c>
      <c r="B9" s="10" t="s">
        <v>214</v>
      </c>
      <c r="C9" s="10" t="s">
        <v>459</v>
      </c>
      <c r="D9" s="10" t="s">
        <v>460</v>
      </c>
      <c r="E9" s="10" t="s">
        <v>461</v>
      </c>
      <c r="F9" s="10" t="s">
        <v>29</v>
      </c>
      <c r="G9" s="11">
        <v>65000</v>
      </c>
      <c r="H9" s="8">
        <v>2018</v>
      </c>
      <c r="I9" s="8" t="s">
        <v>30</v>
      </c>
    </row>
    <row r="10" spans="1:11" x14ac:dyDescent="0.25">
      <c r="A10" s="8">
        <v>7</v>
      </c>
      <c r="B10" s="1"/>
      <c r="C10" s="34"/>
      <c r="D10" s="10"/>
      <c r="E10" s="10"/>
      <c r="F10" s="10"/>
      <c r="G10" s="33"/>
      <c r="H10" s="30"/>
    </row>
    <row r="11" spans="1:11" x14ac:dyDescent="0.25">
      <c r="A11" s="8">
        <v>8</v>
      </c>
      <c r="B11" s="1"/>
      <c r="C11" s="34"/>
      <c r="D11" s="10"/>
      <c r="E11" s="10"/>
      <c r="F11" s="10"/>
      <c r="G11" s="33"/>
      <c r="H11" s="8"/>
    </row>
    <row r="12" spans="1:11" x14ac:dyDescent="0.25">
      <c r="A12" s="8">
        <v>9</v>
      </c>
      <c r="B12" s="1"/>
      <c r="C12" s="34"/>
      <c r="D12" s="10"/>
      <c r="E12" s="10"/>
      <c r="F12" s="10"/>
      <c r="G12" s="33"/>
      <c r="H12" s="8"/>
    </row>
    <row r="13" spans="1:11" x14ac:dyDescent="0.25">
      <c r="A13" s="8">
        <v>10</v>
      </c>
      <c r="B13" s="1"/>
      <c r="C13" s="34"/>
      <c r="D13" s="10"/>
      <c r="E13" s="10"/>
      <c r="F13" s="10"/>
      <c r="G13" s="33"/>
      <c r="H13" s="8"/>
    </row>
    <row r="14" spans="1:11" x14ac:dyDescent="0.25">
      <c r="A14" s="8">
        <v>11</v>
      </c>
      <c r="B14" s="1"/>
      <c r="C14" s="34"/>
      <c r="D14" s="10"/>
      <c r="E14" s="10"/>
      <c r="F14" s="10"/>
      <c r="G14" s="33"/>
      <c r="H14" s="8"/>
    </row>
    <row r="15" spans="1:11" x14ac:dyDescent="0.25">
      <c r="A15" s="8">
        <v>12</v>
      </c>
      <c r="B15" s="1"/>
      <c r="C15" s="34"/>
      <c r="D15" s="10"/>
      <c r="E15" s="10"/>
      <c r="F15" s="10"/>
      <c r="G15" s="33"/>
      <c r="H15" s="8"/>
    </row>
    <row r="16" spans="1:11" x14ac:dyDescent="0.25">
      <c r="A16" s="8">
        <v>13</v>
      </c>
      <c r="B16" s="1"/>
      <c r="C16" s="34"/>
      <c r="D16" s="10"/>
      <c r="E16" s="10"/>
      <c r="F16" s="10"/>
      <c r="G16" s="33"/>
      <c r="H16" s="8"/>
    </row>
    <row r="17" spans="1:8" x14ac:dyDescent="0.25">
      <c r="A17" s="8">
        <v>14</v>
      </c>
      <c r="B17" s="1"/>
      <c r="C17" s="34"/>
      <c r="D17" s="10"/>
      <c r="E17" s="10"/>
      <c r="F17" s="10"/>
      <c r="G17" s="33"/>
      <c r="H17" s="8"/>
    </row>
    <row r="18" spans="1:8" x14ac:dyDescent="0.25">
      <c r="A18" s="8">
        <v>15</v>
      </c>
      <c r="B18" s="1"/>
      <c r="C18" s="34"/>
      <c r="D18" s="10"/>
      <c r="E18" s="10"/>
      <c r="F18" s="10"/>
      <c r="G18" s="33"/>
      <c r="H18" s="8"/>
    </row>
    <row r="19" spans="1:8" x14ac:dyDescent="0.25">
      <c r="A19" s="8">
        <v>16</v>
      </c>
      <c r="B19" s="1"/>
      <c r="C19" s="34"/>
      <c r="D19" s="10"/>
      <c r="E19" s="10"/>
      <c r="F19" s="10"/>
      <c r="G19" s="33"/>
      <c r="H19" s="8"/>
    </row>
    <row r="20" spans="1:8" x14ac:dyDescent="0.25">
      <c r="A20" s="8">
        <v>17</v>
      </c>
      <c r="B20" s="1"/>
      <c r="C20" s="34"/>
      <c r="D20" s="10"/>
      <c r="E20" s="10"/>
      <c r="F20" s="10"/>
      <c r="G20" s="33"/>
      <c r="H20" s="8"/>
    </row>
    <row r="21" spans="1:8" x14ac:dyDescent="0.25">
      <c r="A21" s="8">
        <v>18</v>
      </c>
      <c r="B21" s="1"/>
      <c r="C21" s="34"/>
      <c r="D21" s="10"/>
      <c r="E21" s="10"/>
      <c r="F21" s="10"/>
      <c r="G21" s="33"/>
      <c r="H21" s="8"/>
    </row>
    <row r="22" spans="1:8" x14ac:dyDescent="0.25">
      <c r="A22" s="8">
        <v>19</v>
      </c>
      <c r="B22" s="1"/>
      <c r="C22" s="34"/>
      <c r="D22" s="10"/>
      <c r="E22" s="10"/>
      <c r="F22" s="10"/>
      <c r="G22" s="33"/>
      <c r="H22" s="8"/>
    </row>
    <row r="23" spans="1:8" x14ac:dyDescent="0.25">
      <c r="A23" s="8">
        <v>20</v>
      </c>
      <c r="B23" s="1"/>
      <c r="C23" s="34"/>
      <c r="D23" s="10"/>
      <c r="E23" s="10"/>
      <c r="F23" s="10"/>
      <c r="G23" s="33"/>
      <c r="H23" s="8"/>
    </row>
    <row r="24" spans="1:8" x14ac:dyDescent="0.25">
      <c r="A24" s="8">
        <v>21</v>
      </c>
      <c r="B24" s="1"/>
      <c r="C24" s="34"/>
      <c r="D24" s="10"/>
      <c r="E24" s="10"/>
      <c r="F24" s="10"/>
      <c r="G24" s="33"/>
      <c r="H24" s="8"/>
    </row>
    <row r="25" spans="1:8" x14ac:dyDescent="0.25">
      <c r="A25" s="8">
        <v>22</v>
      </c>
      <c r="B25" s="1"/>
      <c r="C25" s="34"/>
      <c r="D25" s="10"/>
      <c r="E25" s="10"/>
      <c r="F25" s="10"/>
      <c r="G25" s="33"/>
      <c r="H25" s="8"/>
    </row>
    <row r="26" spans="1:8" x14ac:dyDescent="0.25">
      <c r="A26" s="8">
        <v>23</v>
      </c>
      <c r="B26" s="1"/>
      <c r="C26" s="34"/>
      <c r="D26" s="10"/>
      <c r="E26" s="10"/>
      <c r="F26" s="10"/>
      <c r="G26" s="33"/>
      <c r="H26" s="8"/>
    </row>
    <row r="27" spans="1:8" x14ac:dyDescent="0.25">
      <c r="A27" s="8">
        <v>24</v>
      </c>
      <c r="B27" s="1"/>
      <c r="C27" s="34"/>
      <c r="D27" s="10"/>
      <c r="E27" s="10"/>
      <c r="F27" s="10"/>
      <c r="G27" s="33"/>
      <c r="H27" s="8"/>
    </row>
    <row r="28" spans="1:8" x14ac:dyDescent="0.25">
      <c r="A28" s="8">
        <v>25</v>
      </c>
      <c r="B28" s="1"/>
      <c r="C28" s="34"/>
      <c r="D28" s="10"/>
      <c r="E28" s="10"/>
      <c r="F28" s="10"/>
      <c r="G28" s="33"/>
      <c r="H28" s="8"/>
    </row>
    <row r="29" spans="1:8" x14ac:dyDescent="0.25">
      <c r="A29" s="8">
        <v>26</v>
      </c>
      <c r="B29" s="1"/>
      <c r="C29" s="34"/>
      <c r="D29" s="10"/>
      <c r="E29" s="10"/>
      <c r="F29" s="10"/>
      <c r="G29" s="33"/>
      <c r="H29" s="8"/>
    </row>
    <row r="30" spans="1:8" x14ac:dyDescent="0.25">
      <c r="A30" s="8">
        <v>27</v>
      </c>
      <c r="B30" s="1"/>
      <c r="C30" s="34"/>
      <c r="D30" s="10"/>
      <c r="E30" s="10"/>
      <c r="F30" s="10"/>
      <c r="G30" s="33"/>
      <c r="H30" s="8"/>
    </row>
    <row r="31" spans="1:8" x14ac:dyDescent="0.25">
      <c r="A31" s="8">
        <v>28</v>
      </c>
      <c r="B31" s="1"/>
      <c r="C31" s="34"/>
      <c r="D31" s="10"/>
      <c r="E31" s="10"/>
      <c r="F31" s="10"/>
      <c r="G31" s="33"/>
      <c r="H31" s="8"/>
    </row>
    <row r="32" spans="1:8" x14ac:dyDescent="0.25">
      <c r="A32" s="8">
        <v>29</v>
      </c>
      <c r="B32" s="1"/>
      <c r="C32" s="34"/>
      <c r="D32" s="10"/>
      <c r="E32" s="10"/>
      <c r="F32" s="10"/>
      <c r="G32" s="33"/>
      <c r="H32" s="8"/>
    </row>
    <row r="33" spans="1:8" x14ac:dyDescent="0.25">
      <c r="A33" s="8">
        <v>30</v>
      </c>
      <c r="B33" s="1"/>
      <c r="C33" s="34"/>
      <c r="D33" s="10"/>
      <c r="E33" s="10"/>
      <c r="F33" s="10"/>
      <c r="G33" s="33"/>
      <c r="H33" s="8"/>
    </row>
  </sheetData>
  <mergeCells count="1">
    <mergeCell ref="A1:H2"/>
  </mergeCells>
  <conditionalFormatting sqref="C4:C9">
    <cfRule type="duplicateValues" priority="1"/>
  </conditionalFormatting>
  <dataValidations count="3">
    <dataValidation type="list" allowBlank="1" showInputMessage="1" showErrorMessage="1" sqref="G34:H106" xr:uid="{00000000-0002-0000-0C00-000000000000}">
      <formula1>"implist"</formula1>
    </dataValidation>
    <dataValidation type="list" allowBlank="1" showInputMessage="1" showErrorMessage="1" sqref="F4:F9" xr:uid="{00000000-0002-0000-0C00-000001000000}">
      <formula1>Status</formula1>
    </dataValidation>
    <dataValidation type="list" allowBlank="1" showInputMessage="1" showErrorMessage="1" sqref="I4:I9" xr:uid="{00000000-0002-0000-0C00-000002000000}">
      <formula1>Funding</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I36"/>
  <sheetViews>
    <sheetView workbookViewId="0">
      <selection activeCell="J24" sqref="J24"/>
    </sheetView>
  </sheetViews>
  <sheetFormatPr defaultColWidth="14.7109375" defaultRowHeight="15" x14ac:dyDescent="0.25"/>
  <cols>
    <col min="1" max="1" width="6.140625" style="36" customWidth="1"/>
    <col min="2" max="2" width="14.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599</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x14ac:dyDescent="0.25">
      <c r="A4" s="30">
        <v>1</v>
      </c>
      <c r="B4" s="71" t="s">
        <v>65</v>
      </c>
      <c r="C4" s="13" t="s">
        <v>66</v>
      </c>
      <c r="D4" s="13" t="s">
        <v>62</v>
      </c>
      <c r="E4" s="13"/>
      <c r="F4" s="13" t="s">
        <v>598</v>
      </c>
      <c r="G4" s="14">
        <v>3500000</v>
      </c>
      <c r="H4" s="15">
        <v>2018</v>
      </c>
      <c r="I4" s="15" t="s">
        <v>38</v>
      </c>
    </row>
    <row r="5" spans="1:9" ht="45" x14ac:dyDescent="0.25">
      <c r="A5" s="8">
        <v>2</v>
      </c>
      <c r="B5" s="10" t="s">
        <v>65</v>
      </c>
      <c r="C5" s="10" t="s">
        <v>160</v>
      </c>
      <c r="D5" s="10" t="s">
        <v>161</v>
      </c>
      <c r="E5" s="10" t="s">
        <v>162</v>
      </c>
      <c r="F5" s="10" t="s">
        <v>29</v>
      </c>
      <c r="G5" s="11">
        <v>90000</v>
      </c>
      <c r="H5" s="8">
        <v>2018</v>
      </c>
      <c r="I5" s="8" t="s">
        <v>30</v>
      </c>
    </row>
    <row r="6" spans="1:9" ht="120" x14ac:dyDescent="0.25">
      <c r="A6" s="30">
        <v>3</v>
      </c>
      <c r="B6" s="10" t="s">
        <v>65</v>
      </c>
      <c r="C6" s="10" t="s">
        <v>191</v>
      </c>
      <c r="D6" s="10" t="s">
        <v>192</v>
      </c>
      <c r="E6" s="10" t="s">
        <v>193</v>
      </c>
      <c r="F6" s="10" t="s">
        <v>29</v>
      </c>
      <c r="G6" s="11">
        <v>300000</v>
      </c>
      <c r="H6" s="8">
        <v>2018</v>
      </c>
      <c r="I6" s="8" t="s">
        <v>34</v>
      </c>
    </row>
    <row r="7" spans="1:9" ht="30" x14ac:dyDescent="0.25">
      <c r="A7" s="8">
        <v>4</v>
      </c>
      <c r="B7" s="10" t="s">
        <v>65</v>
      </c>
      <c r="C7" s="10" t="s">
        <v>208</v>
      </c>
      <c r="D7" s="10" t="s">
        <v>209</v>
      </c>
      <c r="E7" s="10" t="s">
        <v>210</v>
      </c>
      <c r="F7" s="10" t="s">
        <v>29</v>
      </c>
      <c r="G7" s="11">
        <v>250000</v>
      </c>
      <c r="H7" s="8">
        <v>2018</v>
      </c>
      <c r="I7" s="8" t="s">
        <v>30</v>
      </c>
    </row>
    <row r="8" spans="1:9" ht="30" x14ac:dyDescent="0.25">
      <c r="A8" s="30">
        <v>5</v>
      </c>
      <c r="B8" s="10" t="s">
        <v>65</v>
      </c>
      <c r="C8" s="10" t="s">
        <v>375</v>
      </c>
      <c r="D8" s="10" t="s">
        <v>376</v>
      </c>
      <c r="E8" s="10" t="s">
        <v>377</v>
      </c>
      <c r="F8" s="10" t="s">
        <v>29</v>
      </c>
      <c r="G8" s="11">
        <v>110000</v>
      </c>
      <c r="H8" s="8">
        <v>2018</v>
      </c>
      <c r="I8" s="8" t="s">
        <v>30</v>
      </c>
    </row>
    <row r="9" spans="1:9" ht="45" x14ac:dyDescent="0.25">
      <c r="A9" s="8">
        <v>6</v>
      </c>
      <c r="B9" s="10" t="s">
        <v>65</v>
      </c>
      <c r="C9" s="10" t="s">
        <v>387</v>
      </c>
      <c r="D9" s="10" t="s">
        <v>388</v>
      </c>
      <c r="E9" s="10" t="s">
        <v>389</v>
      </c>
      <c r="F9" s="10" t="s">
        <v>29</v>
      </c>
      <c r="G9" s="11">
        <v>375000</v>
      </c>
      <c r="H9" s="8">
        <v>2018</v>
      </c>
      <c r="I9" s="8" t="s">
        <v>34</v>
      </c>
    </row>
    <row r="10" spans="1:9" ht="60" x14ac:dyDescent="0.25">
      <c r="A10" s="8">
        <v>7</v>
      </c>
      <c r="B10" s="10" t="s">
        <v>65</v>
      </c>
      <c r="C10" s="10" t="s">
        <v>468</v>
      </c>
      <c r="D10" s="10" t="s">
        <v>671</v>
      </c>
      <c r="E10" s="10" t="s">
        <v>469</v>
      </c>
      <c r="F10" s="10" t="s">
        <v>29</v>
      </c>
      <c r="G10" s="11">
        <v>250000</v>
      </c>
      <c r="H10" s="8">
        <v>2018</v>
      </c>
      <c r="I10" s="8" t="s">
        <v>34</v>
      </c>
    </row>
    <row r="11" spans="1:9" x14ac:dyDescent="0.25">
      <c r="A11" s="8">
        <v>8</v>
      </c>
      <c r="B11" s="10" t="s">
        <v>65</v>
      </c>
      <c r="C11" s="10" t="s">
        <v>509</v>
      </c>
      <c r="D11" s="10"/>
      <c r="E11" s="10"/>
      <c r="F11" s="10" t="s">
        <v>29</v>
      </c>
      <c r="G11" s="11">
        <v>3500000</v>
      </c>
      <c r="H11" s="8">
        <v>2018</v>
      </c>
      <c r="I11" s="8" t="s">
        <v>34</v>
      </c>
    </row>
    <row r="12" spans="1:9" ht="45" x14ac:dyDescent="0.25">
      <c r="A12" s="8">
        <v>9</v>
      </c>
      <c r="B12" s="10" t="s">
        <v>65</v>
      </c>
      <c r="C12" s="10" t="s">
        <v>544</v>
      </c>
      <c r="D12" s="10" t="s">
        <v>545</v>
      </c>
      <c r="E12" s="10" t="s">
        <v>546</v>
      </c>
      <c r="F12" s="10" t="s">
        <v>29</v>
      </c>
      <c r="G12" s="11">
        <v>400000</v>
      </c>
      <c r="H12" s="8">
        <v>2018</v>
      </c>
      <c r="I12" s="8" t="s">
        <v>34</v>
      </c>
    </row>
    <row r="13" spans="1:9" ht="30" x14ac:dyDescent="0.25">
      <c r="A13" s="8">
        <v>10</v>
      </c>
      <c r="B13" s="10" t="s">
        <v>65</v>
      </c>
      <c r="C13" s="10" t="s">
        <v>550</v>
      </c>
      <c r="D13" s="10" t="s">
        <v>551</v>
      </c>
      <c r="E13" s="10"/>
      <c r="F13" s="10" t="s">
        <v>29</v>
      </c>
      <c r="G13" s="11">
        <v>2000000</v>
      </c>
      <c r="H13" s="8">
        <v>2018</v>
      </c>
      <c r="I13" s="8" t="s">
        <v>34</v>
      </c>
    </row>
    <row r="14" spans="1:9" x14ac:dyDescent="0.25">
      <c r="A14" s="8">
        <v>11</v>
      </c>
      <c r="B14" s="10" t="s">
        <v>65</v>
      </c>
      <c r="C14" s="10" t="s">
        <v>555</v>
      </c>
      <c r="D14" s="10"/>
      <c r="E14" s="10"/>
      <c r="F14" s="10" t="s">
        <v>29</v>
      </c>
      <c r="G14" s="11">
        <v>5000000</v>
      </c>
      <c r="H14" s="8">
        <v>2018</v>
      </c>
      <c r="I14" s="8" t="s">
        <v>34</v>
      </c>
    </row>
    <row r="15" spans="1:9" ht="30" x14ac:dyDescent="0.25">
      <c r="A15" s="8">
        <v>12</v>
      </c>
      <c r="B15" s="10" t="s">
        <v>65</v>
      </c>
      <c r="C15" s="10" t="s">
        <v>556</v>
      </c>
      <c r="D15" s="10" t="s">
        <v>557</v>
      </c>
      <c r="E15" s="10" t="s">
        <v>558</v>
      </c>
      <c r="F15" s="10" t="s">
        <v>29</v>
      </c>
      <c r="G15" s="11">
        <v>30000</v>
      </c>
      <c r="H15" s="8">
        <v>2018</v>
      </c>
      <c r="I15" s="8" t="s">
        <v>30</v>
      </c>
    </row>
    <row r="16" spans="1:9" ht="75" x14ac:dyDescent="0.25">
      <c r="A16" s="8">
        <v>13</v>
      </c>
      <c r="B16" s="10" t="s">
        <v>65</v>
      </c>
      <c r="C16" s="10" t="s">
        <v>567</v>
      </c>
      <c r="D16" s="10" t="s">
        <v>568</v>
      </c>
      <c r="E16" s="10" t="s">
        <v>569</v>
      </c>
      <c r="F16" s="10" t="s">
        <v>29</v>
      </c>
      <c r="G16" s="11">
        <v>5000000</v>
      </c>
      <c r="H16" s="8">
        <v>2018</v>
      </c>
      <c r="I16" s="8" t="s">
        <v>34</v>
      </c>
    </row>
    <row r="17" spans="1:9" ht="30" x14ac:dyDescent="0.25">
      <c r="A17" s="8">
        <v>14</v>
      </c>
      <c r="B17" s="10" t="s">
        <v>65</v>
      </c>
      <c r="C17" s="10" t="s">
        <v>578</v>
      </c>
      <c r="D17" s="10" t="s">
        <v>579</v>
      </c>
      <c r="E17" s="10" t="s">
        <v>580</v>
      </c>
      <c r="F17" s="10" t="s">
        <v>29</v>
      </c>
      <c r="G17" s="11">
        <v>100000</v>
      </c>
      <c r="H17" s="8">
        <v>2018</v>
      </c>
      <c r="I17" s="8" t="s">
        <v>34</v>
      </c>
    </row>
    <row r="18" spans="1:9" x14ac:dyDescent="0.25">
      <c r="A18" s="8">
        <v>15</v>
      </c>
      <c r="B18" s="10"/>
      <c r="C18" s="10"/>
      <c r="D18" s="10"/>
      <c r="E18" s="10"/>
      <c r="F18" s="10"/>
      <c r="G18" s="11"/>
      <c r="H18" s="8"/>
    </row>
    <row r="19" spans="1:9" x14ac:dyDescent="0.25">
      <c r="A19" s="8">
        <v>16</v>
      </c>
      <c r="B19" s="10"/>
      <c r="C19" s="10"/>
      <c r="D19" s="10"/>
      <c r="E19" s="10"/>
      <c r="F19" s="10"/>
      <c r="G19" s="11"/>
      <c r="H19" s="8"/>
    </row>
    <row r="20" spans="1:9" x14ac:dyDescent="0.25">
      <c r="A20" s="8">
        <v>17</v>
      </c>
      <c r="B20" s="10"/>
      <c r="C20" s="10"/>
      <c r="D20" s="10"/>
      <c r="E20" s="10"/>
      <c r="F20" s="10"/>
      <c r="G20" s="11"/>
      <c r="H20" s="8"/>
    </row>
    <row r="21" spans="1:9" x14ac:dyDescent="0.25">
      <c r="A21" s="8">
        <v>18</v>
      </c>
      <c r="B21" s="10"/>
      <c r="C21" s="10"/>
      <c r="D21" s="10"/>
      <c r="E21" s="10"/>
      <c r="F21" s="10"/>
      <c r="G21" s="11"/>
      <c r="H21" s="8"/>
    </row>
    <row r="22" spans="1:9" x14ac:dyDescent="0.25">
      <c r="A22" s="8">
        <v>19</v>
      </c>
      <c r="B22" s="10"/>
      <c r="C22" s="10"/>
      <c r="D22" s="10"/>
      <c r="E22" s="10"/>
      <c r="F22" s="10"/>
      <c r="G22" s="11"/>
      <c r="H22" s="8"/>
    </row>
    <row r="23" spans="1:9" x14ac:dyDescent="0.25">
      <c r="A23" s="8">
        <v>20</v>
      </c>
      <c r="B23" s="10"/>
      <c r="C23" s="10"/>
      <c r="D23" s="10"/>
      <c r="E23" s="10"/>
      <c r="F23" s="10"/>
      <c r="G23" s="11"/>
      <c r="H23" s="8"/>
    </row>
    <row r="24" spans="1:9" x14ac:dyDescent="0.25">
      <c r="A24" s="8">
        <v>21</v>
      </c>
      <c r="B24" s="10"/>
      <c r="C24" s="10"/>
      <c r="D24" s="10"/>
      <c r="E24" s="10"/>
      <c r="F24" s="10"/>
      <c r="G24" s="11"/>
      <c r="H24" s="8"/>
    </row>
    <row r="25" spans="1:9" x14ac:dyDescent="0.25">
      <c r="A25" s="8">
        <v>22</v>
      </c>
      <c r="B25" s="10"/>
      <c r="C25" s="10"/>
      <c r="D25" s="10"/>
      <c r="E25" s="10"/>
      <c r="F25" s="10"/>
      <c r="G25" s="11"/>
      <c r="H25" s="8"/>
    </row>
    <row r="26" spans="1:9" x14ac:dyDescent="0.25">
      <c r="A26" s="8">
        <v>23</v>
      </c>
      <c r="B26" s="10"/>
      <c r="C26" s="10"/>
      <c r="D26" s="10"/>
      <c r="E26" s="10"/>
      <c r="F26" s="10"/>
      <c r="G26" s="11"/>
      <c r="H26" s="8"/>
    </row>
    <row r="27" spans="1:9" x14ac:dyDescent="0.25">
      <c r="A27" s="8">
        <v>24</v>
      </c>
      <c r="B27" s="10"/>
      <c r="C27" s="10"/>
      <c r="D27" s="10"/>
      <c r="E27" s="10"/>
      <c r="F27" s="10"/>
      <c r="G27" s="11"/>
      <c r="H27" s="8"/>
    </row>
    <row r="28" spans="1:9" x14ac:dyDescent="0.25">
      <c r="A28" s="8">
        <v>25</v>
      </c>
      <c r="B28" s="10"/>
      <c r="C28" s="10"/>
      <c r="D28" s="10"/>
      <c r="E28" s="10"/>
      <c r="F28" s="10"/>
      <c r="G28" s="11"/>
      <c r="H28" s="8"/>
    </row>
    <row r="29" spans="1:9" x14ac:dyDescent="0.25">
      <c r="A29" s="8">
        <v>26</v>
      </c>
      <c r="B29" s="10"/>
      <c r="C29" s="10"/>
      <c r="D29" s="10"/>
      <c r="E29" s="10"/>
      <c r="F29" s="10"/>
      <c r="G29" s="11"/>
      <c r="H29" s="8"/>
    </row>
    <row r="30" spans="1:9" x14ac:dyDescent="0.25">
      <c r="A30" s="8">
        <v>27</v>
      </c>
      <c r="B30" s="10"/>
      <c r="C30" s="10"/>
      <c r="D30" s="10"/>
      <c r="E30" s="10"/>
      <c r="F30" s="10"/>
      <c r="G30" s="11"/>
      <c r="H30" s="8"/>
    </row>
    <row r="31" spans="1:9" x14ac:dyDescent="0.25">
      <c r="A31" s="8">
        <v>28</v>
      </c>
      <c r="B31" s="10"/>
      <c r="C31" s="10"/>
      <c r="D31" s="10"/>
      <c r="E31" s="10"/>
      <c r="F31" s="10"/>
      <c r="G31" s="11"/>
      <c r="H31" s="8"/>
    </row>
    <row r="32" spans="1:9" x14ac:dyDescent="0.25">
      <c r="A32" s="8">
        <v>29</v>
      </c>
      <c r="B32" s="10"/>
      <c r="C32" s="10"/>
      <c r="D32" s="10"/>
      <c r="E32" s="10"/>
      <c r="F32" s="10"/>
      <c r="G32" s="11"/>
      <c r="H32" s="8"/>
    </row>
    <row r="33" spans="1:8" x14ac:dyDescent="0.25">
      <c r="A33" s="8">
        <v>30</v>
      </c>
      <c r="B33" s="10"/>
      <c r="C33" s="10"/>
      <c r="D33" s="10"/>
      <c r="E33" s="10"/>
      <c r="F33" s="10"/>
      <c r="G33" s="11"/>
      <c r="H33" s="8"/>
    </row>
    <row r="34" spans="1:8" x14ac:dyDescent="0.25">
      <c r="A34" s="8">
        <v>31</v>
      </c>
      <c r="B34" s="10"/>
      <c r="C34" s="10"/>
      <c r="D34" s="10"/>
      <c r="E34" s="10"/>
      <c r="F34" s="10"/>
      <c r="G34" s="11"/>
      <c r="H34" s="8"/>
    </row>
    <row r="35" spans="1:8" x14ac:dyDescent="0.25">
      <c r="A35" s="8">
        <v>32</v>
      </c>
      <c r="B35" s="10"/>
      <c r="C35" s="10"/>
      <c r="D35" s="10"/>
      <c r="E35" s="10"/>
      <c r="F35" s="10"/>
      <c r="G35" s="11"/>
      <c r="H35" s="8"/>
    </row>
    <row r="36" spans="1:8" x14ac:dyDescent="0.25">
      <c r="A36" s="8">
        <v>33</v>
      </c>
      <c r="B36" s="10"/>
      <c r="C36" s="10"/>
      <c r="D36" s="10"/>
      <c r="E36" s="10"/>
      <c r="F36" s="10"/>
      <c r="G36" s="11"/>
      <c r="H36" s="8"/>
    </row>
  </sheetData>
  <mergeCells count="1">
    <mergeCell ref="A1:H2"/>
  </mergeCells>
  <conditionalFormatting sqref="C4:C17">
    <cfRule type="duplicateValues" priority="1"/>
  </conditionalFormatting>
  <dataValidations count="3">
    <dataValidation type="list" allowBlank="1" showInputMessage="1" showErrorMessage="1" sqref="G37:H109" xr:uid="{00000000-0002-0000-0D00-000000000000}">
      <formula1>"implist"</formula1>
    </dataValidation>
    <dataValidation type="list" allowBlank="1" showInputMessage="1" showErrorMessage="1" sqref="F4:F17" xr:uid="{00000000-0002-0000-0D00-000001000000}">
      <formula1>Status</formula1>
    </dataValidation>
    <dataValidation type="list" allowBlank="1" showInputMessage="1" showErrorMessage="1" sqref="I4:I17" xr:uid="{00000000-0002-0000-0D00-000002000000}">
      <formula1>Funding</formula1>
    </dataValidation>
  </dataValidation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37"/>
  <sheetViews>
    <sheetView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600</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56" t="s">
        <v>48</v>
      </c>
      <c r="B3" s="44" t="s">
        <v>49</v>
      </c>
      <c r="C3" s="44" t="s">
        <v>50</v>
      </c>
      <c r="D3" s="45" t="s">
        <v>51</v>
      </c>
      <c r="E3" s="45" t="s">
        <v>52</v>
      </c>
      <c r="F3" s="38" t="s">
        <v>595</v>
      </c>
      <c r="G3" s="40" t="s">
        <v>54</v>
      </c>
      <c r="H3" s="38" t="s">
        <v>596</v>
      </c>
      <c r="I3" s="92" t="s">
        <v>23</v>
      </c>
    </row>
    <row r="4" spans="1:9" ht="75" x14ac:dyDescent="0.25">
      <c r="A4" s="8">
        <v>1</v>
      </c>
      <c r="B4" s="13" t="s">
        <v>91</v>
      </c>
      <c r="C4" s="13" t="s">
        <v>677</v>
      </c>
      <c r="D4" s="13" t="s">
        <v>678</v>
      </c>
      <c r="E4" s="13" t="s">
        <v>98</v>
      </c>
      <c r="F4" s="13" t="s">
        <v>598</v>
      </c>
      <c r="G4" s="14">
        <v>350000</v>
      </c>
      <c r="H4" s="15">
        <v>2018</v>
      </c>
      <c r="I4" s="8" t="s">
        <v>30</v>
      </c>
    </row>
    <row r="5" spans="1:9" ht="90" x14ac:dyDescent="0.25">
      <c r="A5" s="8">
        <v>2</v>
      </c>
      <c r="B5" s="13" t="s">
        <v>91</v>
      </c>
      <c r="C5" s="13" t="s">
        <v>194</v>
      </c>
      <c r="D5" s="13" t="s">
        <v>195</v>
      </c>
      <c r="E5" s="13" t="s">
        <v>649</v>
      </c>
      <c r="F5" s="13" t="s">
        <v>598</v>
      </c>
      <c r="G5" s="14">
        <v>10000</v>
      </c>
      <c r="H5" s="15">
        <v>2018</v>
      </c>
      <c r="I5" s="8" t="s">
        <v>30</v>
      </c>
    </row>
    <row r="6" spans="1:9" ht="30" x14ac:dyDescent="0.25">
      <c r="A6" s="8">
        <v>3</v>
      </c>
      <c r="B6" s="10" t="s">
        <v>91</v>
      </c>
      <c r="C6" s="10" t="s">
        <v>92</v>
      </c>
      <c r="D6" s="10" t="s">
        <v>93</v>
      </c>
      <c r="E6" s="10" t="s">
        <v>641</v>
      </c>
      <c r="F6" s="10" t="s">
        <v>29</v>
      </c>
      <c r="G6" s="11">
        <v>250000</v>
      </c>
      <c r="H6" s="8">
        <v>2018</v>
      </c>
      <c r="I6" s="8" t="s">
        <v>30</v>
      </c>
    </row>
    <row r="7" spans="1:9" ht="60" x14ac:dyDescent="0.25">
      <c r="A7" s="8">
        <v>4</v>
      </c>
      <c r="B7" s="10" t="s">
        <v>91</v>
      </c>
      <c r="C7" s="10" t="s">
        <v>357</v>
      </c>
      <c r="D7" s="10" t="s">
        <v>358</v>
      </c>
      <c r="E7" s="10" t="s">
        <v>359</v>
      </c>
      <c r="F7" s="10" t="s">
        <v>29</v>
      </c>
      <c r="G7" s="11">
        <v>250000</v>
      </c>
      <c r="H7" s="8">
        <v>2018</v>
      </c>
      <c r="I7" s="8" t="s">
        <v>30</v>
      </c>
    </row>
    <row r="8" spans="1:9" ht="45" x14ac:dyDescent="0.25">
      <c r="A8" s="8">
        <v>5</v>
      </c>
      <c r="B8" s="10" t="s">
        <v>91</v>
      </c>
      <c r="C8" s="10" t="s">
        <v>242</v>
      </c>
      <c r="D8" s="10" t="s">
        <v>243</v>
      </c>
      <c r="E8" s="10" t="s">
        <v>244</v>
      </c>
      <c r="F8" s="10" t="s">
        <v>29</v>
      </c>
      <c r="G8" s="11">
        <v>350000</v>
      </c>
      <c r="H8" s="8">
        <v>2018</v>
      </c>
      <c r="I8" s="8" t="s">
        <v>30</v>
      </c>
    </row>
    <row r="9" spans="1:9" ht="60" x14ac:dyDescent="0.25">
      <c r="A9" s="8">
        <v>6</v>
      </c>
      <c r="B9" s="10" t="s">
        <v>91</v>
      </c>
      <c r="C9" s="10" t="s">
        <v>384</v>
      </c>
      <c r="D9" s="10" t="s">
        <v>385</v>
      </c>
      <c r="E9" s="10" t="s">
        <v>386</v>
      </c>
      <c r="F9" s="10" t="s">
        <v>29</v>
      </c>
      <c r="G9" s="11">
        <v>150000</v>
      </c>
      <c r="H9" s="8">
        <v>2018</v>
      </c>
      <c r="I9" s="8" t="s">
        <v>30</v>
      </c>
    </row>
    <row r="10" spans="1:9" ht="60" x14ac:dyDescent="0.25">
      <c r="A10" s="8">
        <v>7</v>
      </c>
      <c r="B10" s="10" t="s">
        <v>91</v>
      </c>
      <c r="C10" s="10" t="s">
        <v>393</v>
      </c>
      <c r="D10" s="10" t="s">
        <v>394</v>
      </c>
      <c r="E10" s="10" t="s">
        <v>395</v>
      </c>
      <c r="F10" s="10" t="s">
        <v>29</v>
      </c>
      <c r="G10" s="11">
        <v>85000</v>
      </c>
      <c r="H10" s="8">
        <v>2018</v>
      </c>
      <c r="I10" s="8" t="s">
        <v>30</v>
      </c>
    </row>
    <row r="11" spans="1:9" ht="30" x14ac:dyDescent="0.25">
      <c r="A11" s="8">
        <v>8</v>
      </c>
      <c r="B11" s="10" t="s">
        <v>91</v>
      </c>
      <c r="C11" s="10" t="s">
        <v>481</v>
      </c>
      <c r="D11" s="10" t="s">
        <v>482</v>
      </c>
      <c r="E11" s="10" t="s">
        <v>483</v>
      </c>
      <c r="F11" s="10" t="s">
        <v>29</v>
      </c>
      <c r="G11" s="11">
        <v>150000</v>
      </c>
      <c r="H11" s="8">
        <v>2018</v>
      </c>
      <c r="I11" s="8" t="s">
        <v>34</v>
      </c>
    </row>
    <row r="12" spans="1:9" ht="30" x14ac:dyDescent="0.25">
      <c r="A12" s="8">
        <v>9</v>
      </c>
      <c r="B12" s="10" t="s">
        <v>91</v>
      </c>
      <c r="C12" s="48" t="s">
        <v>453</v>
      </c>
      <c r="D12" s="10" t="s">
        <v>454</v>
      </c>
      <c r="E12" s="10"/>
      <c r="F12" s="10" t="s">
        <v>29</v>
      </c>
      <c r="G12" s="11">
        <v>60000</v>
      </c>
      <c r="H12" s="8">
        <v>2018</v>
      </c>
      <c r="I12" s="8" t="s">
        <v>34</v>
      </c>
    </row>
    <row r="13" spans="1:9" ht="45" x14ac:dyDescent="0.25">
      <c r="A13" s="8">
        <v>10</v>
      </c>
      <c r="B13" s="10" t="s">
        <v>91</v>
      </c>
      <c r="C13" s="10" t="s">
        <v>492</v>
      </c>
      <c r="D13" s="10" t="s">
        <v>493</v>
      </c>
      <c r="E13" s="10" t="s">
        <v>494</v>
      </c>
      <c r="F13" s="10" t="s">
        <v>29</v>
      </c>
      <c r="G13" s="11">
        <v>75000</v>
      </c>
      <c r="H13" s="8">
        <v>2018</v>
      </c>
      <c r="I13" s="8" t="s">
        <v>30</v>
      </c>
    </row>
    <row r="14" spans="1:9" ht="30" x14ac:dyDescent="0.25">
      <c r="A14" s="8">
        <v>11</v>
      </c>
      <c r="B14" s="10" t="s">
        <v>91</v>
      </c>
      <c r="C14" s="10" t="s">
        <v>534</v>
      </c>
      <c r="D14" s="10"/>
      <c r="E14" s="10"/>
      <c r="F14" s="10" t="s">
        <v>29</v>
      </c>
      <c r="G14" s="11">
        <v>20000</v>
      </c>
      <c r="H14" s="8">
        <v>2018</v>
      </c>
      <c r="I14" s="8" t="s">
        <v>30</v>
      </c>
    </row>
    <row r="15" spans="1:9" x14ac:dyDescent="0.25">
      <c r="A15" s="8">
        <v>12</v>
      </c>
      <c r="B15" s="10" t="s">
        <v>91</v>
      </c>
      <c r="C15" s="10" t="s">
        <v>565</v>
      </c>
      <c r="D15" s="10"/>
      <c r="E15" s="10"/>
      <c r="F15" s="10" t="s">
        <v>29</v>
      </c>
      <c r="G15" s="11">
        <v>25000</v>
      </c>
      <c r="H15" s="8">
        <v>2018</v>
      </c>
      <c r="I15" s="8" t="s">
        <v>30</v>
      </c>
    </row>
    <row r="16" spans="1:9" x14ac:dyDescent="0.25">
      <c r="A16" s="8">
        <v>13</v>
      </c>
      <c r="B16" s="10" t="s">
        <v>91</v>
      </c>
      <c r="C16" s="10" t="s">
        <v>566</v>
      </c>
      <c r="D16" s="10"/>
      <c r="E16" s="10"/>
      <c r="F16" s="10" t="s">
        <v>29</v>
      </c>
      <c r="G16" s="11">
        <v>400000</v>
      </c>
      <c r="H16" s="8">
        <v>2018</v>
      </c>
      <c r="I16" s="8" t="s">
        <v>30</v>
      </c>
    </row>
    <row r="17" spans="1:9" x14ac:dyDescent="0.25">
      <c r="A17" s="8">
        <v>14</v>
      </c>
      <c r="B17" s="10" t="s">
        <v>91</v>
      </c>
      <c r="C17" s="10" t="s">
        <v>573</v>
      </c>
      <c r="D17" s="10"/>
      <c r="E17" s="10" t="s">
        <v>574</v>
      </c>
      <c r="F17" s="10" t="s">
        <v>29</v>
      </c>
      <c r="G17" s="11">
        <v>50000</v>
      </c>
      <c r="H17" s="8">
        <v>2018</v>
      </c>
      <c r="I17" s="8" t="s">
        <v>30</v>
      </c>
    </row>
    <row r="18" spans="1:9" x14ac:dyDescent="0.25">
      <c r="A18" s="8">
        <v>15</v>
      </c>
      <c r="B18" s="10"/>
      <c r="C18" s="10"/>
      <c r="D18" s="10"/>
      <c r="E18" s="10"/>
      <c r="F18" s="17"/>
      <c r="G18" s="11"/>
      <c r="H18" s="8"/>
    </row>
    <row r="19" spans="1:9" x14ac:dyDescent="0.25">
      <c r="A19" s="8">
        <v>16</v>
      </c>
      <c r="B19" s="10"/>
      <c r="C19" s="10"/>
      <c r="D19" s="10"/>
      <c r="E19" s="10"/>
      <c r="F19" s="17"/>
      <c r="G19" s="11"/>
      <c r="H19" s="8"/>
    </row>
    <row r="20" spans="1:9" x14ac:dyDescent="0.25">
      <c r="A20" s="8">
        <v>17</v>
      </c>
      <c r="B20" s="10"/>
      <c r="C20" s="10"/>
      <c r="D20" s="10"/>
      <c r="E20" s="10"/>
      <c r="F20" s="17"/>
      <c r="G20" s="11"/>
      <c r="H20" s="8"/>
    </row>
    <row r="21" spans="1:9" x14ac:dyDescent="0.25">
      <c r="A21" s="8">
        <v>18</v>
      </c>
      <c r="B21" s="10"/>
      <c r="C21" s="10"/>
      <c r="D21" s="10"/>
      <c r="E21" s="10"/>
      <c r="F21" s="17"/>
      <c r="G21" s="11"/>
      <c r="H21" s="8"/>
    </row>
    <row r="22" spans="1:9" x14ac:dyDescent="0.25">
      <c r="A22" s="8">
        <v>19</v>
      </c>
      <c r="B22" s="10"/>
      <c r="C22" s="10"/>
      <c r="D22" s="10"/>
      <c r="E22" s="10"/>
      <c r="F22" s="17"/>
      <c r="G22" s="11"/>
      <c r="H22" s="8"/>
    </row>
    <row r="23" spans="1:9" x14ac:dyDescent="0.25">
      <c r="A23" s="8">
        <v>20</v>
      </c>
      <c r="B23" s="27"/>
      <c r="C23" s="27"/>
      <c r="D23" s="27"/>
      <c r="E23" s="27"/>
      <c r="F23" s="28"/>
      <c r="G23" s="29"/>
      <c r="H23" s="30"/>
    </row>
    <row r="24" spans="1:9" x14ac:dyDescent="0.25">
      <c r="A24" s="8">
        <v>21</v>
      </c>
      <c r="B24" s="10"/>
      <c r="C24" s="10"/>
      <c r="D24" s="10"/>
      <c r="E24" s="10"/>
      <c r="F24" s="17"/>
      <c r="G24" s="11"/>
      <c r="H24" s="8"/>
    </row>
    <row r="25" spans="1:9" x14ac:dyDescent="0.25">
      <c r="A25" s="8">
        <v>22</v>
      </c>
      <c r="B25" s="19"/>
      <c r="C25" s="19"/>
      <c r="D25" s="19"/>
      <c r="E25" s="19"/>
      <c r="F25" s="20"/>
      <c r="G25" s="21"/>
      <c r="H25" s="22"/>
    </row>
    <row r="26" spans="1:9" x14ac:dyDescent="0.25">
      <c r="A26" s="8">
        <v>23</v>
      </c>
      <c r="B26" s="10"/>
      <c r="C26" s="10"/>
      <c r="D26" s="10"/>
      <c r="E26" s="10"/>
      <c r="F26" s="17"/>
      <c r="G26" s="11"/>
      <c r="H26" s="8"/>
    </row>
    <row r="27" spans="1:9" x14ac:dyDescent="0.25">
      <c r="A27" s="8">
        <v>24</v>
      </c>
      <c r="B27" s="10"/>
      <c r="C27" s="10"/>
      <c r="D27" s="10"/>
      <c r="E27" s="10"/>
      <c r="F27" s="17"/>
      <c r="G27" s="11"/>
      <c r="H27" s="8"/>
    </row>
    <row r="28" spans="1:9" x14ac:dyDescent="0.25">
      <c r="A28" s="8">
        <v>25</v>
      </c>
      <c r="B28" s="10"/>
      <c r="C28" s="10"/>
      <c r="D28" s="10"/>
      <c r="E28" s="10"/>
      <c r="F28" s="17"/>
      <c r="G28" s="11"/>
      <c r="H28" s="8"/>
    </row>
    <row r="29" spans="1:9" x14ac:dyDescent="0.25">
      <c r="A29" s="8">
        <v>26</v>
      </c>
      <c r="B29" s="48"/>
      <c r="C29" s="10"/>
      <c r="D29" s="10"/>
      <c r="E29" s="10"/>
      <c r="F29" s="49"/>
      <c r="G29" s="11"/>
      <c r="H29" s="17"/>
    </row>
    <row r="30" spans="1:9" x14ac:dyDescent="0.25">
      <c r="A30" s="8">
        <v>27</v>
      </c>
      <c r="B30" s="48"/>
      <c r="C30" s="10"/>
      <c r="D30" s="10"/>
      <c r="E30" s="10"/>
      <c r="F30" s="49"/>
      <c r="G30" s="11"/>
      <c r="H30" s="17"/>
    </row>
    <row r="31" spans="1:9" x14ac:dyDescent="0.25">
      <c r="A31" s="8">
        <v>28</v>
      </c>
      <c r="B31" s="48"/>
      <c r="C31" s="10"/>
      <c r="D31" s="10"/>
      <c r="E31" s="10"/>
      <c r="F31" s="49"/>
      <c r="G31" s="11"/>
      <c r="H31" s="17"/>
    </row>
    <row r="32" spans="1:9" x14ac:dyDescent="0.25">
      <c r="A32" s="8">
        <v>29</v>
      </c>
      <c r="B32" s="48"/>
      <c r="C32" s="10"/>
      <c r="D32" s="10"/>
      <c r="E32" s="10"/>
      <c r="F32" s="49"/>
      <c r="G32" s="11"/>
      <c r="H32" s="17"/>
    </row>
    <row r="33" spans="1:8" x14ac:dyDescent="0.25">
      <c r="A33" s="8">
        <v>30</v>
      </c>
      <c r="B33" s="48"/>
      <c r="C33" s="10"/>
      <c r="D33" s="10"/>
      <c r="E33" s="10"/>
      <c r="F33" s="49"/>
      <c r="G33" s="11"/>
      <c r="H33" s="17"/>
    </row>
    <row r="34" spans="1:8" x14ac:dyDescent="0.25">
      <c r="A34" s="8">
        <v>31</v>
      </c>
      <c r="B34" s="48"/>
      <c r="C34" s="10"/>
      <c r="D34" s="10"/>
      <c r="E34" s="10"/>
      <c r="F34" s="49"/>
      <c r="G34" s="11"/>
      <c r="H34" s="17"/>
    </row>
    <row r="35" spans="1:8" x14ac:dyDescent="0.25">
      <c r="A35" s="8">
        <v>32</v>
      </c>
      <c r="B35" s="48"/>
      <c r="C35" s="10"/>
      <c r="D35" s="10"/>
      <c r="E35" s="10"/>
      <c r="F35" s="49"/>
      <c r="G35" s="11"/>
      <c r="H35" s="17"/>
    </row>
    <row r="36" spans="1:8" x14ac:dyDescent="0.25">
      <c r="A36" s="8">
        <v>33</v>
      </c>
      <c r="B36" s="48"/>
      <c r="C36" s="10"/>
      <c r="D36" s="10"/>
      <c r="E36" s="10"/>
      <c r="F36" s="49"/>
      <c r="G36" s="11"/>
      <c r="H36" s="17"/>
    </row>
    <row r="37" spans="1:8" x14ac:dyDescent="0.25">
      <c r="B37" s="50"/>
      <c r="C37" s="23"/>
      <c r="D37" s="23"/>
      <c r="E37" s="23"/>
      <c r="F37" s="51"/>
      <c r="G37" s="24"/>
      <c r="H37" s="26"/>
    </row>
  </sheetData>
  <mergeCells count="1">
    <mergeCell ref="A1:H2"/>
  </mergeCells>
  <conditionalFormatting sqref="C4:C17">
    <cfRule type="duplicateValues" priority="1"/>
  </conditionalFormatting>
  <dataValidations disablePrompts="1" count="3">
    <dataValidation type="list" allowBlank="1" showInputMessage="1" showErrorMessage="1" sqref="G38:H110 G29:G37" xr:uid="{00000000-0002-0000-0E00-000000000000}">
      <formula1>"implist"</formula1>
    </dataValidation>
    <dataValidation type="list" allowBlank="1" showInputMessage="1" showErrorMessage="1" sqref="F4:F17" xr:uid="{00000000-0002-0000-0E00-000001000000}">
      <formula1>Status</formula1>
    </dataValidation>
    <dataValidation type="list" allowBlank="1" showInputMessage="1" showErrorMessage="1" sqref="I4:I17" xr:uid="{00000000-0002-0000-0E00-000002000000}">
      <formula1>Funding</formula1>
    </dataValidation>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I37"/>
  <sheetViews>
    <sheetView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67</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x14ac:dyDescent="0.25">
      <c r="A4" s="30">
        <v>1</v>
      </c>
      <c r="B4" s="71" t="s">
        <v>67</v>
      </c>
      <c r="C4" s="13" t="s">
        <v>68</v>
      </c>
      <c r="D4" s="13" t="s">
        <v>62</v>
      </c>
      <c r="E4" s="13"/>
      <c r="F4" s="13" t="s">
        <v>598</v>
      </c>
      <c r="G4" s="14">
        <v>4000000</v>
      </c>
      <c r="H4" s="15">
        <v>2018</v>
      </c>
      <c r="I4" s="8" t="s">
        <v>38</v>
      </c>
    </row>
    <row r="5" spans="1:9" ht="30" x14ac:dyDescent="0.25">
      <c r="A5" s="8">
        <v>2</v>
      </c>
      <c r="B5" s="10" t="s">
        <v>67</v>
      </c>
      <c r="C5" s="10" t="s">
        <v>425</v>
      </c>
      <c r="D5" s="10" t="s">
        <v>426</v>
      </c>
      <c r="E5" s="10" t="s">
        <v>427</v>
      </c>
      <c r="F5" s="10" t="s">
        <v>29</v>
      </c>
      <c r="G5" s="11">
        <v>275000</v>
      </c>
      <c r="H5" s="8">
        <v>2018</v>
      </c>
      <c r="I5" s="8" t="s">
        <v>30</v>
      </c>
    </row>
    <row r="6" spans="1:9" ht="45" x14ac:dyDescent="0.25">
      <c r="A6" s="30">
        <v>3</v>
      </c>
      <c r="B6" s="10" t="s">
        <v>67</v>
      </c>
      <c r="C6" s="10" t="s">
        <v>428</v>
      </c>
      <c r="D6" s="10" t="s">
        <v>429</v>
      </c>
      <c r="E6" s="10" t="s">
        <v>430</v>
      </c>
      <c r="F6" s="10" t="s">
        <v>29</v>
      </c>
      <c r="G6" s="11">
        <v>75000</v>
      </c>
      <c r="H6" s="8">
        <v>2018</v>
      </c>
      <c r="I6" s="8" t="s">
        <v>30</v>
      </c>
    </row>
    <row r="7" spans="1:9" ht="30" x14ac:dyDescent="0.25">
      <c r="A7" s="8">
        <v>4</v>
      </c>
      <c r="B7" s="10" t="s">
        <v>67</v>
      </c>
      <c r="C7" s="10" t="s">
        <v>205</v>
      </c>
      <c r="D7" s="10" t="s">
        <v>206</v>
      </c>
      <c r="E7" s="10" t="s">
        <v>207</v>
      </c>
      <c r="F7" s="10" t="s">
        <v>29</v>
      </c>
      <c r="G7" s="11">
        <v>2000000</v>
      </c>
      <c r="H7" s="8">
        <v>2018</v>
      </c>
      <c r="I7" s="8" t="s">
        <v>34</v>
      </c>
    </row>
    <row r="8" spans="1:9" ht="30" x14ac:dyDescent="0.25">
      <c r="A8" s="30">
        <v>5</v>
      </c>
      <c r="B8" s="10" t="s">
        <v>67</v>
      </c>
      <c r="C8" s="10" t="s">
        <v>437</v>
      </c>
      <c r="D8" s="10"/>
      <c r="E8" s="10"/>
      <c r="F8" s="10" t="s">
        <v>29</v>
      </c>
      <c r="G8" s="11"/>
      <c r="H8" s="8">
        <v>2018</v>
      </c>
      <c r="I8" s="8" t="s">
        <v>30</v>
      </c>
    </row>
    <row r="9" spans="1:9" ht="105" x14ac:dyDescent="0.25">
      <c r="A9" s="8">
        <v>6</v>
      </c>
      <c r="B9" s="10" t="s">
        <v>67</v>
      </c>
      <c r="C9" s="10" t="s">
        <v>419</v>
      </c>
      <c r="D9" s="10" t="s">
        <v>420</v>
      </c>
      <c r="E9" s="10" t="s">
        <v>421</v>
      </c>
      <c r="F9" s="10" t="s">
        <v>29</v>
      </c>
      <c r="G9" s="11"/>
      <c r="H9" s="8">
        <v>2018</v>
      </c>
      <c r="I9" s="8" t="s">
        <v>34</v>
      </c>
    </row>
    <row r="10" spans="1:9" ht="45" x14ac:dyDescent="0.25">
      <c r="A10" s="8">
        <v>7</v>
      </c>
      <c r="B10" s="10" t="s">
        <v>67</v>
      </c>
      <c r="C10" s="10" t="s">
        <v>431</v>
      </c>
      <c r="D10" s="10" t="s">
        <v>432</v>
      </c>
      <c r="E10" s="10" t="s">
        <v>433</v>
      </c>
      <c r="F10" s="10" t="s">
        <v>29</v>
      </c>
      <c r="G10" s="11">
        <v>25000</v>
      </c>
      <c r="H10" s="8">
        <v>2018</v>
      </c>
      <c r="I10" s="8" t="s">
        <v>30</v>
      </c>
    </row>
    <row r="11" spans="1:9" ht="75" x14ac:dyDescent="0.25">
      <c r="A11" s="8">
        <v>8</v>
      </c>
      <c r="B11" s="10" t="s">
        <v>67</v>
      </c>
      <c r="C11" s="10" t="s">
        <v>434</v>
      </c>
      <c r="D11" s="10" t="s">
        <v>435</v>
      </c>
      <c r="E11" s="10" t="s">
        <v>436</v>
      </c>
      <c r="F11" s="10" t="s">
        <v>29</v>
      </c>
      <c r="G11" s="11"/>
      <c r="H11" s="8">
        <v>2018</v>
      </c>
      <c r="I11" s="8" t="s">
        <v>30</v>
      </c>
    </row>
    <row r="12" spans="1:9" ht="75" x14ac:dyDescent="0.25">
      <c r="A12" s="8">
        <v>9</v>
      </c>
      <c r="B12" s="10" t="s">
        <v>67</v>
      </c>
      <c r="C12" s="10" t="s">
        <v>531</v>
      </c>
      <c r="D12" s="10" t="s">
        <v>532</v>
      </c>
      <c r="E12" s="10" t="s">
        <v>533</v>
      </c>
      <c r="F12" s="10" t="s">
        <v>29</v>
      </c>
      <c r="G12" s="11">
        <v>2000000</v>
      </c>
      <c r="H12" s="8">
        <v>2018</v>
      </c>
      <c r="I12" s="8" t="s">
        <v>34</v>
      </c>
    </row>
    <row r="13" spans="1:9" ht="45" x14ac:dyDescent="0.25">
      <c r="A13" s="8">
        <v>10</v>
      </c>
      <c r="B13" s="10" t="s">
        <v>67</v>
      </c>
      <c r="C13" s="10" t="s">
        <v>621</v>
      </c>
      <c r="D13" s="10" t="s">
        <v>622</v>
      </c>
      <c r="E13" s="10" t="s">
        <v>623</v>
      </c>
      <c r="F13" s="10" t="s">
        <v>29</v>
      </c>
      <c r="G13" s="32">
        <v>400000</v>
      </c>
      <c r="H13" s="8">
        <v>2019</v>
      </c>
      <c r="I13" s="8" t="s">
        <v>34</v>
      </c>
    </row>
    <row r="14" spans="1:9" ht="45" x14ac:dyDescent="0.25">
      <c r="A14" s="8">
        <v>11</v>
      </c>
      <c r="B14" s="10" t="s">
        <v>67</v>
      </c>
      <c r="C14" s="10" t="s">
        <v>618</v>
      </c>
      <c r="D14" s="10" t="s">
        <v>619</v>
      </c>
      <c r="E14" s="10" t="s">
        <v>620</v>
      </c>
      <c r="F14" s="10" t="s">
        <v>29</v>
      </c>
      <c r="G14" s="32">
        <v>500000</v>
      </c>
      <c r="H14" s="8">
        <v>2019</v>
      </c>
      <c r="I14" s="8" t="s">
        <v>34</v>
      </c>
    </row>
    <row r="15" spans="1:9" ht="45" x14ac:dyDescent="0.25">
      <c r="A15" s="8">
        <v>12</v>
      </c>
      <c r="B15" s="10" t="s">
        <v>67</v>
      </c>
      <c r="C15" s="10" t="s">
        <v>624</v>
      </c>
      <c r="D15" s="10" t="s">
        <v>625</v>
      </c>
      <c r="E15" s="10"/>
      <c r="F15" s="10" t="s">
        <v>29</v>
      </c>
      <c r="G15" s="32">
        <v>750000</v>
      </c>
      <c r="H15" s="8">
        <v>2019</v>
      </c>
      <c r="I15" s="8" t="s">
        <v>34</v>
      </c>
    </row>
    <row r="16" spans="1:9" ht="60" x14ac:dyDescent="0.25">
      <c r="A16" s="8">
        <v>13</v>
      </c>
      <c r="B16" s="10" t="s">
        <v>67</v>
      </c>
      <c r="C16" s="10" t="s">
        <v>626</v>
      </c>
      <c r="D16" s="10" t="s">
        <v>627</v>
      </c>
      <c r="E16" s="10" t="s">
        <v>628</v>
      </c>
      <c r="F16" s="10" t="s">
        <v>29</v>
      </c>
      <c r="G16" s="32"/>
      <c r="H16" s="8">
        <v>2019</v>
      </c>
      <c r="I16" s="8" t="s">
        <v>34</v>
      </c>
    </row>
    <row r="17" spans="1:9" ht="45" x14ac:dyDescent="0.25">
      <c r="A17" s="8">
        <v>14</v>
      </c>
      <c r="B17" s="10" t="s">
        <v>67</v>
      </c>
      <c r="C17" s="10" t="s">
        <v>615</v>
      </c>
      <c r="D17" s="10" t="s">
        <v>616</v>
      </c>
      <c r="E17" s="10" t="s">
        <v>617</v>
      </c>
      <c r="F17" s="10" t="s">
        <v>29</v>
      </c>
      <c r="G17" s="32">
        <v>1500000</v>
      </c>
      <c r="H17" s="8">
        <v>2019</v>
      </c>
      <c r="I17" s="8" t="s">
        <v>34</v>
      </c>
    </row>
    <row r="18" spans="1:9" x14ac:dyDescent="0.25">
      <c r="A18" s="8">
        <v>15</v>
      </c>
      <c r="B18" s="10"/>
      <c r="C18" s="10"/>
      <c r="D18" s="10"/>
      <c r="E18" s="10"/>
      <c r="F18" s="10"/>
      <c r="G18" s="11"/>
      <c r="H18" s="8"/>
    </row>
    <row r="19" spans="1:9" x14ac:dyDescent="0.25">
      <c r="A19" s="8">
        <v>16</v>
      </c>
      <c r="B19" s="10"/>
      <c r="C19" s="10"/>
      <c r="D19" s="10"/>
      <c r="E19" s="10"/>
      <c r="F19" s="10"/>
      <c r="G19" s="11"/>
      <c r="H19" s="8"/>
    </row>
    <row r="20" spans="1:9" x14ac:dyDescent="0.25">
      <c r="A20" s="8">
        <v>17</v>
      </c>
      <c r="B20" s="23"/>
      <c r="C20" s="50"/>
      <c r="D20" s="23"/>
      <c r="E20" s="23"/>
      <c r="F20" s="17"/>
      <c r="G20" s="82"/>
      <c r="H20" s="8"/>
    </row>
    <row r="21" spans="1:9" x14ac:dyDescent="0.25">
      <c r="A21" s="8">
        <v>18</v>
      </c>
      <c r="B21" s="23"/>
      <c r="C21" s="50"/>
      <c r="D21" s="23"/>
      <c r="E21" s="23"/>
      <c r="F21" s="17"/>
      <c r="G21" s="82"/>
      <c r="H21" s="8"/>
    </row>
    <row r="22" spans="1:9" x14ac:dyDescent="0.25">
      <c r="A22" s="8">
        <v>19</v>
      </c>
      <c r="B22" s="23"/>
      <c r="C22" s="50"/>
      <c r="D22" s="85"/>
      <c r="E22" s="23"/>
      <c r="F22" s="17"/>
      <c r="G22" s="82"/>
      <c r="H22" s="8"/>
    </row>
    <row r="23" spans="1:9" x14ac:dyDescent="0.25">
      <c r="A23" s="8">
        <v>20</v>
      </c>
      <c r="B23" s="23"/>
      <c r="C23" s="50"/>
      <c r="D23" s="23"/>
      <c r="E23" s="23"/>
      <c r="F23" s="28"/>
      <c r="G23" s="82"/>
      <c r="H23" s="30"/>
    </row>
    <row r="24" spans="1:9" x14ac:dyDescent="0.25">
      <c r="A24" s="8">
        <v>21</v>
      </c>
      <c r="B24" s="23"/>
      <c r="C24" s="50"/>
      <c r="D24" s="23"/>
      <c r="E24" s="23"/>
      <c r="F24" s="17"/>
      <c r="G24" s="11"/>
      <c r="H24" s="8"/>
    </row>
    <row r="25" spans="1:9" x14ac:dyDescent="0.25">
      <c r="A25" s="8">
        <v>22</v>
      </c>
      <c r="B25" s="19"/>
      <c r="C25" s="19"/>
      <c r="D25" s="19"/>
      <c r="E25" s="19"/>
      <c r="F25" s="20"/>
      <c r="G25" s="21"/>
      <c r="H25" s="22"/>
    </row>
    <row r="26" spans="1:9" x14ac:dyDescent="0.25">
      <c r="A26" s="8">
        <v>23</v>
      </c>
      <c r="B26" s="10"/>
      <c r="C26" s="10"/>
      <c r="D26" s="10"/>
      <c r="E26" s="10"/>
      <c r="F26" s="17"/>
      <c r="G26" s="11"/>
      <c r="H26" s="8"/>
    </row>
    <row r="27" spans="1:9" x14ac:dyDescent="0.25">
      <c r="A27" s="8">
        <v>24</v>
      </c>
      <c r="B27" s="10"/>
      <c r="C27" s="10"/>
      <c r="D27" s="10"/>
      <c r="E27" s="10"/>
      <c r="F27" s="17"/>
      <c r="G27" s="11"/>
      <c r="H27" s="8"/>
    </row>
    <row r="28" spans="1:9" x14ac:dyDescent="0.25">
      <c r="A28" s="8">
        <v>25</v>
      </c>
      <c r="B28" s="10"/>
      <c r="C28" s="10"/>
      <c r="D28" s="10"/>
      <c r="E28" s="10"/>
      <c r="F28" s="17"/>
      <c r="G28" s="11"/>
      <c r="H28" s="8"/>
    </row>
    <row r="29" spans="1:9" x14ac:dyDescent="0.25">
      <c r="A29" s="8">
        <v>26</v>
      </c>
      <c r="B29" s="48"/>
      <c r="C29" s="10"/>
      <c r="D29" s="10"/>
      <c r="E29" s="10"/>
      <c r="F29" s="49"/>
      <c r="G29" s="11"/>
      <c r="H29" s="17"/>
    </row>
    <row r="30" spans="1:9" x14ac:dyDescent="0.25">
      <c r="A30" s="8">
        <v>27</v>
      </c>
      <c r="B30" s="48"/>
      <c r="C30" s="10"/>
      <c r="D30" s="10"/>
      <c r="E30" s="10"/>
      <c r="F30" s="49"/>
      <c r="G30" s="11"/>
      <c r="H30" s="17"/>
    </row>
    <row r="31" spans="1:9" x14ac:dyDescent="0.25">
      <c r="A31" s="8">
        <v>28</v>
      </c>
      <c r="B31" s="48"/>
      <c r="C31" s="10"/>
      <c r="D31" s="10"/>
      <c r="E31" s="10"/>
      <c r="F31" s="49"/>
      <c r="G31" s="11"/>
      <c r="H31" s="17"/>
    </row>
    <row r="32" spans="1:9" x14ac:dyDescent="0.25">
      <c r="A32" s="8">
        <v>29</v>
      </c>
      <c r="B32" s="48"/>
      <c r="C32" s="10"/>
      <c r="D32" s="10"/>
      <c r="E32" s="10"/>
      <c r="F32" s="49"/>
      <c r="G32" s="11"/>
      <c r="H32" s="17"/>
    </row>
    <row r="33" spans="1:8" x14ac:dyDescent="0.25">
      <c r="A33" s="8">
        <v>30</v>
      </c>
      <c r="B33" s="48"/>
      <c r="C33" s="10"/>
      <c r="D33" s="10"/>
      <c r="E33" s="10"/>
      <c r="F33" s="49"/>
      <c r="G33" s="11"/>
      <c r="H33" s="17"/>
    </row>
    <row r="34" spans="1:8" x14ac:dyDescent="0.25">
      <c r="A34" s="8">
        <v>31</v>
      </c>
      <c r="B34" s="48"/>
      <c r="C34" s="10"/>
      <c r="D34" s="10"/>
      <c r="E34" s="10"/>
      <c r="F34" s="49"/>
      <c r="G34" s="11"/>
      <c r="H34" s="17"/>
    </row>
    <row r="35" spans="1:8" x14ac:dyDescent="0.25">
      <c r="A35" s="8">
        <v>32</v>
      </c>
      <c r="B35" s="48"/>
      <c r="C35" s="10"/>
      <c r="D35" s="10"/>
      <c r="E35" s="10"/>
      <c r="F35" s="49"/>
      <c r="G35" s="11"/>
      <c r="H35" s="17"/>
    </row>
    <row r="36" spans="1:8" x14ac:dyDescent="0.25">
      <c r="A36" s="8">
        <v>33</v>
      </c>
      <c r="B36" s="48"/>
      <c r="C36" s="10"/>
      <c r="D36" s="10"/>
      <c r="E36" s="10"/>
      <c r="F36" s="49"/>
      <c r="G36" s="11"/>
      <c r="H36" s="17"/>
    </row>
    <row r="37" spans="1:8" x14ac:dyDescent="0.25">
      <c r="B37" s="50"/>
      <c r="C37" s="23"/>
      <c r="D37" s="23"/>
      <c r="E37" s="23"/>
      <c r="F37" s="51"/>
      <c r="G37" s="24"/>
      <c r="H37" s="26"/>
    </row>
  </sheetData>
  <mergeCells count="1">
    <mergeCell ref="A1:H2"/>
  </mergeCells>
  <conditionalFormatting sqref="C4:C17">
    <cfRule type="duplicateValues" priority="1"/>
  </conditionalFormatting>
  <dataValidations count="3">
    <dataValidation type="list" allowBlank="1" showInputMessage="1" showErrorMessage="1" sqref="G38:H110 G29:G37" xr:uid="{00000000-0002-0000-0F00-000000000000}">
      <formula1>"implist"</formula1>
    </dataValidation>
    <dataValidation type="list" allowBlank="1" showInputMessage="1" showErrorMessage="1" sqref="F4:F19" xr:uid="{00000000-0002-0000-0F00-000001000000}">
      <formula1>Status</formula1>
    </dataValidation>
    <dataValidation type="list" allowBlank="1" showInputMessage="1" showErrorMessage="1" sqref="I4:I17" xr:uid="{00000000-0002-0000-0F00-000002000000}">
      <formula1>Funding</formula1>
    </dataValidation>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I48"/>
  <sheetViews>
    <sheetView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8.140625" customWidth="1"/>
    <col min="8" max="8" width="24.7109375" style="36" customWidth="1"/>
  </cols>
  <sheetData>
    <row r="1" spans="1:9" ht="30" customHeight="1" x14ac:dyDescent="0.25">
      <c r="A1" s="204" t="s">
        <v>602</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x14ac:dyDescent="0.25">
      <c r="A4" s="30">
        <v>1</v>
      </c>
      <c r="B4" s="13" t="s">
        <v>69</v>
      </c>
      <c r="C4" s="13" t="s">
        <v>9</v>
      </c>
      <c r="D4" s="13" t="s">
        <v>62</v>
      </c>
      <c r="E4" s="13"/>
      <c r="F4" s="13" t="s">
        <v>598</v>
      </c>
      <c r="G4" s="14">
        <v>500000</v>
      </c>
      <c r="H4" s="15">
        <v>2018</v>
      </c>
      <c r="I4" s="15" t="s">
        <v>38</v>
      </c>
    </row>
    <row r="5" spans="1:9" ht="60" x14ac:dyDescent="0.25">
      <c r="A5" s="8">
        <v>2</v>
      </c>
      <c r="B5" s="10" t="s">
        <v>299</v>
      </c>
      <c r="C5" s="10" t="s">
        <v>300</v>
      </c>
      <c r="D5" s="10" t="s">
        <v>301</v>
      </c>
      <c r="E5" s="10" t="s">
        <v>302</v>
      </c>
      <c r="F5" s="10" t="s">
        <v>29</v>
      </c>
      <c r="G5" s="18">
        <v>35000</v>
      </c>
      <c r="H5" s="8">
        <v>2018</v>
      </c>
      <c r="I5" s="8" t="s">
        <v>30</v>
      </c>
    </row>
    <row r="6" spans="1:9" ht="105" x14ac:dyDescent="0.25">
      <c r="A6" s="30">
        <v>3</v>
      </c>
      <c r="B6" s="10" t="s">
        <v>143</v>
      </c>
      <c r="C6" s="10" t="s">
        <v>333</v>
      </c>
      <c r="D6" s="10" t="s">
        <v>334</v>
      </c>
      <c r="E6" s="10" t="s">
        <v>335</v>
      </c>
      <c r="F6" s="10" t="s">
        <v>29</v>
      </c>
      <c r="G6" s="18">
        <v>40000</v>
      </c>
      <c r="H6" s="8">
        <v>2018</v>
      </c>
      <c r="I6" s="8" t="s">
        <v>30</v>
      </c>
    </row>
    <row r="7" spans="1:9" ht="75" x14ac:dyDescent="0.25">
      <c r="A7" s="8">
        <v>4</v>
      </c>
      <c r="B7" s="10" t="s">
        <v>143</v>
      </c>
      <c r="C7" s="10" t="s">
        <v>163</v>
      </c>
      <c r="D7" s="10" t="s">
        <v>164</v>
      </c>
      <c r="E7" s="10" t="s">
        <v>165</v>
      </c>
      <c r="F7" s="10" t="s">
        <v>29</v>
      </c>
      <c r="G7" s="18">
        <v>40000</v>
      </c>
      <c r="H7" s="8">
        <v>2018</v>
      </c>
      <c r="I7" s="8" t="s">
        <v>30</v>
      </c>
    </row>
    <row r="8" spans="1:9" ht="135" x14ac:dyDescent="0.25">
      <c r="A8" s="30">
        <v>5</v>
      </c>
      <c r="B8" s="10" t="s">
        <v>69</v>
      </c>
      <c r="C8" s="10" t="s">
        <v>378</v>
      </c>
      <c r="D8" s="10" t="s">
        <v>379</v>
      </c>
      <c r="E8" s="10" t="s">
        <v>380</v>
      </c>
      <c r="F8" s="10" t="s">
        <v>29</v>
      </c>
      <c r="G8" s="18">
        <v>20000</v>
      </c>
      <c r="H8" s="8">
        <v>2018</v>
      </c>
      <c r="I8" s="8" t="s">
        <v>34</v>
      </c>
    </row>
    <row r="9" spans="1:9" ht="105" x14ac:dyDescent="0.25">
      <c r="A9" s="8">
        <v>6</v>
      </c>
      <c r="B9" s="10" t="s">
        <v>143</v>
      </c>
      <c r="C9" s="10" t="s">
        <v>144</v>
      </c>
      <c r="D9" s="10" t="s">
        <v>145</v>
      </c>
      <c r="E9" s="10" t="s">
        <v>146</v>
      </c>
      <c r="F9" s="10" t="s">
        <v>29</v>
      </c>
      <c r="G9" s="18">
        <v>50000</v>
      </c>
      <c r="H9" s="8">
        <v>2018</v>
      </c>
      <c r="I9" s="8" t="s">
        <v>34</v>
      </c>
    </row>
    <row r="10" spans="1:9" ht="60" x14ac:dyDescent="0.25">
      <c r="A10" s="8">
        <v>7</v>
      </c>
      <c r="B10" s="10" t="s">
        <v>299</v>
      </c>
      <c r="C10" s="10" t="s">
        <v>414</v>
      </c>
      <c r="D10" s="10" t="s">
        <v>414</v>
      </c>
      <c r="E10" s="10" t="s">
        <v>415</v>
      </c>
      <c r="F10" s="10" t="s">
        <v>29</v>
      </c>
      <c r="G10" s="18">
        <v>100000</v>
      </c>
      <c r="H10" s="8">
        <v>2018</v>
      </c>
      <c r="I10" s="8" t="s">
        <v>30</v>
      </c>
    </row>
    <row r="11" spans="1:9" ht="45" x14ac:dyDescent="0.25">
      <c r="A11" s="8">
        <v>8</v>
      </c>
      <c r="B11" s="10" t="s">
        <v>143</v>
      </c>
      <c r="C11" s="10" t="s">
        <v>166</v>
      </c>
      <c r="D11" s="10" t="s">
        <v>167</v>
      </c>
      <c r="E11" s="10" t="s">
        <v>168</v>
      </c>
      <c r="F11" s="10" t="s">
        <v>29</v>
      </c>
      <c r="G11" s="18">
        <v>40000</v>
      </c>
      <c r="H11" s="8">
        <v>2018</v>
      </c>
      <c r="I11" s="8" t="s">
        <v>34</v>
      </c>
    </row>
    <row r="12" spans="1:9" ht="150" x14ac:dyDescent="0.25">
      <c r="A12" s="8">
        <v>9</v>
      </c>
      <c r="B12" s="10" t="s">
        <v>299</v>
      </c>
      <c r="C12" s="10" t="s">
        <v>450</v>
      </c>
      <c r="D12" s="10" t="s">
        <v>451</v>
      </c>
      <c r="E12" s="10" t="s">
        <v>452</v>
      </c>
      <c r="F12" s="10" t="s">
        <v>29</v>
      </c>
      <c r="G12" s="18">
        <v>50000</v>
      </c>
      <c r="H12" s="8">
        <v>2018</v>
      </c>
      <c r="I12" s="8" t="s">
        <v>34</v>
      </c>
    </row>
    <row r="13" spans="1:9" ht="30" x14ac:dyDescent="0.25">
      <c r="A13" s="8">
        <v>10</v>
      </c>
      <c r="B13" s="10" t="s">
        <v>69</v>
      </c>
      <c r="C13" s="10" t="s">
        <v>552</v>
      </c>
      <c r="D13" s="10" t="s">
        <v>553</v>
      </c>
      <c r="E13" s="10" t="s">
        <v>554</v>
      </c>
      <c r="F13" s="10" t="s">
        <v>29</v>
      </c>
      <c r="G13" s="18">
        <v>400000</v>
      </c>
      <c r="H13" s="8">
        <v>2018</v>
      </c>
      <c r="I13" s="8" t="s">
        <v>30</v>
      </c>
    </row>
    <row r="14" spans="1:9" ht="60" x14ac:dyDescent="0.25">
      <c r="A14" s="8">
        <v>11</v>
      </c>
      <c r="B14" s="27" t="s">
        <v>143</v>
      </c>
      <c r="C14" s="27" t="s">
        <v>372</v>
      </c>
      <c r="D14" s="27" t="s">
        <v>373</v>
      </c>
      <c r="E14" s="27" t="s">
        <v>374</v>
      </c>
      <c r="F14" s="27" t="s">
        <v>29</v>
      </c>
      <c r="G14" s="83">
        <v>15000000</v>
      </c>
      <c r="H14" s="30">
        <v>2018</v>
      </c>
      <c r="I14" s="30" t="s">
        <v>34</v>
      </c>
    </row>
    <row r="15" spans="1:9" x14ac:dyDescent="0.25">
      <c r="A15" s="8">
        <v>12</v>
      </c>
      <c r="B15" s="10"/>
      <c r="C15" s="10"/>
      <c r="D15" s="10"/>
      <c r="E15" s="10"/>
      <c r="F15" s="10"/>
      <c r="G15" s="55"/>
      <c r="H15" s="8"/>
    </row>
    <row r="16" spans="1:9" x14ac:dyDescent="0.25">
      <c r="A16" s="8">
        <v>13</v>
      </c>
      <c r="B16" s="10"/>
      <c r="C16" s="10"/>
      <c r="D16" s="10"/>
      <c r="E16" s="10"/>
      <c r="F16" s="17"/>
      <c r="G16" s="47"/>
      <c r="H16" s="8"/>
    </row>
    <row r="17" spans="1:8" x14ac:dyDescent="0.25">
      <c r="A17" s="8">
        <v>14</v>
      </c>
      <c r="B17" s="10"/>
      <c r="C17" s="10"/>
      <c r="D17" s="10"/>
      <c r="E17" s="10"/>
      <c r="F17" s="17"/>
      <c r="G17" s="11"/>
      <c r="H17" s="8"/>
    </row>
    <row r="18" spans="1:8" x14ac:dyDescent="0.25">
      <c r="A18" s="8">
        <v>15</v>
      </c>
      <c r="B18" s="10"/>
      <c r="C18" s="10"/>
      <c r="D18" s="10"/>
      <c r="E18" s="10"/>
      <c r="F18" s="17"/>
      <c r="G18" s="11"/>
      <c r="H18" s="8"/>
    </row>
    <row r="19" spans="1:8" x14ac:dyDescent="0.25">
      <c r="A19" s="8">
        <v>16</v>
      </c>
      <c r="B19" s="10"/>
      <c r="C19" s="10"/>
      <c r="D19" s="10"/>
      <c r="E19" s="10"/>
      <c r="F19" s="17"/>
      <c r="G19" s="11"/>
      <c r="H19" s="8"/>
    </row>
    <row r="20" spans="1:8" x14ac:dyDescent="0.25">
      <c r="A20" s="8">
        <v>17</v>
      </c>
      <c r="B20" s="10"/>
      <c r="C20" s="10"/>
      <c r="D20" s="10"/>
      <c r="E20" s="10"/>
      <c r="F20" s="17"/>
      <c r="G20" s="11"/>
      <c r="H20" s="8"/>
    </row>
    <row r="21" spans="1:8" x14ac:dyDescent="0.25">
      <c r="A21" s="8">
        <v>18</v>
      </c>
      <c r="B21" s="10"/>
      <c r="C21" s="10"/>
      <c r="D21" s="10"/>
      <c r="E21" s="10"/>
      <c r="F21" s="17"/>
      <c r="G21" s="11"/>
      <c r="H21" s="8"/>
    </row>
    <row r="22" spans="1:8" x14ac:dyDescent="0.25">
      <c r="A22" s="8">
        <v>19</v>
      </c>
      <c r="B22" s="10"/>
      <c r="C22" s="10"/>
      <c r="D22" s="10"/>
      <c r="E22" s="10"/>
      <c r="F22" s="17"/>
      <c r="G22" s="11"/>
      <c r="H22" s="8"/>
    </row>
    <row r="23" spans="1:8" x14ac:dyDescent="0.25">
      <c r="A23" s="8">
        <v>20</v>
      </c>
      <c r="B23" s="10"/>
      <c r="C23" s="10"/>
      <c r="D23" s="10"/>
      <c r="E23" s="10"/>
      <c r="F23" s="17"/>
      <c r="G23" s="11"/>
      <c r="H23" s="8"/>
    </row>
    <row r="24" spans="1:8" x14ac:dyDescent="0.25">
      <c r="A24" s="8">
        <v>21</v>
      </c>
      <c r="B24" s="10"/>
      <c r="C24" s="10"/>
      <c r="D24" s="10"/>
      <c r="E24" s="10"/>
      <c r="F24" s="17"/>
      <c r="G24" s="11"/>
      <c r="H24" s="8"/>
    </row>
    <row r="25" spans="1:8" x14ac:dyDescent="0.25">
      <c r="A25" s="8">
        <v>22</v>
      </c>
      <c r="B25" s="10"/>
      <c r="C25" s="10"/>
      <c r="D25" s="10"/>
      <c r="E25" s="10"/>
      <c r="F25" s="17"/>
      <c r="G25" s="11"/>
      <c r="H25" s="8"/>
    </row>
    <row r="26" spans="1:8" x14ac:dyDescent="0.25">
      <c r="A26" s="8">
        <v>23</v>
      </c>
      <c r="B26" s="10"/>
      <c r="C26" s="10"/>
      <c r="D26" s="10"/>
      <c r="E26" s="10"/>
      <c r="F26" s="17"/>
      <c r="G26" s="11"/>
      <c r="H26" s="8"/>
    </row>
    <row r="27" spans="1:8" x14ac:dyDescent="0.25">
      <c r="A27" s="8">
        <v>24</v>
      </c>
      <c r="B27" s="10"/>
      <c r="C27" s="10"/>
      <c r="D27" s="10"/>
      <c r="E27" s="10"/>
      <c r="F27" s="17"/>
      <c r="G27" s="11"/>
      <c r="H27" s="8"/>
    </row>
    <row r="28" spans="1:8" x14ac:dyDescent="0.25">
      <c r="A28" s="8">
        <v>25</v>
      </c>
      <c r="B28" s="10"/>
      <c r="C28" s="10"/>
      <c r="D28" s="10"/>
      <c r="E28" s="10"/>
      <c r="F28" s="17"/>
      <c r="G28" s="11"/>
      <c r="H28" s="8"/>
    </row>
    <row r="29" spans="1:8" x14ac:dyDescent="0.25">
      <c r="A29" s="8">
        <v>26</v>
      </c>
      <c r="B29" s="10"/>
      <c r="C29" s="10"/>
      <c r="D29" s="10"/>
      <c r="E29" s="10"/>
      <c r="F29" s="17"/>
      <c r="G29" s="11"/>
      <c r="H29" s="8"/>
    </row>
    <row r="30" spans="1:8" x14ac:dyDescent="0.25">
      <c r="A30" s="8">
        <v>27</v>
      </c>
      <c r="B30" s="10"/>
      <c r="C30" s="10"/>
      <c r="D30" s="10"/>
      <c r="E30" s="10"/>
      <c r="F30" s="17"/>
      <c r="G30" s="11"/>
      <c r="H30" s="8"/>
    </row>
    <row r="31" spans="1:8" x14ac:dyDescent="0.25">
      <c r="A31" s="8">
        <v>28</v>
      </c>
      <c r="B31" s="10"/>
      <c r="C31" s="10"/>
      <c r="D31" s="10"/>
      <c r="E31" s="10"/>
      <c r="F31" s="17"/>
      <c r="G31" s="11"/>
      <c r="H31" s="8"/>
    </row>
    <row r="32" spans="1:8" x14ac:dyDescent="0.25">
      <c r="A32" s="8">
        <v>29</v>
      </c>
      <c r="B32" s="10"/>
      <c r="C32" s="10"/>
      <c r="D32" s="10"/>
      <c r="E32" s="10"/>
      <c r="F32" s="17"/>
      <c r="G32" s="11"/>
      <c r="H32" s="8"/>
    </row>
    <row r="33" spans="1:8" x14ac:dyDescent="0.25">
      <c r="A33" s="8">
        <v>30</v>
      </c>
      <c r="B33" s="10"/>
      <c r="C33" s="10"/>
      <c r="D33" s="10"/>
      <c r="E33" s="10"/>
      <c r="F33" s="17"/>
      <c r="G33" s="11"/>
      <c r="H33" s="8"/>
    </row>
    <row r="34" spans="1:8" x14ac:dyDescent="0.25">
      <c r="A34" s="8">
        <v>31</v>
      </c>
      <c r="B34" s="10"/>
      <c r="C34" s="10"/>
      <c r="D34" s="10"/>
      <c r="E34" s="10"/>
      <c r="F34" s="17"/>
      <c r="G34" s="11"/>
      <c r="H34" s="8"/>
    </row>
    <row r="35" spans="1:8" x14ac:dyDescent="0.25">
      <c r="A35" s="8">
        <v>32</v>
      </c>
      <c r="B35" s="10"/>
      <c r="C35" s="10"/>
      <c r="D35" s="10"/>
      <c r="E35" s="10"/>
      <c r="F35" s="17"/>
      <c r="G35" s="11"/>
      <c r="H35" s="8"/>
    </row>
    <row r="36" spans="1:8" x14ac:dyDescent="0.25">
      <c r="A36" s="8">
        <v>33</v>
      </c>
      <c r="B36" s="10"/>
      <c r="C36" s="10"/>
      <c r="D36" s="10"/>
      <c r="E36" s="10"/>
      <c r="F36" s="17"/>
      <c r="G36" s="11"/>
      <c r="H36" s="8"/>
    </row>
    <row r="37" spans="1:8" x14ac:dyDescent="0.25">
      <c r="B37" s="10"/>
      <c r="C37" s="10"/>
      <c r="D37" s="10"/>
      <c r="E37" s="10"/>
      <c r="F37" s="17"/>
      <c r="G37" s="11"/>
      <c r="H37" s="8"/>
    </row>
    <row r="38" spans="1:8" x14ac:dyDescent="0.25">
      <c r="B38" s="23"/>
      <c r="C38" s="53"/>
      <c r="D38" s="23"/>
      <c r="E38" s="23"/>
      <c r="F38" s="26"/>
      <c r="G38" s="54"/>
      <c r="H38" s="25"/>
    </row>
    <row r="39" spans="1:8" x14ac:dyDescent="0.25">
      <c r="B39" s="10"/>
      <c r="C39" s="1"/>
      <c r="D39" s="10"/>
      <c r="E39" s="10"/>
      <c r="F39" s="17"/>
      <c r="G39" s="52"/>
      <c r="H39" s="8"/>
    </row>
    <row r="40" spans="1:8" x14ac:dyDescent="0.25">
      <c r="B40" s="10"/>
      <c r="C40" s="1"/>
      <c r="D40" s="10"/>
      <c r="E40" s="10"/>
      <c r="F40" s="17"/>
      <c r="G40" s="52"/>
      <c r="H40" s="8"/>
    </row>
    <row r="41" spans="1:8" x14ac:dyDescent="0.25">
      <c r="B41" s="10"/>
      <c r="C41" s="1"/>
      <c r="D41" s="10"/>
      <c r="E41" s="10"/>
      <c r="F41" s="17"/>
      <c r="G41" s="52"/>
      <c r="H41" s="8"/>
    </row>
    <row r="42" spans="1:8" x14ac:dyDescent="0.25">
      <c r="B42" s="10"/>
      <c r="C42" s="1"/>
      <c r="D42" s="10"/>
      <c r="E42" s="10"/>
      <c r="F42" s="17"/>
      <c r="G42" s="52"/>
      <c r="H42" s="8"/>
    </row>
    <row r="43" spans="1:8" x14ac:dyDescent="0.25">
      <c r="B43" s="23"/>
      <c r="C43" s="53"/>
      <c r="D43" s="23"/>
      <c r="E43" s="23"/>
      <c r="F43" s="26"/>
      <c r="G43" s="54"/>
      <c r="H43" s="25"/>
    </row>
    <row r="44" spans="1:8" x14ac:dyDescent="0.25">
      <c r="B44" s="23"/>
      <c r="C44" s="53"/>
      <c r="D44" s="23"/>
      <c r="E44" s="23"/>
      <c r="F44" s="26"/>
      <c r="G44" s="54"/>
      <c r="H44" s="25"/>
    </row>
    <row r="45" spans="1:8" x14ac:dyDescent="0.25">
      <c r="B45" s="10"/>
      <c r="C45" s="1"/>
      <c r="D45" s="10"/>
      <c r="E45" s="10"/>
      <c r="F45" s="17"/>
      <c r="G45" s="52"/>
      <c r="H45" s="8"/>
    </row>
    <row r="46" spans="1:8" x14ac:dyDescent="0.25">
      <c r="B46" s="10"/>
      <c r="C46" s="1"/>
      <c r="D46" s="10"/>
      <c r="E46" s="10"/>
      <c r="F46" s="17"/>
      <c r="G46" s="52"/>
      <c r="H46" s="8"/>
    </row>
    <row r="47" spans="1:8" x14ac:dyDescent="0.25">
      <c r="B47" s="23"/>
      <c r="C47" s="53"/>
      <c r="D47" s="23"/>
      <c r="E47" s="23"/>
      <c r="F47" s="26"/>
      <c r="G47" s="54"/>
      <c r="H47" s="25"/>
    </row>
    <row r="48" spans="1:8" x14ac:dyDescent="0.25">
      <c r="B48" s="23"/>
      <c r="C48" s="53"/>
      <c r="D48" s="23"/>
      <c r="E48" s="23"/>
      <c r="F48" s="26"/>
      <c r="G48" s="54"/>
      <c r="H48" s="25"/>
    </row>
  </sheetData>
  <mergeCells count="1">
    <mergeCell ref="A1:H2"/>
  </mergeCells>
  <conditionalFormatting sqref="C4:C14">
    <cfRule type="duplicateValues" priority="1"/>
  </conditionalFormatting>
  <dataValidations count="3">
    <dataValidation type="list" allowBlank="1" showInputMessage="1" showErrorMessage="1" sqref="G49:H110" xr:uid="{00000000-0002-0000-1000-000000000000}">
      <formula1>"implist"</formula1>
    </dataValidation>
    <dataValidation type="list" allowBlank="1" showInputMessage="1" showErrorMessage="1" sqref="F4:F14" xr:uid="{00000000-0002-0000-1000-000001000000}">
      <formula1>Status</formula1>
    </dataValidation>
    <dataValidation type="list" allowBlank="1" showInputMessage="1" showErrorMessage="1" sqref="I4:I14" xr:uid="{00000000-0002-0000-1000-000002000000}">
      <formula1>Funding</formula1>
    </dataValidation>
  </dataValidation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9"/>
  <sheetViews>
    <sheetView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61</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x14ac:dyDescent="0.25">
      <c r="A4" s="30">
        <v>1</v>
      </c>
      <c r="B4" s="71" t="s">
        <v>61</v>
      </c>
      <c r="C4" s="13" t="s">
        <v>4</v>
      </c>
      <c r="D4" s="13" t="s">
        <v>62</v>
      </c>
      <c r="E4" s="13"/>
      <c r="F4" s="13" t="s">
        <v>598</v>
      </c>
      <c r="G4" s="14">
        <v>4500000</v>
      </c>
      <c r="H4" s="15">
        <v>2018</v>
      </c>
      <c r="I4" s="15" t="s">
        <v>38</v>
      </c>
    </row>
    <row r="5" spans="1:9" x14ac:dyDescent="0.25">
      <c r="A5" s="8">
        <v>2</v>
      </c>
      <c r="B5" s="71" t="s">
        <v>61</v>
      </c>
      <c r="C5" s="13" t="s">
        <v>5</v>
      </c>
      <c r="D5" s="13" t="s">
        <v>62</v>
      </c>
      <c r="E5" s="13"/>
      <c r="F5" s="13" t="s">
        <v>598</v>
      </c>
      <c r="G5" s="14">
        <v>750000</v>
      </c>
      <c r="H5" s="15">
        <v>2018</v>
      </c>
      <c r="I5" s="15" t="s">
        <v>38</v>
      </c>
    </row>
    <row r="6" spans="1:9" x14ac:dyDescent="0.25">
      <c r="A6" s="30">
        <v>3</v>
      </c>
      <c r="B6" s="13" t="s">
        <v>61</v>
      </c>
      <c r="C6" s="13" t="s">
        <v>17</v>
      </c>
      <c r="D6" s="13" t="s">
        <v>62</v>
      </c>
      <c r="E6" s="13"/>
      <c r="F6" s="13" t="s">
        <v>598</v>
      </c>
      <c r="G6" s="14">
        <v>2000000</v>
      </c>
      <c r="H6" s="15">
        <v>2018</v>
      </c>
      <c r="I6" s="15" t="s">
        <v>38</v>
      </c>
    </row>
    <row r="7" spans="1:9" ht="90" x14ac:dyDescent="0.25">
      <c r="A7" s="8">
        <v>4</v>
      </c>
      <c r="B7" s="13" t="s">
        <v>61</v>
      </c>
      <c r="C7" s="13" t="s">
        <v>3</v>
      </c>
      <c r="D7" s="13" t="s">
        <v>62</v>
      </c>
      <c r="E7" s="13" t="s">
        <v>63</v>
      </c>
      <c r="F7" s="13" t="s">
        <v>598</v>
      </c>
      <c r="G7" s="14" t="s">
        <v>64</v>
      </c>
      <c r="H7" s="15">
        <v>2018</v>
      </c>
      <c r="I7" s="15" t="s">
        <v>38</v>
      </c>
    </row>
    <row r="8" spans="1:9" ht="75" x14ac:dyDescent="0.25">
      <c r="A8" s="30">
        <v>5</v>
      </c>
      <c r="B8" s="13" t="s">
        <v>61</v>
      </c>
      <c r="C8" s="13" t="s">
        <v>498</v>
      </c>
      <c r="D8" s="13" t="s">
        <v>499</v>
      </c>
      <c r="E8" s="13" t="s">
        <v>458</v>
      </c>
      <c r="F8" s="13" t="s">
        <v>598</v>
      </c>
      <c r="G8" s="14">
        <v>4000000</v>
      </c>
      <c r="H8" s="15">
        <v>2018</v>
      </c>
      <c r="I8" s="15" t="s">
        <v>34</v>
      </c>
    </row>
    <row r="9" spans="1:9" ht="75" x14ac:dyDescent="0.25">
      <c r="A9" s="8">
        <v>6</v>
      </c>
      <c r="B9" s="13" t="s">
        <v>61</v>
      </c>
      <c r="C9" s="13" t="s">
        <v>478</v>
      </c>
      <c r="D9" s="13" t="s">
        <v>479</v>
      </c>
      <c r="E9" s="13" t="s">
        <v>480</v>
      </c>
      <c r="F9" s="13" t="s">
        <v>598</v>
      </c>
      <c r="G9" s="14">
        <v>300000</v>
      </c>
      <c r="H9" s="15">
        <v>2018</v>
      </c>
      <c r="I9" s="15" t="s">
        <v>34</v>
      </c>
    </row>
    <row r="10" spans="1:9" ht="45" x14ac:dyDescent="0.25">
      <c r="A10" s="8">
        <v>7</v>
      </c>
      <c r="B10" s="10" t="s">
        <v>61</v>
      </c>
      <c r="C10" s="10" t="s">
        <v>119</v>
      </c>
      <c r="D10" s="10" t="s">
        <v>120</v>
      </c>
      <c r="E10" s="10" t="s">
        <v>121</v>
      </c>
      <c r="F10" s="10" t="s">
        <v>29</v>
      </c>
      <c r="G10" s="11">
        <v>125000</v>
      </c>
      <c r="H10" s="8">
        <v>2018</v>
      </c>
      <c r="I10" s="8" t="s">
        <v>30</v>
      </c>
    </row>
    <row r="11" spans="1:9" ht="30" x14ac:dyDescent="0.25">
      <c r="A11" s="8">
        <v>8</v>
      </c>
      <c r="B11" s="10" t="s">
        <v>61</v>
      </c>
      <c r="C11" s="10" t="s">
        <v>642</v>
      </c>
      <c r="D11" s="10" t="s">
        <v>643</v>
      </c>
      <c r="E11" s="10" t="s">
        <v>644</v>
      </c>
      <c r="F11" s="10" t="s">
        <v>29</v>
      </c>
      <c r="G11" s="11">
        <v>550000</v>
      </c>
      <c r="H11" s="8">
        <v>2018</v>
      </c>
      <c r="I11" s="8" t="s">
        <v>30</v>
      </c>
    </row>
    <row r="12" spans="1:9" ht="75" x14ac:dyDescent="0.25">
      <c r="A12" s="8">
        <v>9</v>
      </c>
      <c r="B12" s="10" t="s">
        <v>61</v>
      </c>
      <c r="C12" s="10" t="s">
        <v>116</v>
      </c>
      <c r="D12" s="10" t="s">
        <v>117</v>
      </c>
      <c r="E12" s="10" t="s">
        <v>690</v>
      </c>
      <c r="F12" s="10" t="s">
        <v>29</v>
      </c>
      <c r="G12" s="11">
        <v>750000</v>
      </c>
      <c r="H12" s="8">
        <v>2018</v>
      </c>
      <c r="I12" s="8" t="s">
        <v>30</v>
      </c>
    </row>
    <row r="13" spans="1:9" ht="120" x14ac:dyDescent="0.25">
      <c r="A13" s="8">
        <v>10</v>
      </c>
      <c r="B13" s="74" t="s">
        <v>61</v>
      </c>
      <c r="C13" s="74" t="s">
        <v>629</v>
      </c>
      <c r="D13" s="74" t="s">
        <v>630</v>
      </c>
      <c r="E13" s="75" t="s">
        <v>631</v>
      </c>
      <c r="F13" s="10" t="s">
        <v>29</v>
      </c>
      <c r="G13" s="11">
        <v>750000</v>
      </c>
      <c r="H13" s="8">
        <v>2019</v>
      </c>
      <c r="I13" s="8" t="s">
        <v>34</v>
      </c>
    </row>
    <row r="14" spans="1:9" ht="45" x14ac:dyDescent="0.25">
      <c r="A14" s="8">
        <v>11</v>
      </c>
      <c r="B14" s="10" t="s">
        <v>61</v>
      </c>
      <c r="C14" s="10" t="s">
        <v>182</v>
      </c>
      <c r="D14" s="10" t="s">
        <v>183</v>
      </c>
      <c r="E14" s="10" t="s">
        <v>184</v>
      </c>
      <c r="F14" s="10" t="s">
        <v>29</v>
      </c>
      <c r="G14" s="11">
        <v>450000</v>
      </c>
      <c r="H14" s="8">
        <v>2018</v>
      </c>
      <c r="I14" s="8" t="s">
        <v>30</v>
      </c>
    </row>
    <row r="15" spans="1:9" ht="45" x14ac:dyDescent="0.25">
      <c r="A15" s="8">
        <v>12</v>
      </c>
      <c r="B15" s="10" t="s">
        <v>61</v>
      </c>
      <c r="C15" s="10" t="s">
        <v>217</v>
      </c>
      <c r="D15" s="10" t="s">
        <v>218</v>
      </c>
      <c r="E15" s="10" t="s">
        <v>219</v>
      </c>
      <c r="F15" s="10" t="s">
        <v>29</v>
      </c>
      <c r="G15" s="11">
        <v>1500000</v>
      </c>
      <c r="H15" s="8">
        <v>2018</v>
      </c>
      <c r="I15" s="8" t="s">
        <v>34</v>
      </c>
    </row>
    <row r="16" spans="1:9" ht="45" x14ac:dyDescent="0.25">
      <c r="A16" s="8">
        <v>13</v>
      </c>
      <c r="B16" s="10" t="s">
        <v>61</v>
      </c>
      <c r="C16" s="10" t="s">
        <v>265</v>
      </c>
      <c r="D16" s="10" t="s">
        <v>662</v>
      </c>
      <c r="E16" s="10" t="s">
        <v>266</v>
      </c>
      <c r="F16" s="10" t="s">
        <v>29</v>
      </c>
      <c r="G16" s="11">
        <v>50000</v>
      </c>
      <c r="H16" s="8">
        <v>2018</v>
      </c>
      <c r="I16" s="8" t="s">
        <v>30</v>
      </c>
    </row>
    <row r="17" spans="1:9" ht="105" x14ac:dyDescent="0.25">
      <c r="A17" s="8">
        <v>14</v>
      </c>
      <c r="B17" s="10" t="s">
        <v>61</v>
      </c>
      <c r="C17" s="10" t="s">
        <v>313</v>
      </c>
      <c r="D17" s="10" t="s">
        <v>314</v>
      </c>
      <c r="E17" s="10" t="s">
        <v>315</v>
      </c>
      <c r="F17" s="10" t="s">
        <v>29</v>
      </c>
      <c r="G17" s="11">
        <v>10000000</v>
      </c>
      <c r="H17" s="8">
        <v>2018</v>
      </c>
      <c r="I17" s="8" t="s">
        <v>34</v>
      </c>
    </row>
    <row r="18" spans="1:9" ht="105" x14ac:dyDescent="0.25">
      <c r="A18" s="8">
        <v>15</v>
      </c>
      <c r="B18" s="10" t="s">
        <v>61</v>
      </c>
      <c r="C18" s="10" t="s">
        <v>316</v>
      </c>
      <c r="D18" s="10" t="s">
        <v>317</v>
      </c>
      <c r="E18" s="10" t="s">
        <v>318</v>
      </c>
      <c r="F18" s="10" t="s">
        <v>29</v>
      </c>
      <c r="G18" s="11">
        <v>3000000</v>
      </c>
      <c r="H18" s="8">
        <v>2018</v>
      </c>
      <c r="I18" s="8" t="s">
        <v>34</v>
      </c>
    </row>
    <row r="19" spans="1:9" ht="150" x14ac:dyDescent="0.25">
      <c r="A19" s="8">
        <v>16</v>
      </c>
      <c r="B19" s="10" t="s">
        <v>61</v>
      </c>
      <c r="C19" s="10" t="s">
        <v>342</v>
      </c>
      <c r="D19" s="10" t="s">
        <v>343</v>
      </c>
      <c r="E19" s="10" t="s">
        <v>344</v>
      </c>
      <c r="F19" s="10" t="s">
        <v>29</v>
      </c>
      <c r="G19" s="11">
        <v>75000</v>
      </c>
      <c r="H19" s="8">
        <v>2018</v>
      </c>
      <c r="I19" s="8" t="s">
        <v>30</v>
      </c>
    </row>
    <row r="20" spans="1:9" ht="30" x14ac:dyDescent="0.25">
      <c r="A20" s="8">
        <v>17</v>
      </c>
      <c r="B20" s="10" t="s">
        <v>61</v>
      </c>
      <c r="C20" s="10" t="s">
        <v>345</v>
      </c>
      <c r="D20" s="10" t="s">
        <v>346</v>
      </c>
      <c r="E20" s="10" t="s">
        <v>347</v>
      </c>
      <c r="F20" s="10" t="s">
        <v>29</v>
      </c>
      <c r="G20" s="11">
        <v>75000</v>
      </c>
      <c r="H20" s="8">
        <v>2018</v>
      </c>
      <c r="I20" s="8" t="s">
        <v>30</v>
      </c>
    </row>
    <row r="21" spans="1:9" ht="90" x14ac:dyDescent="0.25">
      <c r="A21" s="8">
        <v>18</v>
      </c>
      <c r="B21" s="10" t="s">
        <v>61</v>
      </c>
      <c r="C21" s="10" t="s">
        <v>348</v>
      </c>
      <c r="D21" s="10" t="s">
        <v>349</v>
      </c>
      <c r="E21" s="10" t="s">
        <v>350</v>
      </c>
      <c r="F21" s="10" t="s">
        <v>29</v>
      </c>
      <c r="G21" s="11">
        <v>125000</v>
      </c>
      <c r="H21" s="8">
        <v>2018</v>
      </c>
      <c r="I21" s="8" t="s">
        <v>30</v>
      </c>
    </row>
    <row r="22" spans="1:9" ht="60" x14ac:dyDescent="0.25">
      <c r="A22" s="8">
        <v>19</v>
      </c>
      <c r="B22" s="74" t="s">
        <v>61</v>
      </c>
      <c r="C22" s="10" t="s">
        <v>632</v>
      </c>
      <c r="D22" s="10" t="s">
        <v>636</v>
      </c>
      <c r="E22" s="49" t="s">
        <v>633</v>
      </c>
      <c r="F22" s="10" t="s">
        <v>29</v>
      </c>
      <c r="G22" s="11"/>
      <c r="H22" s="8">
        <v>2019</v>
      </c>
      <c r="I22" s="8" t="s">
        <v>34</v>
      </c>
    </row>
    <row r="23" spans="1:9" ht="60" x14ac:dyDescent="0.25">
      <c r="A23" s="8">
        <v>20</v>
      </c>
      <c r="B23" s="10" t="s">
        <v>61</v>
      </c>
      <c r="C23" s="10" t="s">
        <v>369</v>
      </c>
      <c r="D23" s="10" t="s">
        <v>370</v>
      </c>
      <c r="E23" s="10" t="s">
        <v>371</v>
      </c>
      <c r="F23" s="10" t="s">
        <v>29</v>
      </c>
      <c r="G23" s="11">
        <v>250000</v>
      </c>
      <c r="H23" s="8">
        <v>2018</v>
      </c>
      <c r="I23" s="8" t="s">
        <v>30</v>
      </c>
    </row>
    <row r="24" spans="1:9" ht="45" x14ac:dyDescent="0.25">
      <c r="A24" s="8">
        <v>21</v>
      </c>
      <c r="B24" s="10" t="s">
        <v>61</v>
      </c>
      <c r="C24" s="10" t="s">
        <v>381</v>
      </c>
      <c r="D24" s="10" t="s">
        <v>382</v>
      </c>
      <c r="E24" s="10" t="s">
        <v>383</v>
      </c>
      <c r="F24" s="10" t="s">
        <v>29</v>
      </c>
      <c r="G24" s="11">
        <v>15000000</v>
      </c>
      <c r="H24" s="8">
        <v>2018</v>
      </c>
      <c r="I24" s="8" t="s">
        <v>34</v>
      </c>
    </row>
    <row r="25" spans="1:9" ht="45" x14ac:dyDescent="0.25">
      <c r="A25" s="8">
        <v>22</v>
      </c>
      <c r="B25" s="10" t="s">
        <v>61</v>
      </c>
      <c r="C25" s="10" t="s">
        <v>396</v>
      </c>
      <c r="D25" s="10" t="s">
        <v>397</v>
      </c>
      <c r="E25" s="10" t="s">
        <v>398</v>
      </c>
      <c r="F25" s="10" t="s">
        <v>29</v>
      </c>
      <c r="G25" s="11">
        <v>300000</v>
      </c>
      <c r="H25" s="8">
        <v>2018</v>
      </c>
      <c r="I25" s="8" t="s">
        <v>30</v>
      </c>
    </row>
    <row r="26" spans="1:9" x14ac:dyDescent="0.25">
      <c r="A26" s="8">
        <v>23</v>
      </c>
      <c r="B26" s="10" t="s">
        <v>61</v>
      </c>
      <c r="C26" s="10" t="s">
        <v>441</v>
      </c>
      <c r="D26" s="10" t="s">
        <v>442</v>
      </c>
      <c r="E26" s="10" t="s">
        <v>443</v>
      </c>
      <c r="F26" s="10" t="s">
        <v>29</v>
      </c>
      <c r="G26" s="11">
        <v>100000</v>
      </c>
      <c r="H26" s="8">
        <v>2018</v>
      </c>
      <c r="I26" s="8" t="s">
        <v>30</v>
      </c>
    </row>
    <row r="27" spans="1:9" ht="45" x14ac:dyDescent="0.25">
      <c r="A27" s="8">
        <v>24</v>
      </c>
      <c r="B27" s="10" t="s">
        <v>61</v>
      </c>
      <c r="C27" s="10" t="s">
        <v>473</v>
      </c>
      <c r="D27" s="10" t="s">
        <v>474</v>
      </c>
      <c r="E27" s="10" t="s">
        <v>475</v>
      </c>
      <c r="F27" s="10" t="s">
        <v>29</v>
      </c>
      <c r="G27" s="11">
        <v>150000</v>
      </c>
      <c r="H27" s="8">
        <v>2018</v>
      </c>
      <c r="I27" s="8" t="s">
        <v>34</v>
      </c>
    </row>
    <row r="28" spans="1:9" ht="135" x14ac:dyDescent="0.25">
      <c r="A28" s="8">
        <v>25</v>
      </c>
      <c r="B28" s="10" t="s">
        <v>61</v>
      </c>
      <c r="C28" s="10" t="s">
        <v>476</v>
      </c>
      <c r="D28" s="10"/>
      <c r="E28" s="10" t="s">
        <v>477</v>
      </c>
      <c r="F28" s="10" t="s">
        <v>29</v>
      </c>
      <c r="G28" s="11">
        <v>350000</v>
      </c>
      <c r="H28" s="8">
        <v>2018</v>
      </c>
      <c r="I28" s="8" t="s">
        <v>34</v>
      </c>
    </row>
    <row r="29" spans="1:9" ht="105" x14ac:dyDescent="0.25">
      <c r="A29" s="8">
        <v>26</v>
      </c>
      <c r="B29" s="10" t="s">
        <v>61</v>
      </c>
      <c r="C29" s="10" t="s">
        <v>519</v>
      </c>
      <c r="D29" s="10" t="s">
        <v>520</v>
      </c>
      <c r="E29" s="10" t="s">
        <v>521</v>
      </c>
      <c r="F29" s="10" t="s">
        <v>29</v>
      </c>
      <c r="G29" s="11">
        <v>22000000</v>
      </c>
      <c r="H29" s="8">
        <v>2018</v>
      </c>
      <c r="I29" s="8" t="s">
        <v>34</v>
      </c>
    </row>
    <row r="30" spans="1:9" ht="75" x14ac:dyDescent="0.25">
      <c r="A30" s="8">
        <v>27</v>
      </c>
      <c r="B30" s="10" t="s">
        <v>61</v>
      </c>
      <c r="C30" s="10" t="s">
        <v>528</v>
      </c>
      <c r="D30" s="10" t="s">
        <v>529</v>
      </c>
      <c r="E30" s="10" t="s">
        <v>530</v>
      </c>
      <c r="F30" s="10" t="s">
        <v>29</v>
      </c>
      <c r="G30" s="11">
        <v>4500000</v>
      </c>
      <c r="H30" s="8">
        <v>2018</v>
      </c>
      <c r="I30" s="8" t="s">
        <v>34</v>
      </c>
    </row>
    <row r="31" spans="1:9" ht="45" x14ac:dyDescent="0.25">
      <c r="A31" s="8">
        <v>28</v>
      </c>
      <c r="B31" s="10" t="s">
        <v>61</v>
      </c>
      <c r="C31" s="10" t="s">
        <v>541</v>
      </c>
      <c r="D31" s="10" t="s">
        <v>542</v>
      </c>
      <c r="E31" s="10" t="s">
        <v>543</v>
      </c>
      <c r="F31" s="10" t="s">
        <v>29</v>
      </c>
      <c r="G31" s="11">
        <v>10000000</v>
      </c>
      <c r="H31" s="8">
        <v>2018</v>
      </c>
      <c r="I31" s="8" t="s">
        <v>34</v>
      </c>
    </row>
    <row r="32" spans="1:9" ht="195" x14ac:dyDescent="0.25">
      <c r="A32" s="8">
        <v>29</v>
      </c>
      <c r="B32" s="10" t="s">
        <v>61</v>
      </c>
      <c r="C32" s="10" t="s">
        <v>570</v>
      </c>
      <c r="D32" s="10" t="s">
        <v>571</v>
      </c>
      <c r="E32" s="10" t="s">
        <v>572</v>
      </c>
      <c r="F32" s="10" t="s">
        <v>29</v>
      </c>
      <c r="G32" s="11">
        <v>30000000</v>
      </c>
      <c r="H32" s="8">
        <v>2018</v>
      </c>
      <c r="I32" s="8" t="s">
        <v>34</v>
      </c>
    </row>
    <row r="33" spans="1:8" x14ac:dyDescent="0.25">
      <c r="A33" s="8">
        <v>30</v>
      </c>
      <c r="B33" s="10"/>
      <c r="C33" s="10"/>
      <c r="D33" s="10"/>
      <c r="E33" s="10"/>
      <c r="F33" s="17"/>
      <c r="G33" s="11"/>
      <c r="H33" s="8"/>
    </row>
    <row r="34" spans="1:8" x14ac:dyDescent="0.25">
      <c r="A34" s="8">
        <v>31</v>
      </c>
      <c r="B34" s="10"/>
      <c r="C34" s="10"/>
      <c r="D34" s="10"/>
      <c r="E34" s="10"/>
      <c r="F34" s="17"/>
      <c r="G34" s="11"/>
      <c r="H34" s="8"/>
    </row>
    <row r="35" spans="1:8" x14ac:dyDescent="0.25">
      <c r="A35" s="8">
        <v>32</v>
      </c>
      <c r="B35" s="10"/>
      <c r="C35" s="10"/>
      <c r="D35" s="10"/>
      <c r="E35" s="10"/>
      <c r="F35" s="17"/>
      <c r="G35" s="11"/>
      <c r="H35" s="8"/>
    </row>
    <row r="36" spans="1:8" x14ac:dyDescent="0.25">
      <c r="A36" s="8">
        <v>33</v>
      </c>
      <c r="B36" s="10"/>
      <c r="C36" s="10"/>
      <c r="D36" s="10"/>
      <c r="E36" s="10"/>
      <c r="F36" s="17"/>
      <c r="G36" s="11"/>
      <c r="H36" s="8"/>
    </row>
    <row r="37" spans="1:8" x14ac:dyDescent="0.25">
      <c r="B37" s="10"/>
      <c r="C37" s="10"/>
      <c r="D37" s="10"/>
      <c r="E37" s="10"/>
      <c r="F37" s="17"/>
      <c r="G37" s="11"/>
      <c r="H37" s="8"/>
    </row>
    <row r="38" spans="1:8" x14ac:dyDescent="0.25">
      <c r="B38" s="74"/>
      <c r="C38" s="1"/>
      <c r="D38" s="10"/>
      <c r="E38" s="49"/>
      <c r="F38" s="86"/>
      <c r="G38" s="87"/>
      <c r="H38" s="8"/>
    </row>
    <row r="39" spans="1:8" x14ac:dyDescent="0.25">
      <c r="B39" s="88"/>
      <c r="C39" s="89"/>
      <c r="D39" s="88"/>
      <c r="E39" s="90"/>
      <c r="F39" s="91"/>
      <c r="G39" s="87"/>
      <c r="H39" s="8"/>
    </row>
  </sheetData>
  <mergeCells count="1">
    <mergeCell ref="A1:H2"/>
  </mergeCells>
  <conditionalFormatting sqref="C4:C32">
    <cfRule type="duplicateValues" priority="1"/>
  </conditionalFormatting>
  <dataValidations count="3">
    <dataValidation type="list" allowBlank="1" showInputMessage="1" showErrorMessage="1" sqref="G38:G110 H40:H110" xr:uid="{00000000-0002-0000-1100-000000000000}">
      <formula1>"implist"</formula1>
    </dataValidation>
    <dataValidation type="list" allowBlank="1" showInputMessage="1" showErrorMessage="1" sqref="F4:F32" xr:uid="{00000000-0002-0000-1100-000001000000}">
      <formula1>Status</formula1>
    </dataValidation>
    <dataValidation type="list" allowBlank="1" showInputMessage="1" showErrorMessage="1" sqref="I4:I32" xr:uid="{00000000-0002-0000-1100-000002000000}">
      <formula1>Funding</formula1>
    </dataValidation>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46"/>
  <sheetViews>
    <sheetView topLeftCell="A37"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70</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x14ac:dyDescent="0.25">
      <c r="A4" s="30">
        <v>1</v>
      </c>
      <c r="B4" s="13" t="s">
        <v>70</v>
      </c>
      <c r="C4" s="13" t="s">
        <v>10</v>
      </c>
      <c r="D4" s="13" t="s">
        <v>62</v>
      </c>
      <c r="E4" s="13"/>
      <c r="F4" s="13" t="s">
        <v>598</v>
      </c>
      <c r="G4" s="14">
        <v>2000000</v>
      </c>
      <c r="H4" s="15">
        <v>2018</v>
      </c>
      <c r="I4" s="15" t="s">
        <v>38</v>
      </c>
    </row>
    <row r="5" spans="1:9" x14ac:dyDescent="0.25">
      <c r="A5" s="8">
        <v>2</v>
      </c>
      <c r="B5" s="13" t="s">
        <v>70</v>
      </c>
      <c r="C5" s="13" t="s">
        <v>14</v>
      </c>
      <c r="D5" s="13" t="s">
        <v>62</v>
      </c>
      <c r="E5" s="13"/>
      <c r="F5" s="13" t="s">
        <v>598</v>
      </c>
      <c r="G5" s="14">
        <v>2000000</v>
      </c>
      <c r="H5" s="15">
        <v>2018</v>
      </c>
      <c r="I5" s="15" t="s">
        <v>38</v>
      </c>
    </row>
    <row r="6" spans="1:9" x14ac:dyDescent="0.25">
      <c r="A6" s="30">
        <v>3</v>
      </c>
      <c r="B6" s="13" t="s">
        <v>70</v>
      </c>
      <c r="C6" s="13" t="s">
        <v>18</v>
      </c>
      <c r="D6" s="13" t="s">
        <v>62</v>
      </c>
      <c r="E6" s="13"/>
      <c r="F6" s="13" t="s">
        <v>598</v>
      </c>
      <c r="G6" s="14">
        <v>1000000</v>
      </c>
      <c r="H6" s="15">
        <v>2018</v>
      </c>
      <c r="I6" s="15" t="s">
        <v>38</v>
      </c>
    </row>
    <row r="7" spans="1:9" ht="30" x14ac:dyDescent="0.25">
      <c r="A7" s="8">
        <v>4</v>
      </c>
      <c r="B7" s="13" t="s">
        <v>674</v>
      </c>
      <c r="C7" s="13" t="s">
        <v>19</v>
      </c>
      <c r="D7" s="13" t="s">
        <v>673</v>
      </c>
      <c r="E7" s="13"/>
      <c r="F7" s="13" t="s">
        <v>598</v>
      </c>
      <c r="G7" s="14">
        <v>2000000</v>
      </c>
      <c r="H7" s="15">
        <v>2018</v>
      </c>
      <c r="I7" s="15" t="s">
        <v>38</v>
      </c>
    </row>
    <row r="8" spans="1:9" ht="30" x14ac:dyDescent="0.25">
      <c r="A8" s="30">
        <v>5</v>
      </c>
      <c r="B8" s="13" t="s">
        <v>70</v>
      </c>
      <c r="C8" s="13" t="s">
        <v>122</v>
      </c>
      <c r="D8" s="13" t="s">
        <v>651</v>
      </c>
      <c r="E8" s="13" t="s">
        <v>123</v>
      </c>
      <c r="F8" s="13" t="s">
        <v>598</v>
      </c>
      <c r="G8" s="14">
        <v>500000</v>
      </c>
      <c r="H8" s="15">
        <v>2018</v>
      </c>
      <c r="I8" s="15" t="s">
        <v>30</v>
      </c>
    </row>
    <row r="9" spans="1:9" ht="30" x14ac:dyDescent="0.25">
      <c r="A9" s="8">
        <v>6</v>
      </c>
      <c r="B9" s="10" t="s">
        <v>70</v>
      </c>
      <c r="C9" s="10" t="s">
        <v>96</v>
      </c>
      <c r="D9" s="10" t="s">
        <v>97</v>
      </c>
      <c r="E9" s="10"/>
      <c r="F9" s="10" t="s">
        <v>29</v>
      </c>
      <c r="G9" s="11">
        <v>5000</v>
      </c>
      <c r="H9" s="8">
        <v>2018</v>
      </c>
      <c r="I9" s="8" t="s">
        <v>30</v>
      </c>
    </row>
    <row r="10" spans="1:9" ht="45" x14ac:dyDescent="0.25">
      <c r="A10" s="8">
        <v>7</v>
      </c>
      <c r="B10" s="10" t="s">
        <v>70</v>
      </c>
      <c r="C10" s="10" t="s">
        <v>76</v>
      </c>
      <c r="D10" s="10" t="s">
        <v>77</v>
      </c>
      <c r="E10" s="10" t="s">
        <v>78</v>
      </c>
      <c r="F10" s="10" t="s">
        <v>29</v>
      </c>
      <c r="G10" s="11">
        <v>4000</v>
      </c>
      <c r="H10" s="8">
        <v>2018</v>
      </c>
      <c r="I10" s="8" t="s">
        <v>30</v>
      </c>
    </row>
    <row r="11" spans="1:9" ht="45" x14ac:dyDescent="0.25">
      <c r="A11" s="8">
        <v>8</v>
      </c>
      <c r="B11" s="10" t="s">
        <v>70</v>
      </c>
      <c r="C11" s="10" t="s">
        <v>122</v>
      </c>
      <c r="D11" s="10" t="s">
        <v>132</v>
      </c>
      <c r="E11" s="10" t="s">
        <v>133</v>
      </c>
      <c r="F11" s="10" t="s">
        <v>29</v>
      </c>
      <c r="G11" s="11">
        <v>250000</v>
      </c>
      <c r="H11" s="8">
        <v>2018</v>
      </c>
      <c r="I11" s="8" t="s">
        <v>30</v>
      </c>
    </row>
    <row r="12" spans="1:9" ht="120" x14ac:dyDescent="0.25">
      <c r="A12" s="8">
        <v>9</v>
      </c>
      <c r="B12" s="10" t="s">
        <v>70</v>
      </c>
      <c r="C12" s="10" t="s">
        <v>141</v>
      </c>
      <c r="D12" s="10" t="s">
        <v>142</v>
      </c>
      <c r="E12" s="10"/>
      <c r="F12" s="10" t="s">
        <v>29</v>
      </c>
      <c r="G12" s="11">
        <v>100000</v>
      </c>
      <c r="H12" s="8">
        <v>2018</v>
      </c>
      <c r="I12" s="8" t="s">
        <v>30</v>
      </c>
    </row>
    <row r="13" spans="1:9" ht="60" x14ac:dyDescent="0.25">
      <c r="A13" s="8">
        <v>10</v>
      </c>
      <c r="B13" s="10" t="s">
        <v>70</v>
      </c>
      <c r="C13" s="10" t="s">
        <v>228</v>
      </c>
      <c r="D13" s="10" t="s">
        <v>229</v>
      </c>
      <c r="E13" s="10"/>
      <c r="F13" s="10" t="s">
        <v>29</v>
      </c>
      <c r="G13" s="11">
        <v>100000</v>
      </c>
      <c r="H13" s="8">
        <v>2018</v>
      </c>
      <c r="I13" s="8" t="s">
        <v>30</v>
      </c>
    </row>
    <row r="14" spans="1:9" ht="45" x14ac:dyDescent="0.25">
      <c r="A14" s="8">
        <v>11</v>
      </c>
      <c r="B14" s="10" t="s">
        <v>70</v>
      </c>
      <c r="C14" s="10" t="s">
        <v>363</v>
      </c>
      <c r="D14" s="10" t="s">
        <v>364</v>
      </c>
      <c r="E14" s="10" t="s">
        <v>365</v>
      </c>
      <c r="F14" s="10" t="s">
        <v>29</v>
      </c>
      <c r="G14" s="11">
        <v>250000</v>
      </c>
      <c r="H14" s="8">
        <v>2018</v>
      </c>
      <c r="I14" s="8" t="s">
        <v>34</v>
      </c>
    </row>
    <row r="15" spans="1:9" ht="60" x14ac:dyDescent="0.25">
      <c r="A15" s="8">
        <v>12</v>
      </c>
      <c r="B15" s="10" t="s">
        <v>70</v>
      </c>
      <c r="C15" s="10" t="s">
        <v>285</v>
      </c>
      <c r="D15" s="10" t="s">
        <v>286</v>
      </c>
      <c r="E15" s="10" t="s">
        <v>287</v>
      </c>
      <c r="F15" s="10" t="s">
        <v>29</v>
      </c>
      <c r="G15" s="11">
        <v>150000</v>
      </c>
      <c r="H15" s="8">
        <v>2018</v>
      </c>
      <c r="I15" s="8" t="s">
        <v>30</v>
      </c>
    </row>
    <row r="16" spans="1:9" x14ac:dyDescent="0.25">
      <c r="A16" s="8">
        <v>13</v>
      </c>
      <c r="B16" s="10" t="s">
        <v>70</v>
      </c>
      <c r="C16" s="10" t="s">
        <v>188</v>
      </c>
      <c r="D16" s="10" t="s">
        <v>189</v>
      </c>
      <c r="E16" s="10" t="s">
        <v>190</v>
      </c>
      <c r="F16" s="10" t="s">
        <v>29</v>
      </c>
      <c r="G16" s="11">
        <v>150000</v>
      </c>
      <c r="H16" s="8">
        <v>2018</v>
      </c>
      <c r="I16" s="8" t="s">
        <v>30</v>
      </c>
    </row>
    <row r="17" spans="1:9" ht="30" x14ac:dyDescent="0.25">
      <c r="A17" s="8">
        <v>14</v>
      </c>
      <c r="B17" s="10" t="s">
        <v>70</v>
      </c>
      <c r="C17" s="10" t="s">
        <v>147</v>
      </c>
      <c r="D17" s="10" t="s">
        <v>148</v>
      </c>
      <c r="E17" s="10"/>
      <c r="F17" s="10" t="s">
        <v>29</v>
      </c>
      <c r="G17" s="11">
        <v>75000</v>
      </c>
      <c r="H17" s="8">
        <v>2018</v>
      </c>
      <c r="I17" s="8" t="s">
        <v>34</v>
      </c>
    </row>
    <row r="18" spans="1:9" ht="30" x14ac:dyDescent="0.25">
      <c r="A18" s="8">
        <v>15</v>
      </c>
      <c r="B18" s="10" t="s">
        <v>70</v>
      </c>
      <c r="C18" s="10" t="s">
        <v>294</v>
      </c>
      <c r="D18" s="10" t="s">
        <v>295</v>
      </c>
      <c r="E18" s="10"/>
      <c r="F18" s="10" t="s">
        <v>29</v>
      </c>
      <c r="G18" s="11">
        <v>1000000</v>
      </c>
      <c r="H18" s="8">
        <v>2018</v>
      </c>
      <c r="I18" s="8" t="s">
        <v>30</v>
      </c>
    </row>
    <row r="19" spans="1:9" x14ac:dyDescent="0.25">
      <c r="A19" s="8">
        <v>16</v>
      </c>
      <c r="B19" s="10" t="s">
        <v>70</v>
      </c>
      <c r="C19" s="10" t="s">
        <v>327</v>
      </c>
      <c r="D19" s="10"/>
      <c r="E19" s="10"/>
      <c r="F19" s="10" t="s">
        <v>29</v>
      </c>
      <c r="G19" s="11">
        <v>50000</v>
      </c>
      <c r="H19" s="8">
        <v>2018</v>
      </c>
      <c r="I19" s="8" t="s">
        <v>30</v>
      </c>
    </row>
    <row r="20" spans="1:9" x14ac:dyDescent="0.25">
      <c r="A20" s="8">
        <v>17</v>
      </c>
      <c r="B20" s="10" t="s">
        <v>70</v>
      </c>
      <c r="C20" s="10" t="s">
        <v>276</v>
      </c>
      <c r="D20" s="10" t="s">
        <v>277</v>
      </c>
      <c r="E20" s="10" t="s">
        <v>278</v>
      </c>
      <c r="F20" s="10" t="s">
        <v>29</v>
      </c>
      <c r="G20" s="11">
        <v>10000</v>
      </c>
      <c r="H20" s="8">
        <v>2018</v>
      </c>
      <c r="I20" s="8" t="s">
        <v>30</v>
      </c>
    </row>
    <row r="21" spans="1:9" ht="45" x14ac:dyDescent="0.25">
      <c r="A21" s="8">
        <v>18</v>
      </c>
      <c r="B21" s="10" t="s">
        <v>70</v>
      </c>
      <c r="C21" s="10" t="s">
        <v>279</v>
      </c>
      <c r="D21" s="10" t="s">
        <v>280</v>
      </c>
      <c r="E21" s="10" t="s">
        <v>281</v>
      </c>
      <c r="F21" s="10" t="s">
        <v>29</v>
      </c>
      <c r="G21" s="11">
        <v>200000</v>
      </c>
      <c r="H21" s="8">
        <v>2018</v>
      </c>
      <c r="I21" s="8" t="s">
        <v>30</v>
      </c>
    </row>
    <row r="22" spans="1:9" ht="45" x14ac:dyDescent="0.25">
      <c r="A22" s="8">
        <v>19</v>
      </c>
      <c r="B22" s="10" t="s">
        <v>70</v>
      </c>
      <c r="C22" s="10" t="s">
        <v>282</v>
      </c>
      <c r="D22" s="10" t="s">
        <v>283</v>
      </c>
      <c r="E22" s="10" t="s">
        <v>284</v>
      </c>
      <c r="F22" s="10" t="s">
        <v>29</v>
      </c>
      <c r="G22" s="11">
        <v>60000</v>
      </c>
      <c r="H22" s="8">
        <v>2018</v>
      </c>
      <c r="I22" s="8" t="s">
        <v>30</v>
      </c>
    </row>
    <row r="23" spans="1:9" ht="60" x14ac:dyDescent="0.25">
      <c r="A23" s="8">
        <v>20</v>
      </c>
      <c r="B23" s="10" t="s">
        <v>70</v>
      </c>
      <c r="C23" s="10" t="s">
        <v>351</v>
      </c>
      <c r="D23" s="10" t="s">
        <v>352</v>
      </c>
      <c r="E23" s="10" t="s">
        <v>353</v>
      </c>
      <c r="F23" s="10" t="s">
        <v>29</v>
      </c>
      <c r="G23" s="11">
        <v>2500000</v>
      </c>
      <c r="H23" s="8">
        <v>2018</v>
      </c>
      <c r="I23" s="8" t="s">
        <v>34</v>
      </c>
    </row>
    <row r="24" spans="1:9" ht="75" x14ac:dyDescent="0.25">
      <c r="A24" s="8">
        <v>21</v>
      </c>
      <c r="B24" s="10" t="s">
        <v>70</v>
      </c>
      <c r="C24" s="10" t="s">
        <v>360</v>
      </c>
      <c r="D24" s="10" t="s">
        <v>361</v>
      </c>
      <c r="E24" s="10" t="s">
        <v>362</v>
      </c>
      <c r="F24" s="10" t="s">
        <v>29</v>
      </c>
      <c r="G24" s="11">
        <v>100000</v>
      </c>
      <c r="H24" s="8">
        <v>2018</v>
      </c>
      <c r="I24" s="8" t="s">
        <v>34</v>
      </c>
    </row>
    <row r="25" spans="1:9" ht="30" x14ac:dyDescent="0.25">
      <c r="A25" s="8">
        <v>22</v>
      </c>
      <c r="B25" s="10" t="s">
        <v>70</v>
      </c>
      <c r="C25" s="10" t="s">
        <v>366</v>
      </c>
      <c r="D25" s="10" t="s">
        <v>367</v>
      </c>
      <c r="E25" s="10" t="s">
        <v>368</v>
      </c>
      <c r="F25" s="10" t="s">
        <v>29</v>
      </c>
      <c r="G25" s="11">
        <v>5000</v>
      </c>
      <c r="H25" s="8">
        <v>2018</v>
      </c>
      <c r="I25" s="8" t="s">
        <v>30</v>
      </c>
    </row>
    <row r="26" spans="1:9" ht="45" x14ac:dyDescent="0.25">
      <c r="A26" s="8">
        <v>23</v>
      </c>
      <c r="B26" s="10" t="s">
        <v>70</v>
      </c>
      <c r="C26" s="10" t="s">
        <v>322</v>
      </c>
      <c r="D26" s="10" t="s">
        <v>323</v>
      </c>
      <c r="E26" s="10" t="s">
        <v>324</v>
      </c>
      <c r="F26" s="10" t="s">
        <v>29</v>
      </c>
      <c r="G26" s="11">
        <v>8000000</v>
      </c>
      <c r="H26" s="8">
        <v>2018</v>
      </c>
      <c r="I26" s="8" t="s">
        <v>34</v>
      </c>
    </row>
    <row r="27" spans="1:9" ht="75" x14ac:dyDescent="0.25">
      <c r="A27" s="8">
        <v>24</v>
      </c>
      <c r="B27" s="10" t="s">
        <v>70</v>
      </c>
      <c r="C27" s="10" t="s">
        <v>288</v>
      </c>
      <c r="D27" s="10" t="s">
        <v>289</v>
      </c>
      <c r="E27" s="10" t="s">
        <v>290</v>
      </c>
      <c r="F27" s="10" t="s">
        <v>29</v>
      </c>
      <c r="G27" s="11">
        <v>40000</v>
      </c>
      <c r="H27" s="8">
        <v>2018</v>
      </c>
      <c r="I27" s="8" t="s">
        <v>30</v>
      </c>
    </row>
    <row r="28" spans="1:9" x14ac:dyDescent="0.25">
      <c r="A28" s="8">
        <v>25</v>
      </c>
      <c r="B28" s="10" t="s">
        <v>70</v>
      </c>
      <c r="C28" s="10" t="s">
        <v>291</v>
      </c>
      <c r="D28" s="10" t="s">
        <v>292</v>
      </c>
      <c r="E28" s="10" t="s">
        <v>293</v>
      </c>
      <c r="F28" s="10" t="s">
        <v>29</v>
      </c>
      <c r="G28" s="11">
        <v>5000</v>
      </c>
      <c r="H28" s="8">
        <v>2018</v>
      </c>
      <c r="I28" s="8" t="s">
        <v>30</v>
      </c>
    </row>
    <row r="29" spans="1:9" ht="75" x14ac:dyDescent="0.25">
      <c r="A29" s="8">
        <v>26</v>
      </c>
      <c r="B29" s="10" t="s">
        <v>70</v>
      </c>
      <c r="C29" s="10" t="s">
        <v>296</v>
      </c>
      <c r="D29" s="10" t="s">
        <v>297</v>
      </c>
      <c r="E29" s="10" t="s">
        <v>298</v>
      </c>
      <c r="F29" s="10" t="s">
        <v>29</v>
      </c>
      <c r="G29" s="11">
        <v>25000</v>
      </c>
      <c r="H29" s="8">
        <v>2018</v>
      </c>
      <c r="I29" s="8" t="s">
        <v>30</v>
      </c>
    </row>
    <row r="30" spans="1:9" ht="45" x14ac:dyDescent="0.25">
      <c r="A30" s="8">
        <v>27</v>
      </c>
      <c r="B30" s="10" t="s">
        <v>70</v>
      </c>
      <c r="C30" s="10" t="s">
        <v>331</v>
      </c>
      <c r="D30" s="10" t="s">
        <v>332</v>
      </c>
      <c r="E30" s="10" t="s">
        <v>230</v>
      </c>
      <c r="F30" s="10" t="s">
        <v>29</v>
      </c>
      <c r="G30" s="11">
        <v>5000000</v>
      </c>
      <c r="H30" s="8">
        <v>2018</v>
      </c>
      <c r="I30" s="8" t="s">
        <v>34</v>
      </c>
    </row>
    <row r="31" spans="1:9" ht="45" x14ac:dyDescent="0.25">
      <c r="A31" s="8">
        <v>28</v>
      </c>
      <c r="B31" s="10" t="s">
        <v>70</v>
      </c>
      <c r="C31" s="10" t="s">
        <v>303</v>
      </c>
      <c r="D31" s="10" t="s">
        <v>304</v>
      </c>
      <c r="E31" s="10"/>
      <c r="F31" s="10" t="s">
        <v>29</v>
      </c>
      <c r="G31" s="11">
        <v>50000</v>
      </c>
      <c r="H31" s="8">
        <v>2018</v>
      </c>
      <c r="I31" s="8" t="s">
        <v>34</v>
      </c>
    </row>
    <row r="32" spans="1:9" ht="75" x14ac:dyDescent="0.25">
      <c r="A32" s="8">
        <v>29</v>
      </c>
      <c r="B32" s="10" t="s">
        <v>70</v>
      </c>
      <c r="C32" s="10" t="s">
        <v>399</v>
      </c>
      <c r="D32" s="10" t="s">
        <v>400</v>
      </c>
      <c r="E32" s="10" t="s">
        <v>401</v>
      </c>
      <c r="F32" s="10" t="s">
        <v>29</v>
      </c>
      <c r="G32" s="11">
        <v>1500000</v>
      </c>
      <c r="H32" s="8">
        <v>2018</v>
      </c>
      <c r="I32" s="8" t="s">
        <v>34</v>
      </c>
    </row>
    <row r="33" spans="1:9" ht="75" x14ac:dyDescent="0.25">
      <c r="A33" s="8">
        <v>30</v>
      </c>
      <c r="B33" s="10" t="s">
        <v>70</v>
      </c>
      <c r="C33" s="10" t="s">
        <v>405</v>
      </c>
      <c r="D33" s="10" t="s">
        <v>406</v>
      </c>
      <c r="E33" s="10" t="s">
        <v>407</v>
      </c>
      <c r="F33" s="10" t="s">
        <v>29</v>
      </c>
      <c r="G33" s="11">
        <v>175000</v>
      </c>
      <c r="H33" s="8">
        <v>2018</v>
      </c>
      <c r="I33" s="8" t="s">
        <v>34</v>
      </c>
    </row>
    <row r="34" spans="1:9" ht="60" x14ac:dyDescent="0.25">
      <c r="A34" s="8">
        <v>31</v>
      </c>
      <c r="B34" s="10" t="s">
        <v>637</v>
      </c>
      <c r="C34" s="10" t="s">
        <v>328</v>
      </c>
      <c r="D34" s="10" t="s">
        <v>329</v>
      </c>
      <c r="E34" s="10" t="s">
        <v>330</v>
      </c>
      <c r="F34" s="10" t="s">
        <v>29</v>
      </c>
      <c r="G34" s="11">
        <v>20000</v>
      </c>
      <c r="H34" s="8">
        <v>2018</v>
      </c>
      <c r="I34" s="8" t="s">
        <v>30</v>
      </c>
    </row>
    <row r="35" spans="1:9" ht="60" x14ac:dyDescent="0.25">
      <c r="A35" s="8">
        <v>32</v>
      </c>
      <c r="B35" s="10" t="s">
        <v>70</v>
      </c>
      <c r="C35" s="10" t="s">
        <v>444</v>
      </c>
      <c r="D35" s="10" t="s">
        <v>445</v>
      </c>
      <c r="E35" s="10" t="s">
        <v>446</v>
      </c>
      <c r="F35" s="10" t="s">
        <v>29</v>
      </c>
      <c r="G35" s="11">
        <v>5000000</v>
      </c>
      <c r="H35" s="8">
        <v>2018</v>
      </c>
      <c r="I35" s="8" t="s">
        <v>30</v>
      </c>
    </row>
    <row r="36" spans="1:9" ht="45" x14ac:dyDescent="0.25">
      <c r="A36" s="8">
        <v>33</v>
      </c>
      <c r="B36" s="10" t="s">
        <v>70</v>
      </c>
      <c r="C36" s="10" t="s">
        <v>390</v>
      </c>
      <c r="D36" s="10" t="s">
        <v>391</v>
      </c>
      <c r="E36" s="10" t="s">
        <v>392</v>
      </c>
      <c r="F36" s="10" t="s">
        <v>29</v>
      </c>
      <c r="G36" s="11">
        <v>150000</v>
      </c>
      <c r="H36" s="8">
        <v>2018</v>
      </c>
      <c r="I36" s="8" t="s">
        <v>34</v>
      </c>
    </row>
    <row r="37" spans="1:9" ht="45" x14ac:dyDescent="0.25">
      <c r="B37" s="10" t="s">
        <v>70</v>
      </c>
      <c r="C37" s="10" t="s">
        <v>402</v>
      </c>
      <c r="D37" s="10" t="s">
        <v>403</v>
      </c>
      <c r="E37" s="10" t="s">
        <v>404</v>
      </c>
      <c r="F37" s="10" t="s">
        <v>29</v>
      </c>
      <c r="G37" s="11">
        <v>150000</v>
      </c>
      <c r="H37" s="8">
        <v>2018</v>
      </c>
      <c r="I37" s="8" t="s">
        <v>34</v>
      </c>
    </row>
    <row r="38" spans="1:9" ht="30" x14ac:dyDescent="0.25">
      <c r="B38" s="10" t="s">
        <v>70</v>
      </c>
      <c r="C38" s="10" t="s">
        <v>408</v>
      </c>
      <c r="D38" s="10" t="s">
        <v>409</v>
      </c>
      <c r="E38" s="10" t="s">
        <v>410</v>
      </c>
      <c r="F38" s="10" t="s">
        <v>29</v>
      </c>
      <c r="G38" s="11">
        <v>750000</v>
      </c>
      <c r="H38" s="8">
        <v>2018</v>
      </c>
      <c r="I38" s="8" t="s">
        <v>34</v>
      </c>
    </row>
    <row r="39" spans="1:9" ht="60" x14ac:dyDescent="0.25">
      <c r="B39" s="10" t="s">
        <v>70</v>
      </c>
      <c r="C39" s="10" t="s">
        <v>486</v>
      </c>
      <c r="D39" s="10" t="s">
        <v>487</v>
      </c>
      <c r="E39" s="10" t="s">
        <v>488</v>
      </c>
      <c r="F39" s="10" t="s">
        <v>29</v>
      </c>
      <c r="G39" s="11">
        <v>1000000</v>
      </c>
      <c r="H39" s="8">
        <v>2018</v>
      </c>
      <c r="I39" s="8" t="s">
        <v>34</v>
      </c>
    </row>
    <row r="40" spans="1:9" ht="45" x14ac:dyDescent="0.25">
      <c r="B40" s="10" t="s">
        <v>70</v>
      </c>
      <c r="C40" s="10" t="s">
        <v>489</v>
      </c>
      <c r="D40" s="10" t="s">
        <v>490</v>
      </c>
      <c r="E40" s="10" t="s">
        <v>491</v>
      </c>
      <c r="F40" s="10" t="s">
        <v>29</v>
      </c>
      <c r="G40" s="11">
        <v>20000</v>
      </c>
      <c r="H40" s="8">
        <v>2018</v>
      </c>
      <c r="I40" s="8" t="s">
        <v>34</v>
      </c>
    </row>
    <row r="41" spans="1:9" ht="30" x14ac:dyDescent="0.25">
      <c r="B41" s="23" t="s">
        <v>70</v>
      </c>
      <c r="C41" s="53" t="s">
        <v>691</v>
      </c>
      <c r="D41" s="23" t="s">
        <v>697</v>
      </c>
      <c r="E41" s="23"/>
      <c r="F41" s="26" t="s">
        <v>29</v>
      </c>
      <c r="G41" s="32">
        <v>12000000</v>
      </c>
      <c r="H41" s="8">
        <v>2019</v>
      </c>
      <c r="I41" s="8" t="s">
        <v>34</v>
      </c>
    </row>
    <row r="42" spans="1:9" ht="30" x14ac:dyDescent="0.25">
      <c r="B42" s="23" t="s">
        <v>70</v>
      </c>
      <c r="C42" s="53" t="s">
        <v>692</v>
      </c>
      <c r="D42" s="23" t="s">
        <v>698</v>
      </c>
      <c r="E42" s="23"/>
      <c r="F42" s="26" t="s">
        <v>29</v>
      </c>
      <c r="G42" s="32">
        <v>10000000</v>
      </c>
      <c r="H42" s="8">
        <v>2019</v>
      </c>
      <c r="I42" s="8" t="s">
        <v>34</v>
      </c>
    </row>
    <row r="43" spans="1:9" ht="30" x14ac:dyDescent="0.25">
      <c r="B43" s="23" t="s">
        <v>70</v>
      </c>
      <c r="C43" s="53" t="s">
        <v>693</v>
      </c>
      <c r="D43" s="23" t="s">
        <v>699</v>
      </c>
      <c r="E43" s="23"/>
      <c r="F43" s="26" t="s">
        <v>29</v>
      </c>
      <c r="G43" s="32">
        <v>7000000</v>
      </c>
      <c r="H43" s="8">
        <v>2019</v>
      </c>
      <c r="I43" s="8" t="s">
        <v>34</v>
      </c>
    </row>
    <row r="44" spans="1:9" ht="45" x14ac:dyDescent="0.25">
      <c r="B44" s="23" t="s">
        <v>70</v>
      </c>
      <c r="C44" s="53" t="s">
        <v>694</v>
      </c>
      <c r="D44" s="23" t="s">
        <v>700</v>
      </c>
      <c r="E44" s="23"/>
      <c r="F44" s="26" t="s">
        <v>29</v>
      </c>
      <c r="G44" s="32">
        <v>5000000</v>
      </c>
      <c r="H44" s="8">
        <v>2019</v>
      </c>
      <c r="I44" s="8" t="s">
        <v>34</v>
      </c>
    </row>
    <row r="45" spans="1:9" ht="30" x14ac:dyDescent="0.25">
      <c r="B45" s="23" t="s">
        <v>70</v>
      </c>
      <c r="C45" s="53" t="s">
        <v>695</v>
      </c>
      <c r="D45" s="23" t="s">
        <v>701</v>
      </c>
      <c r="E45" s="23"/>
      <c r="F45" s="26" t="s">
        <v>29</v>
      </c>
      <c r="G45" s="32">
        <v>5000000</v>
      </c>
      <c r="H45" s="8">
        <v>2019</v>
      </c>
      <c r="I45" s="8" t="s">
        <v>34</v>
      </c>
    </row>
    <row r="46" spans="1:9" ht="30" x14ac:dyDescent="0.25">
      <c r="B46" s="23" t="s">
        <v>70</v>
      </c>
      <c r="C46" s="53" t="s">
        <v>696</v>
      </c>
      <c r="D46" s="23" t="s">
        <v>702</v>
      </c>
      <c r="E46" s="23"/>
      <c r="F46" s="26" t="s">
        <v>29</v>
      </c>
      <c r="G46" s="32">
        <v>10000000</v>
      </c>
      <c r="H46" s="8">
        <v>2019</v>
      </c>
      <c r="I46" s="8" t="s">
        <v>34</v>
      </c>
    </row>
  </sheetData>
  <mergeCells count="1">
    <mergeCell ref="A1:H2"/>
  </mergeCells>
  <conditionalFormatting sqref="C4:C40">
    <cfRule type="duplicateValues" priority="7"/>
  </conditionalFormatting>
  <conditionalFormatting sqref="C41">
    <cfRule type="duplicateValues" priority="6"/>
  </conditionalFormatting>
  <conditionalFormatting sqref="C42">
    <cfRule type="duplicateValues" priority="5"/>
  </conditionalFormatting>
  <conditionalFormatting sqref="C43">
    <cfRule type="duplicateValues" priority="4"/>
  </conditionalFormatting>
  <conditionalFormatting sqref="C44">
    <cfRule type="duplicateValues" priority="3"/>
  </conditionalFormatting>
  <conditionalFormatting sqref="C45">
    <cfRule type="duplicateValues" priority="2"/>
  </conditionalFormatting>
  <conditionalFormatting sqref="C46">
    <cfRule type="duplicateValues" priority="1"/>
  </conditionalFormatting>
  <dataValidations count="3">
    <dataValidation type="list" allowBlank="1" showInputMessage="1" showErrorMessage="1" sqref="G47:H102" xr:uid="{00000000-0002-0000-1200-000000000000}">
      <formula1>"implist"</formula1>
    </dataValidation>
    <dataValidation type="list" allowBlank="1" showInputMessage="1" showErrorMessage="1" sqref="F4:F46" xr:uid="{00000000-0002-0000-1200-000001000000}">
      <formula1>Status</formula1>
    </dataValidation>
    <dataValidation type="list" allowBlank="1" showInputMessage="1" showErrorMessage="1" sqref="I4:I46" xr:uid="{00000000-0002-0000-1200-000002000000}">
      <formula1>Funding</formula1>
    </dataValidation>
  </dataValidations>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I48"/>
  <sheetViews>
    <sheetView topLeftCell="A7" workbookViewId="0">
      <selection activeCell="J24" sqref="J24"/>
    </sheetView>
  </sheetViews>
  <sheetFormatPr defaultColWidth="14.7109375" defaultRowHeight="15" x14ac:dyDescent="0.25"/>
  <cols>
    <col min="1" max="1" width="6.140625" style="36" customWidth="1"/>
    <col min="2" max="2" width="19.7109375" customWidth="1"/>
    <col min="3" max="3" width="34.5703125" customWidth="1"/>
    <col min="4" max="4" width="24.7109375" style="9" customWidth="1"/>
    <col min="5" max="5" width="24.7109375" style="35" customWidth="1"/>
    <col min="6" max="6" width="24.7109375" style="37" customWidth="1"/>
    <col min="7" max="7" width="16.140625" customWidth="1"/>
    <col min="8" max="8" width="24.7109375" style="36" customWidth="1"/>
  </cols>
  <sheetData>
    <row r="1" spans="1:9" ht="30" customHeight="1" x14ac:dyDescent="0.25">
      <c r="A1" s="204" t="s">
        <v>601</v>
      </c>
      <c r="B1" s="205"/>
      <c r="C1" s="205"/>
      <c r="D1" s="205"/>
      <c r="E1" s="205"/>
      <c r="F1" s="205"/>
      <c r="G1" s="205"/>
      <c r="H1" s="206"/>
    </row>
    <row r="2" spans="1:9" ht="15.75" thickBot="1" x14ac:dyDescent="0.3">
      <c r="A2" s="207"/>
      <c r="B2" s="208"/>
      <c r="C2" s="208"/>
      <c r="D2" s="208"/>
      <c r="E2" s="208"/>
      <c r="F2" s="208"/>
      <c r="G2" s="208"/>
      <c r="H2" s="209"/>
    </row>
    <row r="3" spans="1:9" ht="15" customHeight="1" thickBot="1" x14ac:dyDescent="0.3">
      <c r="A3" s="41" t="s">
        <v>48</v>
      </c>
      <c r="B3" s="44" t="s">
        <v>49</v>
      </c>
      <c r="C3" s="44" t="s">
        <v>50</v>
      </c>
      <c r="D3" s="45" t="s">
        <v>51</v>
      </c>
      <c r="E3" s="45" t="s">
        <v>52</v>
      </c>
      <c r="F3" s="38" t="s">
        <v>595</v>
      </c>
      <c r="G3" s="40" t="s">
        <v>54</v>
      </c>
      <c r="H3" s="38" t="s">
        <v>596</v>
      </c>
      <c r="I3" s="92" t="s">
        <v>23</v>
      </c>
    </row>
    <row r="4" spans="1:9" ht="300" x14ac:dyDescent="0.25">
      <c r="A4" s="30">
        <v>1</v>
      </c>
      <c r="B4" s="13" t="s">
        <v>152</v>
      </c>
      <c r="C4" s="13" t="s">
        <v>185</v>
      </c>
      <c r="D4" s="13" t="s">
        <v>186</v>
      </c>
      <c r="E4" s="13" t="s">
        <v>187</v>
      </c>
      <c r="F4" s="13" t="s">
        <v>598</v>
      </c>
      <c r="G4" s="14">
        <v>170000</v>
      </c>
      <c r="H4" s="15">
        <v>2018</v>
      </c>
      <c r="I4" s="15" t="s">
        <v>30</v>
      </c>
    </row>
    <row r="5" spans="1:9" ht="150" x14ac:dyDescent="0.25">
      <c r="A5" s="8">
        <v>2</v>
      </c>
      <c r="B5" s="13" t="s">
        <v>152</v>
      </c>
      <c r="C5" s="13" t="s">
        <v>153</v>
      </c>
      <c r="D5" s="13" t="s">
        <v>154</v>
      </c>
      <c r="E5" s="13" t="s">
        <v>155</v>
      </c>
      <c r="F5" s="13" t="s">
        <v>598</v>
      </c>
      <c r="G5" s="14">
        <v>28000</v>
      </c>
      <c r="H5" s="15">
        <v>2018</v>
      </c>
      <c r="I5" s="15" t="s">
        <v>30</v>
      </c>
    </row>
    <row r="6" spans="1:9" ht="105" x14ac:dyDescent="0.25">
      <c r="A6" s="30">
        <v>3</v>
      </c>
      <c r="B6" s="10" t="s">
        <v>152</v>
      </c>
      <c r="C6" s="10" t="s">
        <v>239</v>
      </c>
      <c r="D6" s="10" t="s">
        <v>240</v>
      </c>
      <c r="E6" s="10" t="s">
        <v>241</v>
      </c>
      <c r="F6" s="10" t="s">
        <v>29</v>
      </c>
      <c r="G6" s="11">
        <v>15000</v>
      </c>
      <c r="H6" s="8">
        <v>2018</v>
      </c>
      <c r="I6" s="8" t="s">
        <v>30</v>
      </c>
    </row>
    <row r="7" spans="1:9" ht="135" x14ac:dyDescent="0.25">
      <c r="A7" s="8">
        <v>4</v>
      </c>
      <c r="B7" s="10" t="s">
        <v>152</v>
      </c>
      <c r="C7" s="10" t="s">
        <v>273</v>
      </c>
      <c r="D7" s="10" t="s">
        <v>274</v>
      </c>
      <c r="E7" s="10" t="s">
        <v>275</v>
      </c>
      <c r="F7" s="10" t="s">
        <v>29</v>
      </c>
      <c r="G7" s="11">
        <v>60000</v>
      </c>
      <c r="H7" s="8">
        <v>2018</v>
      </c>
      <c r="I7" s="8" t="s">
        <v>30</v>
      </c>
    </row>
    <row r="8" spans="1:9" x14ac:dyDescent="0.25">
      <c r="A8" s="30">
        <v>5</v>
      </c>
      <c r="B8" s="10"/>
      <c r="C8" s="10"/>
      <c r="D8" s="10"/>
      <c r="E8" s="10"/>
      <c r="F8" s="10"/>
      <c r="G8" s="11"/>
      <c r="H8" s="8"/>
    </row>
    <row r="9" spans="1:9" x14ac:dyDescent="0.25">
      <c r="A9" s="8">
        <v>6</v>
      </c>
      <c r="B9" s="10"/>
      <c r="C9" s="10"/>
      <c r="D9" s="10"/>
      <c r="E9" s="10"/>
      <c r="F9" s="10"/>
      <c r="G9" s="11"/>
      <c r="H9" s="8"/>
    </row>
    <row r="10" spans="1:9" x14ac:dyDescent="0.25">
      <c r="A10" s="8">
        <v>7</v>
      </c>
      <c r="B10" s="10"/>
      <c r="C10" s="10"/>
      <c r="D10" s="10"/>
      <c r="E10" s="10"/>
      <c r="F10" s="17"/>
      <c r="G10" s="11"/>
      <c r="H10" s="8"/>
    </row>
    <row r="11" spans="1:9" x14ac:dyDescent="0.25">
      <c r="A11" s="8">
        <v>8</v>
      </c>
      <c r="B11" s="10"/>
      <c r="C11" s="10"/>
      <c r="D11" s="10"/>
      <c r="E11" s="10"/>
      <c r="F11" s="17"/>
      <c r="G11" s="11"/>
      <c r="H11" s="8"/>
    </row>
    <row r="12" spans="1:9" x14ac:dyDescent="0.25">
      <c r="A12" s="8">
        <v>9</v>
      </c>
      <c r="B12" s="10"/>
      <c r="C12" s="10"/>
      <c r="D12" s="10"/>
      <c r="E12" s="10"/>
      <c r="F12" s="17"/>
      <c r="G12" s="11"/>
      <c r="H12" s="8"/>
    </row>
    <row r="13" spans="1:9" x14ac:dyDescent="0.25">
      <c r="A13" s="8">
        <v>10</v>
      </c>
      <c r="B13" s="10"/>
      <c r="C13" s="10"/>
      <c r="D13" s="10"/>
      <c r="E13" s="10"/>
      <c r="F13" s="17"/>
      <c r="G13" s="11"/>
      <c r="H13" s="8"/>
    </row>
    <row r="14" spans="1:9" x14ac:dyDescent="0.25">
      <c r="A14" s="8">
        <v>11</v>
      </c>
      <c r="B14" s="10"/>
      <c r="C14" s="10"/>
      <c r="D14" s="10"/>
      <c r="E14" s="10"/>
      <c r="F14" s="17"/>
      <c r="G14" s="11"/>
      <c r="H14" s="8"/>
    </row>
    <row r="15" spans="1:9" x14ac:dyDescent="0.25">
      <c r="A15" s="8">
        <v>12</v>
      </c>
      <c r="B15" s="10"/>
      <c r="C15" s="10"/>
      <c r="D15" s="10"/>
      <c r="E15" s="10"/>
      <c r="F15" s="17"/>
      <c r="G15" s="11"/>
      <c r="H15" s="8"/>
    </row>
    <row r="16" spans="1:9" x14ac:dyDescent="0.25">
      <c r="A16" s="8">
        <v>13</v>
      </c>
      <c r="B16" s="10"/>
      <c r="C16" s="10"/>
      <c r="D16" s="10"/>
      <c r="E16" s="10"/>
      <c r="F16" s="17"/>
      <c r="G16" s="11"/>
      <c r="H16" s="8"/>
    </row>
    <row r="17" spans="1:8" x14ac:dyDescent="0.25">
      <c r="A17" s="8">
        <v>14</v>
      </c>
      <c r="B17" s="10"/>
      <c r="C17" s="10"/>
      <c r="D17" s="10"/>
      <c r="E17" s="10"/>
      <c r="F17" s="17"/>
      <c r="G17" s="11"/>
      <c r="H17" s="8"/>
    </row>
    <row r="18" spans="1:8" x14ac:dyDescent="0.25">
      <c r="A18" s="8">
        <v>15</v>
      </c>
      <c r="B18" s="10"/>
      <c r="C18" s="10"/>
      <c r="D18" s="10"/>
      <c r="E18" s="10"/>
      <c r="F18" s="17"/>
      <c r="G18" s="11"/>
      <c r="H18" s="8"/>
    </row>
    <row r="19" spans="1:8" x14ac:dyDescent="0.25">
      <c r="A19" s="8">
        <v>16</v>
      </c>
      <c r="B19" s="10"/>
      <c r="C19" s="10"/>
      <c r="D19" s="10"/>
      <c r="E19" s="10"/>
      <c r="F19" s="17"/>
      <c r="G19" s="11"/>
      <c r="H19" s="8"/>
    </row>
    <row r="20" spans="1:8" x14ac:dyDescent="0.25">
      <c r="A20" s="8">
        <v>17</v>
      </c>
      <c r="B20" s="10"/>
      <c r="C20" s="10"/>
      <c r="D20" s="10"/>
      <c r="E20" s="10"/>
      <c r="F20" s="17"/>
      <c r="G20" s="11"/>
      <c r="H20" s="8"/>
    </row>
    <row r="21" spans="1:8" x14ac:dyDescent="0.25">
      <c r="A21" s="8">
        <v>18</v>
      </c>
      <c r="B21" s="10"/>
      <c r="C21" s="10"/>
      <c r="D21" s="10"/>
      <c r="E21" s="10"/>
      <c r="F21" s="17"/>
      <c r="G21" s="11"/>
      <c r="H21" s="8"/>
    </row>
    <row r="22" spans="1:8" x14ac:dyDescent="0.25">
      <c r="A22" s="8">
        <v>19</v>
      </c>
      <c r="B22" s="10"/>
      <c r="C22" s="10"/>
      <c r="D22" s="10"/>
      <c r="E22" s="10"/>
      <c r="F22" s="17"/>
      <c r="G22" s="11"/>
      <c r="H22" s="8"/>
    </row>
    <row r="23" spans="1:8" x14ac:dyDescent="0.25">
      <c r="A23" s="8">
        <v>20</v>
      </c>
      <c r="B23" s="10"/>
      <c r="C23" s="10"/>
      <c r="D23" s="10"/>
      <c r="E23" s="10"/>
      <c r="F23" s="17"/>
      <c r="G23" s="11"/>
      <c r="H23" s="8"/>
    </row>
    <row r="24" spans="1:8" x14ac:dyDescent="0.25">
      <c r="A24" s="8">
        <v>21</v>
      </c>
      <c r="B24" s="10"/>
      <c r="C24" s="10"/>
      <c r="D24" s="10"/>
      <c r="E24" s="10"/>
      <c r="F24" s="17"/>
      <c r="G24" s="11"/>
      <c r="H24" s="8"/>
    </row>
    <row r="25" spans="1:8" x14ac:dyDescent="0.25">
      <c r="A25" s="8">
        <v>22</v>
      </c>
      <c r="B25" s="10"/>
      <c r="C25" s="10"/>
      <c r="D25" s="10"/>
      <c r="E25" s="10"/>
      <c r="F25" s="17"/>
      <c r="G25" s="11"/>
      <c r="H25" s="8"/>
    </row>
    <row r="26" spans="1:8" x14ac:dyDescent="0.25">
      <c r="A26" s="8">
        <v>23</v>
      </c>
      <c r="B26" s="10"/>
      <c r="C26" s="10"/>
      <c r="D26" s="10"/>
      <c r="E26" s="10"/>
      <c r="F26" s="17"/>
      <c r="G26" s="11"/>
      <c r="H26" s="8"/>
    </row>
    <row r="27" spans="1:8" x14ac:dyDescent="0.25">
      <c r="A27" s="8">
        <v>24</v>
      </c>
      <c r="B27" s="10"/>
      <c r="C27" s="10"/>
      <c r="D27" s="10"/>
      <c r="E27" s="10"/>
      <c r="F27" s="17"/>
      <c r="G27" s="11"/>
      <c r="H27" s="8"/>
    </row>
    <row r="28" spans="1:8" x14ac:dyDescent="0.25">
      <c r="A28" s="8">
        <v>25</v>
      </c>
      <c r="B28" s="10"/>
      <c r="C28" s="10"/>
      <c r="D28" s="10"/>
      <c r="E28" s="10"/>
      <c r="F28" s="17"/>
      <c r="G28" s="11"/>
      <c r="H28" s="8"/>
    </row>
    <row r="29" spans="1:8" x14ac:dyDescent="0.25">
      <c r="A29" s="8">
        <v>26</v>
      </c>
      <c r="B29" s="10"/>
      <c r="C29" s="10"/>
      <c r="D29" s="10"/>
      <c r="E29" s="10"/>
      <c r="F29" s="17"/>
      <c r="G29" s="11"/>
      <c r="H29" s="8"/>
    </row>
    <row r="30" spans="1:8" x14ac:dyDescent="0.25">
      <c r="A30" s="8">
        <v>27</v>
      </c>
      <c r="B30" s="10"/>
      <c r="C30" s="10"/>
      <c r="D30" s="10"/>
      <c r="E30" s="10"/>
      <c r="F30" s="17"/>
      <c r="G30" s="11"/>
      <c r="H30" s="8"/>
    </row>
    <row r="31" spans="1:8" x14ac:dyDescent="0.25">
      <c r="A31" s="8">
        <v>28</v>
      </c>
      <c r="B31" s="10"/>
      <c r="C31" s="10"/>
      <c r="D31" s="10"/>
      <c r="E31" s="10"/>
      <c r="F31" s="17"/>
      <c r="G31" s="11"/>
      <c r="H31" s="8"/>
    </row>
    <row r="32" spans="1:8" x14ac:dyDescent="0.25">
      <c r="A32" s="8">
        <v>29</v>
      </c>
      <c r="B32" s="10"/>
      <c r="C32" s="10"/>
      <c r="D32" s="10"/>
      <c r="E32" s="10"/>
      <c r="F32" s="17"/>
      <c r="G32" s="11"/>
      <c r="H32" s="8"/>
    </row>
    <row r="33" spans="1:8" x14ac:dyDescent="0.25">
      <c r="A33" s="8">
        <v>30</v>
      </c>
      <c r="B33" s="10"/>
      <c r="C33" s="10"/>
      <c r="D33" s="10"/>
      <c r="E33" s="10"/>
      <c r="F33" s="17"/>
      <c r="G33" s="11"/>
      <c r="H33" s="8"/>
    </row>
    <row r="34" spans="1:8" x14ac:dyDescent="0.25">
      <c r="A34" s="8">
        <v>31</v>
      </c>
      <c r="B34" s="10"/>
      <c r="C34" s="10"/>
      <c r="D34" s="10"/>
      <c r="E34" s="10"/>
      <c r="F34" s="17"/>
      <c r="G34" s="11"/>
      <c r="H34" s="8"/>
    </row>
    <row r="35" spans="1:8" x14ac:dyDescent="0.25">
      <c r="A35" s="8">
        <v>32</v>
      </c>
      <c r="B35" s="10"/>
      <c r="C35" s="10"/>
      <c r="D35" s="10"/>
      <c r="E35" s="10"/>
      <c r="F35" s="17"/>
      <c r="G35" s="11"/>
      <c r="H35" s="8"/>
    </row>
    <row r="36" spans="1:8" x14ac:dyDescent="0.25">
      <c r="A36" s="8">
        <v>33</v>
      </c>
      <c r="B36" s="10"/>
      <c r="C36" s="10"/>
      <c r="D36" s="10"/>
      <c r="E36" s="10"/>
      <c r="F36" s="17"/>
      <c r="G36" s="11"/>
      <c r="H36" s="8"/>
    </row>
    <row r="37" spans="1:8" x14ac:dyDescent="0.25">
      <c r="B37" s="10"/>
      <c r="C37" s="10"/>
      <c r="D37" s="10"/>
      <c r="E37" s="10"/>
      <c r="F37" s="17"/>
      <c r="G37" s="11"/>
      <c r="H37" s="8"/>
    </row>
    <row r="38" spans="1:8" x14ac:dyDescent="0.25">
      <c r="B38" s="23"/>
      <c r="C38" s="53"/>
      <c r="D38" s="23"/>
      <c r="E38" s="23"/>
      <c r="F38" s="26"/>
      <c r="G38" s="54"/>
      <c r="H38" s="25"/>
    </row>
    <row r="39" spans="1:8" x14ac:dyDescent="0.25">
      <c r="B39" s="10"/>
      <c r="C39" s="1"/>
      <c r="D39" s="10"/>
      <c r="E39" s="10"/>
      <c r="F39" s="17"/>
      <c r="G39" s="52"/>
      <c r="H39" s="8"/>
    </row>
    <row r="40" spans="1:8" x14ac:dyDescent="0.25">
      <c r="B40" s="10"/>
      <c r="C40" s="1"/>
      <c r="D40" s="10"/>
      <c r="E40" s="10"/>
      <c r="F40" s="17"/>
      <c r="G40" s="52"/>
      <c r="H40" s="8"/>
    </row>
    <row r="41" spans="1:8" x14ac:dyDescent="0.25">
      <c r="B41" s="10"/>
      <c r="C41" s="1"/>
      <c r="D41" s="10"/>
      <c r="E41" s="10"/>
      <c r="F41" s="17"/>
      <c r="G41" s="52"/>
      <c r="H41" s="8"/>
    </row>
    <row r="42" spans="1:8" x14ac:dyDescent="0.25">
      <c r="B42" s="10"/>
      <c r="C42" s="1"/>
      <c r="D42" s="10"/>
      <c r="E42" s="10"/>
      <c r="F42" s="17"/>
      <c r="G42" s="52"/>
      <c r="H42" s="8"/>
    </row>
    <row r="43" spans="1:8" x14ac:dyDescent="0.25">
      <c r="B43" s="23"/>
      <c r="C43" s="53"/>
      <c r="D43" s="23"/>
      <c r="E43" s="23"/>
      <c r="F43" s="26"/>
      <c r="G43" s="54"/>
      <c r="H43" s="25"/>
    </row>
    <row r="44" spans="1:8" x14ac:dyDescent="0.25">
      <c r="B44" s="23"/>
      <c r="C44" s="53"/>
      <c r="D44" s="23"/>
      <c r="E44" s="23"/>
      <c r="F44" s="26"/>
      <c r="G44" s="54"/>
      <c r="H44" s="25"/>
    </row>
    <row r="45" spans="1:8" x14ac:dyDescent="0.25">
      <c r="B45" s="10"/>
      <c r="C45" s="1"/>
      <c r="D45" s="10"/>
      <c r="E45" s="10"/>
      <c r="F45" s="17"/>
      <c r="G45" s="52"/>
      <c r="H45" s="8"/>
    </row>
    <row r="46" spans="1:8" x14ac:dyDescent="0.25">
      <c r="B46" s="10"/>
      <c r="C46" s="1"/>
      <c r="D46" s="10"/>
      <c r="E46" s="10"/>
      <c r="F46" s="17"/>
      <c r="G46" s="52"/>
      <c r="H46" s="8"/>
    </row>
    <row r="47" spans="1:8" x14ac:dyDescent="0.25">
      <c r="B47" s="23"/>
      <c r="C47" s="53"/>
      <c r="D47" s="23"/>
      <c r="E47" s="23"/>
      <c r="F47" s="26"/>
      <c r="G47" s="54"/>
      <c r="H47" s="25"/>
    </row>
    <row r="48" spans="1:8" x14ac:dyDescent="0.25">
      <c r="B48" s="23"/>
      <c r="C48" s="53"/>
      <c r="D48" s="23"/>
      <c r="E48" s="23"/>
      <c r="F48" s="26"/>
      <c r="G48" s="54"/>
      <c r="H48" s="25"/>
    </row>
  </sheetData>
  <mergeCells count="1">
    <mergeCell ref="A1:H2"/>
  </mergeCells>
  <conditionalFormatting sqref="C4:C7">
    <cfRule type="duplicateValues" priority="1"/>
  </conditionalFormatting>
  <dataValidations count="3">
    <dataValidation type="list" allowBlank="1" showInputMessage="1" showErrorMessage="1" sqref="G49:H110" xr:uid="{00000000-0002-0000-1300-000000000000}">
      <formula1>"implist"</formula1>
    </dataValidation>
    <dataValidation type="list" allowBlank="1" showInputMessage="1" showErrorMessage="1" sqref="F4:F7" xr:uid="{00000000-0002-0000-1300-000001000000}">
      <formula1>Status</formula1>
    </dataValidation>
    <dataValidation type="list" allowBlank="1" showInputMessage="1" showErrorMessage="1" sqref="I4:I7" xr:uid="{00000000-0002-0000-1300-000002000000}">
      <formula1>Funding</formula1>
    </dataValidation>
  </dataValidation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I40"/>
  <sheetViews>
    <sheetView workbookViewId="0">
      <selection activeCell="F51" sqref="F51"/>
    </sheetView>
  </sheetViews>
  <sheetFormatPr defaultColWidth="14.7109375" defaultRowHeight="15" x14ac:dyDescent="0.25"/>
  <cols>
    <col min="1" max="1" width="6.140625" style="36" customWidth="1"/>
    <col min="2" max="2" width="26.28515625" customWidth="1"/>
    <col min="3" max="3" width="53.140625" customWidth="1"/>
    <col min="4" max="4" width="33.140625" style="9" customWidth="1"/>
    <col min="5" max="5" width="24.7109375" style="59" customWidth="1"/>
    <col min="6" max="6" width="24.7109375" style="37" customWidth="1"/>
    <col min="7" max="7" width="19.42578125" style="58" customWidth="1"/>
    <col min="8" max="8" width="24.7109375" style="36" customWidth="1"/>
  </cols>
  <sheetData>
    <row r="1" spans="1:9" ht="30" customHeight="1" x14ac:dyDescent="0.25">
      <c r="A1" s="210" t="s">
        <v>94</v>
      </c>
      <c r="B1" s="211"/>
      <c r="C1" s="211"/>
      <c r="D1" s="211"/>
      <c r="E1" s="211"/>
      <c r="F1" s="211"/>
      <c r="G1" s="211"/>
      <c r="H1" s="211"/>
      <c r="I1" s="211"/>
    </row>
    <row r="2" spans="1:9" ht="15.75" thickBot="1" x14ac:dyDescent="0.3">
      <c r="A2" s="210"/>
      <c r="B2" s="211"/>
      <c r="C2" s="211"/>
      <c r="D2" s="211"/>
      <c r="E2" s="211"/>
      <c r="F2" s="211"/>
      <c r="G2" s="211"/>
      <c r="H2" s="211"/>
      <c r="I2" s="211"/>
    </row>
    <row r="3" spans="1:9" ht="15" customHeight="1" thickBot="1" x14ac:dyDescent="0.3">
      <c r="A3" s="41" t="s">
        <v>48</v>
      </c>
      <c r="B3" s="44" t="s">
        <v>49</v>
      </c>
      <c r="C3" s="44" t="s">
        <v>50</v>
      </c>
      <c r="D3" s="45" t="s">
        <v>51</v>
      </c>
      <c r="E3" s="45" t="s">
        <v>52</v>
      </c>
      <c r="F3" s="38" t="s">
        <v>595</v>
      </c>
      <c r="G3" s="57" t="s">
        <v>54</v>
      </c>
      <c r="H3" s="38" t="s">
        <v>596</v>
      </c>
      <c r="I3" s="92" t="s">
        <v>23</v>
      </c>
    </row>
    <row r="4" spans="1:9" ht="45" hidden="1" x14ac:dyDescent="0.25">
      <c r="A4" s="30">
        <v>1</v>
      </c>
      <c r="B4" s="13" t="s">
        <v>94</v>
      </c>
      <c r="C4" s="13" t="s">
        <v>95</v>
      </c>
      <c r="D4" s="13" t="s">
        <v>638</v>
      </c>
      <c r="E4" s="13" t="s">
        <v>639</v>
      </c>
      <c r="F4" s="13" t="s">
        <v>598</v>
      </c>
      <c r="G4" s="14">
        <v>375000</v>
      </c>
      <c r="H4" s="15">
        <v>2018</v>
      </c>
      <c r="I4" s="15" t="s">
        <v>30</v>
      </c>
    </row>
    <row r="5" spans="1:9" ht="30" hidden="1" x14ac:dyDescent="0.25">
      <c r="A5" s="8">
        <v>2</v>
      </c>
      <c r="B5" s="13" t="s">
        <v>94</v>
      </c>
      <c r="C5" s="13" t="s">
        <v>237</v>
      </c>
      <c r="D5" s="13" t="s">
        <v>238</v>
      </c>
      <c r="E5" s="13" t="s">
        <v>650</v>
      </c>
      <c r="F5" s="13" t="s">
        <v>598</v>
      </c>
      <c r="G5" s="14">
        <v>150000</v>
      </c>
      <c r="H5" s="15">
        <v>2018</v>
      </c>
      <c r="I5" s="15" t="s">
        <v>30</v>
      </c>
    </row>
    <row r="6" spans="1:9" ht="30" hidden="1" x14ac:dyDescent="0.25">
      <c r="A6" s="30">
        <v>3</v>
      </c>
      <c r="B6" s="10" t="s">
        <v>94</v>
      </c>
      <c r="C6" s="10" t="s">
        <v>99</v>
      </c>
      <c r="D6" s="10" t="s">
        <v>100</v>
      </c>
      <c r="E6" s="10" t="s">
        <v>101</v>
      </c>
      <c r="F6" s="10" t="s">
        <v>29</v>
      </c>
      <c r="G6" s="11">
        <v>1500000</v>
      </c>
      <c r="H6" s="8">
        <v>2018</v>
      </c>
      <c r="I6" s="8" t="s">
        <v>30</v>
      </c>
    </row>
    <row r="7" spans="1:9" ht="30" hidden="1" x14ac:dyDescent="0.25">
      <c r="A7" s="8">
        <v>4</v>
      </c>
      <c r="B7" s="10" t="s">
        <v>94</v>
      </c>
      <c r="C7" s="10" t="s">
        <v>134</v>
      </c>
      <c r="D7" s="10" t="s">
        <v>135</v>
      </c>
      <c r="E7" s="10" t="s">
        <v>101</v>
      </c>
      <c r="F7" s="10" t="s">
        <v>29</v>
      </c>
      <c r="G7" s="11">
        <v>1500000</v>
      </c>
      <c r="H7" s="8">
        <v>2018</v>
      </c>
      <c r="I7" s="8" t="s">
        <v>30</v>
      </c>
    </row>
    <row r="8" spans="1:9" ht="30" hidden="1" x14ac:dyDescent="0.25">
      <c r="A8" s="30">
        <v>5</v>
      </c>
      <c r="B8" s="10" t="s">
        <v>94</v>
      </c>
      <c r="C8" s="10" t="s">
        <v>136</v>
      </c>
      <c r="D8" s="10" t="s">
        <v>137</v>
      </c>
      <c r="E8" s="10" t="s">
        <v>138</v>
      </c>
      <c r="F8" s="10" t="s">
        <v>29</v>
      </c>
      <c r="G8" s="11">
        <v>1500000</v>
      </c>
      <c r="H8" s="8">
        <v>2018</v>
      </c>
      <c r="I8" s="8" t="s">
        <v>30</v>
      </c>
    </row>
    <row r="9" spans="1:9" ht="30" hidden="1" x14ac:dyDescent="0.25">
      <c r="A9" s="8">
        <v>6</v>
      </c>
      <c r="B9" s="10" t="s">
        <v>94</v>
      </c>
      <c r="C9" s="10" t="s">
        <v>139</v>
      </c>
      <c r="D9" s="10" t="s">
        <v>137</v>
      </c>
      <c r="E9" s="10" t="s">
        <v>138</v>
      </c>
      <c r="F9" s="10" t="s">
        <v>29</v>
      </c>
      <c r="G9" s="11">
        <v>35000</v>
      </c>
      <c r="H9" s="8">
        <v>2018</v>
      </c>
      <c r="I9" s="8" t="s">
        <v>30</v>
      </c>
    </row>
    <row r="10" spans="1:9" hidden="1" x14ac:dyDescent="0.25">
      <c r="A10" s="30">
        <v>7</v>
      </c>
      <c r="B10" s="10" t="s">
        <v>94</v>
      </c>
      <c r="C10" s="10" t="s">
        <v>634</v>
      </c>
      <c r="D10" s="10" t="s">
        <v>172</v>
      </c>
      <c r="E10" s="10" t="s">
        <v>635</v>
      </c>
      <c r="F10" s="10" t="s">
        <v>29</v>
      </c>
      <c r="G10" s="11">
        <v>1500000</v>
      </c>
      <c r="H10" s="8">
        <v>2018</v>
      </c>
      <c r="I10" s="8" t="s">
        <v>30</v>
      </c>
    </row>
    <row r="11" spans="1:9" hidden="1" x14ac:dyDescent="0.25">
      <c r="A11" s="8">
        <v>8</v>
      </c>
      <c r="B11" s="10" t="s">
        <v>94</v>
      </c>
      <c r="C11" s="10" t="s">
        <v>604</v>
      </c>
      <c r="D11" s="10" t="s">
        <v>605</v>
      </c>
      <c r="E11" s="49" t="s">
        <v>606</v>
      </c>
      <c r="F11" s="10" t="s">
        <v>29</v>
      </c>
      <c r="G11" s="11">
        <v>500000</v>
      </c>
      <c r="H11" s="17">
        <v>2019</v>
      </c>
      <c r="I11" s="8" t="s">
        <v>30</v>
      </c>
    </row>
    <row r="12" spans="1:9" hidden="1" x14ac:dyDescent="0.25">
      <c r="A12" s="30">
        <v>9</v>
      </c>
      <c r="B12" s="10" t="s">
        <v>94</v>
      </c>
      <c r="C12" s="10" t="s">
        <v>583</v>
      </c>
      <c r="D12" s="10" t="s">
        <v>609</v>
      </c>
      <c r="E12" s="10" t="s">
        <v>138</v>
      </c>
      <c r="F12" s="10" t="s">
        <v>29</v>
      </c>
      <c r="G12" s="11"/>
      <c r="H12" s="17">
        <v>2019</v>
      </c>
      <c r="I12" s="8" t="s">
        <v>30</v>
      </c>
    </row>
    <row r="13" spans="1:9" hidden="1" x14ac:dyDescent="0.25">
      <c r="A13" s="8">
        <v>10</v>
      </c>
      <c r="B13" s="10" t="s">
        <v>94</v>
      </c>
      <c r="C13" s="10" t="s">
        <v>232</v>
      </c>
      <c r="D13" s="10" t="s">
        <v>233</v>
      </c>
      <c r="E13" s="10" t="s">
        <v>138</v>
      </c>
      <c r="F13" s="10" t="s">
        <v>29</v>
      </c>
      <c r="G13" s="11">
        <v>1500000</v>
      </c>
      <c r="H13" s="8">
        <v>2018</v>
      </c>
      <c r="I13" s="8" t="s">
        <v>30</v>
      </c>
    </row>
    <row r="14" spans="1:9" hidden="1" x14ac:dyDescent="0.25">
      <c r="A14" s="30">
        <v>11</v>
      </c>
      <c r="B14" s="10" t="s">
        <v>94</v>
      </c>
      <c r="C14" s="10" t="s">
        <v>234</v>
      </c>
      <c r="D14" s="10" t="s">
        <v>233</v>
      </c>
      <c r="E14" s="10" t="s">
        <v>138</v>
      </c>
      <c r="F14" s="10" t="s">
        <v>29</v>
      </c>
      <c r="G14" s="11">
        <v>1500000</v>
      </c>
      <c r="H14" s="8">
        <v>2018</v>
      </c>
      <c r="I14" s="8" t="s">
        <v>30</v>
      </c>
    </row>
    <row r="15" spans="1:9" ht="30" hidden="1" x14ac:dyDescent="0.25">
      <c r="A15" s="8">
        <v>12</v>
      </c>
      <c r="B15" s="10" t="s">
        <v>94</v>
      </c>
      <c r="C15" s="10" t="s">
        <v>607</v>
      </c>
      <c r="D15" s="10" t="s">
        <v>608</v>
      </c>
      <c r="E15" s="10" t="s">
        <v>138</v>
      </c>
      <c r="F15" s="10" t="s">
        <v>29</v>
      </c>
      <c r="G15" s="11">
        <v>250000</v>
      </c>
      <c r="H15" s="17">
        <v>2019</v>
      </c>
      <c r="I15" s="8" t="s">
        <v>30</v>
      </c>
    </row>
    <row r="16" spans="1:9" ht="30" hidden="1" x14ac:dyDescent="0.25">
      <c r="A16" s="30">
        <v>13</v>
      </c>
      <c r="B16" s="10" t="s">
        <v>94</v>
      </c>
      <c r="C16" s="10" t="s">
        <v>668</v>
      </c>
      <c r="D16" s="10" t="s">
        <v>231</v>
      </c>
      <c r="E16" s="10"/>
      <c r="F16" s="10" t="s">
        <v>29</v>
      </c>
      <c r="G16" s="11">
        <v>850000</v>
      </c>
      <c r="H16" s="8">
        <v>2018</v>
      </c>
      <c r="I16" s="8" t="s">
        <v>30</v>
      </c>
    </row>
    <row r="17" spans="1:9" ht="30" hidden="1" x14ac:dyDescent="0.25">
      <c r="A17" s="8">
        <v>14</v>
      </c>
      <c r="B17" s="10" t="s">
        <v>94</v>
      </c>
      <c r="C17" s="10" t="s">
        <v>267</v>
      </c>
      <c r="D17" s="10" t="s">
        <v>268</v>
      </c>
      <c r="E17" s="10" t="s">
        <v>269</v>
      </c>
      <c r="F17" s="10" t="s">
        <v>29</v>
      </c>
      <c r="G17" s="11">
        <v>850000</v>
      </c>
      <c r="H17" s="8">
        <v>2018</v>
      </c>
      <c r="I17" s="8" t="s">
        <v>30</v>
      </c>
    </row>
    <row r="18" spans="1:9" ht="45" hidden="1" x14ac:dyDescent="0.25">
      <c r="A18" s="30">
        <v>15</v>
      </c>
      <c r="B18" s="10" t="s">
        <v>94</v>
      </c>
      <c r="C18" s="10" t="s">
        <v>588</v>
      </c>
      <c r="D18" s="10" t="s">
        <v>589</v>
      </c>
      <c r="E18" s="10"/>
      <c r="F18" s="10" t="s">
        <v>29</v>
      </c>
      <c r="G18" s="11">
        <v>25000</v>
      </c>
      <c r="H18" s="17">
        <v>2019</v>
      </c>
      <c r="I18" s="8" t="s">
        <v>30</v>
      </c>
    </row>
    <row r="19" spans="1:9" hidden="1" x14ac:dyDescent="0.25">
      <c r="A19" s="8">
        <v>16</v>
      </c>
      <c r="B19" s="10" t="s">
        <v>94</v>
      </c>
      <c r="C19" s="10" t="s">
        <v>610</v>
      </c>
      <c r="D19" s="10"/>
      <c r="E19" s="10" t="s">
        <v>138</v>
      </c>
      <c r="F19" s="10" t="s">
        <v>29</v>
      </c>
      <c r="G19" s="11">
        <v>20000</v>
      </c>
      <c r="H19" s="17">
        <v>2019</v>
      </c>
      <c r="I19" s="8" t="s">
        <v>30</v>
      </c>
    </row>
    <row r="20" spans="1:9" hidden="1" x14ac:dyDescent="0.25">
      <c r="A20" s="30">
        <v>17</v>
      </c>
      <c r="B20" s="10" t="s">
        <v>94</v>
      </c>
      <c r="C20" s="10" t="s">
        <v>235</v>
      </c>
      <c r="D20" s="10" t="s">
        <v>236</v>
      </c>
      <c r="E20" s="10" t="s">
        <v>138</v>
      </c>
      <c r="F20" s="10" t="s">
        <v>29</v>
      </c>
      <c r="G20" s="11">
        <v>150000</v>
      </c>
      <c r="H20" s="8">
        <v>2018</v>
      </c>
      <c r="I20" s="8" t="s">
        <v>30</v>
      </c>
    </row>
    <row r="21" spans="1:9" hidden="1" x14ac:dyDescent="0.25">
      <c r="A21" s="8">
        <v>18</v>
      </c>
      <c r="B21" s="67" t="s">
        <v>94</v>
      </c>
      <c r="C21" s="67" t="s">
        <v>611</v>
      </c>
      <c r="D21" s="67" t="s">
        <v>612</v>
      </c>
      <c r="E21" s="67" t="s">
        <v>138</v>
      </c>
      <c r="F21" s="10" t="s">
        <v>29</v>
      </c>
      <c r="G21" s="11">
        <v>250000</v>
      </c>
      <c r="H21" s="17">
        <v>2019</v>
      </c>
      <c r="I21" s="8" t="s">
        <v>30</v>
      </c>
    </row>
    <row r="22" spans="1:9" ht="30" hidden="1" x14ac:dyDescent="0.25">
      <c r="A22" s="30">
        <v>19</v>
      </c>
      <c r="B22" s="10" t="s">
        <v>94</v>
      </c>
      <c r="C22" s="10" t="s">
        <v>613</v>
      </c>
      <c r="D22" s="10" t="s">
        <v>614</v>
      </c>
      <c r="E22" s="10" t="s">
        <v>138</v>
      </c>
      <c r="F22" s="10" t="s">
        <v>29</v>
      </c>
      <c r="G22" s="11">
        <v>500000</v>
      </c>
      <c r="H22" s="17">
        <v>2019</v>
      </c>
      <c r="I22" s="8" t="s">
        <v>30</v>
      </c>
    </row>
    <row r="23" spans="1:9" ht="30" hidden="1" x14ac:dyDescent="0.25">
      <c r="A23" s="8">
        <v>20</v>
      </c>
      <c r="B23" s="10" t="s">
        <v>94</v>
      </c>
      <c r="C23" s="10" t="s">
        <v>270</v>
      </c>
      <c r="D23" s="10" t="s">
        <v>271</v>
      </c>
      <c r="E23" s="10" t="s">
        <v>272</v>
      </c>
      <c r="F23" s="10" t="s">
        <v>29</v>
      </c>
      <c r="G23" s="11">
        <v>5000</v>
      </c>
      <c r="H23" s="8">
        <v>2018</v>
      </c>
      <c r="I23" s="8" t="s">
        <v>30</v>
      </c>
    </row>
    <row r="24" spans="1:9" ht="30" hidden="1" x14ac:dyDescent="0.25">
      <c r="A24" s="30">
        <v>21</v>
      </c>
      <c r="B24" s="10" t="s">
        <v>94</v>
      </c>
      <c r="C24" s="1" t="s">
        <v>319</v>
      </c>
      <c r="D24" s="1" t="s">
        <v>320</v>
      </c>
      <c r="E24" s="72" t="s">
        <v>321</v>
      </c>
      <c r="F24" s="10" t="s">
        <v>29</v>
      </c>
      <c r="G24" s="11">
        <v>50000</v>
      </c>
      <c r="H24" s="8">
        <v>2018</v>
      </c>
      <c r="I24" s="8" t="s">
        <v>30</v>
      </c>
    </row>
    <row r="25" spans="1:9" hidden="1" x14ac:dyDescent="0.25">
      <c r="A25" s="8">
        <v>22</v>
      </c>
      <c r="B25" s="10" t="s">
        <v>94</v>
      </c>
      <c r="C25" s="10" t="s">
        <v>581</v>
      </c>
      <c r="D25" s="10" t="s">
        <v>582</v>
      </c>
      <c r="E25" s="10"/>
      <c r="F25" s="10" t="s">
        <v>29</v>
      </c>
      <c r="G25" s="11">
        <v>650000</v>
      </c>
      <c r="H25" s="17">
        <v>2019</v>
      </c>
      <c r="I25" s="8" t="s">
        <v>30</v>
      </c>
    </row>
    <row r="26" spans="1:9" ht="30" hidden="1" x14ac:dyDescent="0.25">
      <c r="A26" s="30">
        <v>23</v>
      </c>
      <c r="B26" s="10" t="s">
        <v>94</v>
      </c>
      <c r="C26" s="10" t="s">
        <v>411</v>
      </c>
      <c r="D26" s="10" t="s">
        <v>412</v>
      </c>
      <c r="E26" s="10" t="s">
        <v>413</v>
      </c>
      <c r="F26" s="10" t="s">
        <v>29</v>
      </c>
      <c r="G26" s="11">
        <v>150000</v>
      </c>
      <c r="H26" s="8">
        <v>2018</v>
      </c>
      <c r="I26" s="8" t="s">
        <v>30</v>
      </c>
    </row>
    <row r="27" spans="1:9" hidden="1" x14ac:dyDescent="0.25">
      <c r="A27" s="8">
        <v>24</v>
      </c>
      <c r="B27" s="10" t="s">
        <v>94</v>
      </c>
      <c r="C27" s="10" t="s">
        <v>586</v>
      </c>
      <c r="D27" s="10" t="s">
        <v>587</v>
      </c>
      <c r="E27" s="10"/>
      <c r="F27" s="10" t="s">
        <v>29</v>
      </c>
      <c r="G27" s="11">
        <v>50000</v>
      </c>
      <c r="H27" s="17">
        <v>2019</v>
      </c>
      <c r="I27" s="8" t="s">
        <v>30</v>
      </c>
    </row>
    <row r="28" spans="1:9" x14ac:dyDescent="0.25">
      <c r="A28" s="30">
        <v>25</v>
      </c>
      <c r="B28" s="10" t="s">
        <v>94</v>
      </c>
      <c r="C28" s="10" t="s">
        <v>592</v>
      </c>
      <c r="D28" s="10" t="s">
        <v>593</v>
      </c>
      <c r="E28" s="10"/>
      <c r="F28" s="10" t="s">
        <v>29</v>
      </c>
      <c r="G28" s="11">
        <v>350000</v>
      </c>
      <c r="H28" s="17">
        <v>2019</v>
      </c>
      <c r="I28" s="8" t="s">
        <v>34</v>
      </c>
    </row>
    <row r="29" spans="1:9" ht="45" x14ac:dyDescent="0.25">
      <c r="A29" s="8">
        <v>26</v>
      </c>
      <c r="B29" s="10" t="s">
        <v>94</v>
      </c>
      <c r="C29" s="10" t="s">
        <v>590</v>
      </c>
      <c r="D29" s="10" t="s">
        <v>591</v>
      </c>
      <c r="E29" s="10"/>
      <c r="F29" s="10" t="s">
        <v>29</v>
      </c>
      <c r="G29" s="11"/>
      <c r="H29" s="17">
        <v>2019</v>
      </c>
      <c r="I29" s="8" t="s">
        <v>34</v>
      </c>
    </row>
    <row r="30" spans="1:9" x14ac:dyDescent="0.25">
      <c r="A30" s="30">
        <v>27</v>
      </c>
      <c r="B30" s="10" t="s">
        <v>94</v>
      </c>
      <c r="C30" s="10" t="s">
        <v>465</v>
      </c>
      <c r="D30" s="10" t="s">
        <v>466</v>
      </c>
      <c r="E30" s="10" t="s">
        <v>467</v>
      </c>
      <c r="F30" s="10" t="s">
        <v>29</v>
      </c>
      <c r="G30" s="11">
        <v>200000</v>
      </c>
      <c r="H30" s="8">
        <v>2018</v>
      </c>
      <c r="I30" s="8" t="s">
        <v>34</v>
      </c>
    </row>
    <row r="31" spans="1:9" ht="30" hidden="1" x14ac:dyDescent="0.25">
      <c r="A31" s="8">
        <v>28</v>
      </c>
      <c r="B31" s="10" t="s">
        <v>94</v>
      </c>
      <c r="C31" s="10" t="s">
        <v>506</v>
      </c>
      <c r="D31" s="10" t="s">
        <v>507</v>
      </c>
      <c r="E31" s="10" t="s">
        <v>508</v>
      </c>
      <c r="F31" s="10" t="s">
        <v>29</v>
      </c>
      <c r="G31" s="11">
        <v>350000</v>
      </c>
      <c r="H31" s="8">
        <v>2018</v>
      </c>
      <c r="I31" s="8" t="s">
        <v>30</v>
      </c>
    </row>
    <row r="32" spans="1:9" ht="30" x14ac:dyDescent="0.25">
      <c r="A32" s="30">
        <v>29</v>
      </c>
      <c r="B32" s="10" t="s">
        <v>94</v>
      </c>
      <c r="C32" s="10" t="s">
        <v>462</v>
      </c>
      <c r="D32" s="10" t="s">
        <v>463</v>
      </c>
      <c r="E32" s="10" t="s">
        <v>464</v>
      </c>
      <c r="F32" s="10" t="s">
        <v>29</v>
      </c>
      <c r="G32" s="11">
        <v>400000</v>
      </c>
      <c r="H32" s="8">
        <v>2018</v>
      </c>
      <c r="I32" s="8" t="s">
        <v>34</v>
      </c>
    </row>
    <row r="33" spans="1:9" ht="30" x14ac:dyDescent="0.25">
      <c r="A33" s="8">
        <v>30</v>
      </c>
      <c r="B33" s="10" t="s">
        <v>94</v>
      </c>
      <c r="C33" s="10" t="s">
        <v>503</v>
      </c>
      <c r="D33" s="10" t="s">
        <v>504</v>
      </c>
      <c r="E33" s="10" t="s">
        <v>505</v>
      </c>
      <c r="F33" s="10" t="s">
        <v>29</v>
      </c>
      <c r="G33" s="11">
        <v>75000</v>
      </c>
      <c r="H33" s="8">
        <v>2018</v>
      </c>
      <c r="I33" s="8" t="s">
        <v>34</v>
      </c>
    </row>
    <row r="34" spans="1:9" ht="30" hidden="1" x14ac:dyDescent="0.25">
      <c r="A34" s="30">
        <v>31</v>
      </c>
      <c r="B34" s="10" t="s">
        <v>94</v>
      </c>
      <c r="C34" s="10" t="s">
        <v>522</v>
      </c>
      <c r="D34" s="10" t="s">
        <v>523</v>
      </c>
      <c r="E34" s="10" t="s">
        <v>524</v>
      </c>
      <c r="F34" s="10" t="s">
        <v>29</v>
      </c>
      <c r="G34" s="11">
        <v>100000</v>
      </c>
      <c r="H34" s="8">
        <v>2018</v>
      </c>
      <c r="I34" s="8" t="s">
        <v>30</v>
      </c>
    </row>
    <row r="35" spans="1:9" ht="30" x14ac:dyDescent="0.25">
      <c r="A35" s="8">
        <v>32</v>
      </c>
      <c r="B35" s="10" t="s">
        <v>94</v>
      </c>
      <c r="C35" s="10" t="s">
        <v>535</v>
      </c>
      <c r="D35" s="10" t="s">
        <v>536</v>
      </c>
      <c r="E35" s="10" t="s">
        <v>537</v>
      </c>
      <c r="F35" s="10" t="s">
        <v>29</v>
      </c>
      <c r="G35" s="11">
        <v>500000</v>
      </c>
      <c r="H35" s="8">
        <v>2018</v>
      </c>
      <c r="I35" s="8" t="s">
        <v>34</v>
      </c>
    </row>
    <row r="36" spans="1:9" ht="45" x14ac:dyDescent="0.25">
      <c r="A36" s="30">
        <v>33</v>
      </c>
      <c r="B36" s="10" t="s">
        <v>94</v>
      </c>
      <c r="C36" s="10" t="s">
        <v>538</v>
      </c>
      <c r="D36" s="10" t="s">
        <v>539</v>
      </c>
      <c r="E36" s="10" t="s">
        <v>540</v>
      </c>
      <c r="F36" s="10" t="s">
        <v>29</v>
      </c>
      <c r="G36" s="11">
        <v>1500000</v>
      </c>
      <c r="H36" s="8">
        <v>2018</v>
      </c>
      <c r="I36" s="8" t="s">
        <v>34</v>
      </c>
    </row>
    <row r="37" spans="1:9" hidden="1" x14ac:dyDescent="0.25">
      <c r="B37" s="67"/>
      <c r="C37" s="67"/>
      <c r="D37" s="67"/>
      <c r="E37" s="67"/>
      <c r="F37" s="10"/>
      <c r="G37" s="11"/>
      <c r="H37" s="17"/>
    </row>
    <row r="38" spans="1:9" hidden="1" x14ac:dyDescent="0.25">
      <c r="A38" s="8"/>
      <c r="B38" s="10"/>
      <c r="C38" s="10"/>
      <c r="D38" s="10"/>
      <c r="E38" s="10"/>
      <c r="F38" s="10"/>
      <c r="G38" s="11"/>
      <c r="H38" s="17"/>
    </row>
    <row r="39" spans="1:9" hidden="1" x14ac:dyDescent="0.25">
      <c r="A39" s="8"/>
      <c r="B39" s="60"/>
      <c r="C39" s="19"/>
      <c r="D39" s="19"/>
      <c r="E39" s="19"/>
      <c r="F39" s="19"/>
      <c r="G39" s="21"/>
      <c r="H39" s="22"/>
    </row>
    <row r="40" spans="1:9" hidden="1" x14ac:dyDescent="0.25">
      <c r="A40" s="8"/>
      <c r="B40" s="61"/>
      <c r="C40" s="62"/>
      <c r="D40" s="62"/>
      <c r="E40" s="62"/>
      <c r="F40" s="19"/>
      <c r="G40" s="63"/>
      <c r="H40" s="64"/>
    </row>
  </sheetData>
  <mergeCells count="1">
    <mergeCell ref="A1:I2"/>
  </mergeCells>
  <conditionalFormatting sqref="C4:C36">
    <cfRule type="duplicateValues" priority="1"/>
  </conditionalFormatting>
  <dataValidations count="3">
    <dataValidation type="list" allowBlank="1" showInputMessage="1" showErrorMessage="1" sqref="G41:H113 G39:G40" xr:uid="{00000000-0002-0000-1400-000000000000}">
      <formula1>"implist"</formula1>
    </dataValidation>
    <dataValidation type="list" allowBlank="1" showInputMessage="1" showErrorMessage="1" sqref="F4:F40" xr:uid="{00000000-0002-0000-1400-000001000000}">
      <formula1>Status</formula1>
    </dataValidation>
    <dataValidation type="list" allowBlank="1" showInputMessage="1" showErrorMessage="1" sqref="I4:I36" xr:uid="{00000000-0002-0000-1400-000002000000}">
      <formula1>Funding</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Current Projects</vt:lpstr>
      <vt:lpstr>Database</vt:lpstr>
      <vt:lpstr>Overall Master</vt:lpstr>
      <vt:lpstr>Scratch pad</vt:lpstr>
      <vt:lpstr>MM Master</vt:lpstr>
      <vt:lpstr>CIP Master</vt:lpstr>
      <vt:lpstr>Hospital (inhouse)</vt:lpstr>
      <vt:lpstr>Building Maint</vt:lpstr>
      <vt:lpstr>Civic Center</vt:lpstr>
      <vt:lpstr>Comm Dev</vt:lpstr>
      <vt:lpstr>Fire</vt:lpstr>
      <vt:lpstr>Library</vt:lpstr>
      <vt:lpstr>IT</vt:lpstr>
      <vt:lpstr>Museum</vt:lpstr>
      <vt:lpstr>PVMC Hospital </vt:lpstr>
      <vt:lpstr>Park Maint</vt:lpstr>
      <vt:lpstr>Parks &amp; Rec</vt:lpstr>
      <vt:lpstr>PD-PubSaf-Animal </vt:lpstr>
      <vt:lpstr>Ports &amp; Harbor</vt:lpstr>
      <vt:lpstr>Public Works</vt:lpstr>
      <vt:lpstr>Senior Center</vt:lpstr>
      <vt:lpstr>Valdez City Schools</vt:lpstr>
      <vt:lpstr>Age_Inf</vt:lpstr>
      <vt:lpstr>Com_Need</vt:lpstr>
      <vt:lpstr>Com_Request</vt:lpstr>
      <vt:lpstr>Department</vt:lpstr>
      <vt:lpstr>Department_List</vt:lpstr>
      <vt:lpstr>ele_pri</vt:lpstr>
      <vt:lpstr>Energy</vt:lpstr>
      <vt:lpstr>Epriority</vt:lpstr>
      <vt:lpstr>Funding</vt:lpstr>
      <vt:lpstr>Importance</vt:lpstr>
      <vt:lpstr>Importance_List</vt:lpstr>
      <vt:lpstr>MasterPlan</vt:lpstr>
      <vt:lpstr>Otherlist</vt:lpstr>
      <vt:lpstr>Others</vt:lpstr>
      <vt:lpstr>'Overall Master'!Print_Area</vt:lpstr>
      <vt:lpstr>Revenue</vt:lpstr>
      <vt:lpstr>Risk</vt:lpstr>
      <vt:lpstr>Status</vt:lpstr>
      <vt:lpstr>Status_Score</vt:lpstr>
      <vt:lpstr>Urgency</vt:lpstr>
      <vt:lpstr>Urgency_List</vt:lpstr>
    </vt:vector>
  </TitlesOfParts>
  <Company>City of Valdez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Ross</dc:creator>
  <cp:lastModifiedBy>Faith Revell</cp:lastModifiedBy>
  <cp:lastPrinted>2023-12-21T00:54:49Z</cp:lastPrinted>
  <dcterms:created xsi:type="dcterms:W3CDTF">2019-01-25T20:39:23Z</dcterms:created>
  <dcterms:modified xsi:type="dcterms:W3CDTF">2023-12-23T00:21:58Z</dcterms:modified>
</cp:coreProperties>
</file>