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zmuseum-my.sharepoint.com/personal/prelay_valdezmuseum_org/Documents/BOARD/BOD Reports/2023/"/>
    </mc:Choice>
  </mc:AlternateContent>
  <xr:revisionPtr revIDLastSave="0" documentId="8_{DCFFC5DE-8BF6-47FF-A516-10568366A4B4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BVA Expanded" sheetId="1" r:id="rId1"/>
    <sheet name="BVA Collapsed" sheetId="2" r:id="rId2"/>
    <sheet name="SOA Expanded" sheetId="3" r:id="rId3"/>
    <sheet name="SOA Collapsed" sheetId="4" r:id="rId4"/>
    <sheet name="SOF" sheetId="5" r:id="rId5"/>
    <sheet name="AR" sheetId="6" r:id="rId6"/>
    <sheet name="AP" sheetId="7" r:id="rId7"/>
    <sheet name="BOA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5" l="1"/>
  <c r="I46" i="5"/>
  <c r="J45" i="5"/>
  <c r="I45" i="5"/>
  <c r="J44" i="5"/>
  <c r="I44" i="5"/>
  <c r="J15" i="5"/>
  <c r="I15" i="5"/>
  <c r="J14" i="5"/>
  <c r="I14" i="5"/>
  <c r="J13" i="5"/>
  <c r="I13" i="5"/>
  <c r="K37" i="4"/>
  <c r="J37" i="4"/>
  <c r="K36" i="4"/>
  <c r="J36" i="4"/>
  <c r="K35" i="4"/>
  <c r="J35" i="4"/>
  <c r="K34" i="4"/>
  <c r="J34" i="4"/>
  <c r="K10" i="4"/>
  <c r="J10" i="4"/>
  <c r="K9" i="4"/>
  <c r="J9" i="4"/>
  <c r="K8" i="4"/>
  <c r="J8" i="4"/>
  <c r="J33" i="2"/>
  <c r="I33" i="2"/>
  <c r="J32" i="2"/>
  <c r="I32" i="2"/>
  <c r="J31" i="2"/>
  <c r="I31" i="2"/>
  <c r="J11" i="2"/>
  <c r="I11" i="2"/>
  <c r="J10" i="2"/>
  <c r="I10" i="2"/>
  <c r="J9" i="2"/>
  <c r="I9" i="2"/>
  <c r="E27" i="7"/>
  <c r="D27" i="7"/>
  <c r="C27" i="7"/>
  <c r="B26" i="7"/>
  <c r="G26" i="7" s="1"/>
  <c r="B25" i="7"/>
  <c r="G25" i="7" s="1"/>
  <c r="F24" i="7"/>
  <c r="G24" i="7" s="1"/>
  <c r="F23" i="7"/>
  <c r="G23" i="7" s="1"/>
  <c r="B22" i="7"/>
  <c r="G22" i="7" s="1"/>
  <c r="B21" i="7"/>
  <c r="G21" i="7" s="1"/>
  <c r="B20" i="7"/>
  <c r="G20" i="7" s="1"/>
  <c r="G19" i="7"/>
  <c r="B19" i="7"/>
  <c r="B18" i="7"/>
  <c r="G18" i="7" s="1"/>
  <c r="F17" i="7"/>
  <c r="G17" i="7" s="1"/>
  <c r="F16" i="7"/>
  <c r="G16" i="7" s="1"/>
  <c r="B15" i="7"/>
  <c r="G15" i="7" s="1"/>
  <c r="B14" i="7"/>
  <c r="G14" i="7" s="1"/>
  <c r="G13" i="7"/>
  <c r="B13" i="7"/>
  <c r="B12" i="7"/>
  <c r="G12" i="7" s="1"/>
  <c r="B11" i="7"/>
  <c r="G11" i="7" s="1"/>
  <c r="B10" i="7"/>
  <c r="G10" i="7" s="1"/>
  <c r="B9" i="7"/>
  <c r="G9" i="7" s="1"/>
  <c r="B8" i="7"/>
  <c r="G8" i="7" s="1"/>
  <c r="G7" i="7"/>
  <c r="B7" i="7"/>
  <c r="B27" i="7" s="1"/>
  <c r="F6" i="7"/>
  <c r="F27" i="7" s="1"/>
  <c r="E16" i="6"/>
  <c r="C16" i="6"/>
  <c r="B16" i="6"/>
  <c r="F15" i="6"/>
  <c r="G15" i="6" s="1"/>
  <c r="F14" i="6"/>
  <c r="D14" i="6"/>
  <c r="G14" i="6" s="1"/>
  <c r="G13" i="6"/>
  <c r="C13" i="6"/>
  <c r="F12" i="6"/>
  <c r="G12" i="6" s="1"/>
  <c r="B11" i="6"/>
  <c r="G11" i="6" s="1"/>
  <c r="F10" i="6"/>
  <c r="G10" i="6" s="1"/>
  <c r="F9" i="6"/>
  <c r="D9" i="6"/>
  <c r="D16" i="6" s="1"/>
  <c r="F8" i="6"/>
  <c r="G8" i="6" s="1"/>
  <c r="F7" i="6"/>
  <c r="G7" i="6" s="1"/>
  <c r="F6" i="6"/>
  <c r="F16" i="6" s="1"/>
  <c r="B6" i="6"/>
  <c r="G6" i="6" s="1"/>
  <c r="C66" i="5"/>
  <c r="E66" i="5" s="1"/>
  <c r="B66" i="5"/>
  <c r="D66" i="5" s="1"/>
  <c r="C65" i="5"/>
  <c r="E65" i="5" s="1"/>
  <c r="B65" i="5"/>
  <c r="D65" i="5" s="1"/>
  <c r="C64" i="5"/>
  <c r="E64" i="5" s="1"/>
  <c r="B64" i="5"/>
  <c r="D64" i="5" s="1"/>
  <c r="C63" i="5"/>
  <c r="C67" i="5" s="1"/>
  <c r="B63" i="5"/>
  <c r="B67" i="5" s="1"/>
  <c r="D67" i="5" s="1"/>
  <c r="C62" i="5"/>
  <c r="E62" i="5" s="1"/>
  <c r="B62" i="5"/>
  <c r="D62" i="5" s="1"/>
  <c r="C57" i="5"/>
  <c r="E57" i="5" s="1"/>
  <c r="B57" i="5"/>
  <c r="D57" i="5" s="1"/>
  <c r="C56" i="5"/>
  <c r="E56" i="5" s="1"/>
  <c r="B56" i="5"/>
  <c r="D56" i="5" s="1"/>
  <c r="C55" i="5"/>
  <c r="E55" i="5" s="1"/>
  <c r="B55" i="5"/>
  <c r="D55" i="5" s="1"/>
  <c r="C54" i="5"/>
  <c r="E54" i="5" s="1"/>
  <c r="B54" i="5"/>
  <c r="D54" i="5" s="1"/>
  <c r="C53" i="5"/>
  <c r="E53" i="5" s="1"/>
  <c r="B53" i="5"/>
  <c r="D53" i="5" s="1"/>
  <c r="C52" i="5"/>
  <c r="E52" i="5" s="1"/>
  <c r="B52" i="5"/>
  <c r="D52" i="5" s="1"/>
  <c r="C51" i="5"/>
  <c r="E51" i="5" s="1"/>
  <c r="B51" i="5"/>
  <c r="D51" i="5" s="1"/>
  <c r="C50" i="5"/>
  <c r="C58" i="5" s="1"/>
  <c r="E58" i="5" s="1"/>
  <c r="B50" i="5"/>
  <c r="B58" i="5" s="1"/>
  <c r="C47" i="5"/>
  <c r="C48" i="5" s="1"/>
  <c r="E48" i="5" s="1"/>
  <c r="B47" i="5"/>
  <c r="B48" i="5" s="1"/>
  <c r="C45" i="5"/>
  <c r="E45" i="5" s="1"/>
  <c r="B45" i="5"/>
  <c r="D45" i="5" s="1"/>
  <c r="E44" i="5"/>
  <c r="D44" i="5"/>
  <c r="C44" i="5"/>
  <c r="B44" i="5"/>
  <c r="C38" i="5"/>
  <c r="E38" i="5" s="1"/>
  <c r="B38" i="5"/>
  <c r="D38" i="5" s="1"/>
  <c r="E37" i="5"/>
  <c r="D37" i="5"/>
  <c r="C37" i="5"/>
  <c r="B37" i="5"/>
  <c r="C34" i="5"/>
  <c r="E34" i="5" s="1"/>
  <c r="B34" i="5"/>
  <c r="D34" i="5" s="1"/>
  <c r="E33" i="5"/>
  <c r="D33" i="5"/>
  <c r="C33" i="5"/>
  <c r="B33" i="5"/>
  <c r="C32" i="5"/>
  <c r="E32" i="5" s="1"/>
  <c r="B32" i="5"/>
  <c r="D32" i="5" s="1"/>
  <c r="D28" i="5"/>
  <c r="C28" i="5"/>
  <c r="E28" i="5" s="1"/>
  <c r="B28" i="5"/>
  <c r="C27" i="5"/>
  <c r="E27" i="5" s="1"/>
  <c r="B27" i="5"/>
  <c r="D27" i="5" s="1"/>
  <c r="E26" i="5"/>
  <c r="D26" i="5"/>
  <c r="C26" i="5"/>
  <c r="B26" i="5"/>
  <c r="D25" i="5"/>
  <c r="C25" i="5"/>
  <c r="E25" i="5" s="1"/>
  <c r="B25" i="5"/>
  <c r="C24" i="5"/>
  <c r="E24" i="5" s="1"/>
  <c r="B24" i="5"/>
  <c r="D24" i="5" s="1"/>
  <c r="E23" i="5"/>
  <c r="D23" i="5"/>
  <c r="C23" i="5"/>
  <c r="B23" i="5"/>
  <c r="D22" i="5"/>
  <c r="C22" i="5"/>
  <c r="C29" i="5" s="1"/>
  <c r="B22" i="5"/>
  <c r="B29" i="5" s="1"/>
  <c r="D29" i="5" s="1"/>
  <c r="C20" i="5"/>
  <c r="E20" i="5" s="1"/>
  <c r="B20" i="5"/>
  <c r="D20" i="5" s="1"/>
  <c r="E19" i="5"/>
  <c r="D19" i="5"/>
  <c r="C19" i="5"/>
  <c r="B19" i="5"/>
  <c r="D18" i="5"/>
  <c r="C18" i="5"/>
  <c r="E18" i="5" s="1"/>
  <c r="B18" i="5"/>
  <c r="E15" i="5"/>
  <c r="D15" i="5"/>
  <c r="C15" i="5"/>
  <c r="B15" i="5"/>
  <c r="D14" i="5"/>
  <c r="C14" i="5"/>
  <c r="B14" i="5"/>
  <c r="E14" i="5" s="1"/>
  <c r="C13" i="5"/>
  <c r="E13" i="5" s="1"/>
  <c r="B13" i="5"/>
  <c r="D13" i="5" s="1"/>
  <c r="E12" i="5"/>
  <c r="D12" i="5"/>
  <c r="C12" i="5"/>
  <c r="B12" i="5"/>
  <c r="E11" i="5"/>
  <c r="D11" i="5"/>
  <c r="C11" i="5"/>
  <c r="B11" i="5"/>
  <c r="C10" i="5"/>
  <c r="E10" i="5" s="1"/>
  <c r="B10" i="5"/>
  <c r="D10" i="5" s="1"/>
  <c r="C53" i="4"/>
  <c r="C54" i="4" s="1"/>
  <c r="E54" i="4" s="1"/>
  <c r="B53" i="4"/>
  <c r="B54" i="4" s="1"/>
  <c r="D54" i="4" s="1"/>
  <c r="C52" i="4"/>
  <c r="E52" i="4" s="1"/>
  <c r="E48" i="4"/>
  <c r="C48" i="4"/>
  <c r="B48" i="4"/>
  <c r="D48" i="4" s="1"/>
  <c r="E47" i="4"/>
  <c r="B47" i="4"/>
  <c r="D47" i="4" s="1"/>
  <c r="C46" i="4"/>
  <c r="E46" i="4" s="1"/>
  <c r="B46" i="4"/>
  <c r="D46" i="4" s="1"/>
  <c r="E45" i="4"/>
  <c r="D45" i="4"/>
  <c r="B45" i="4"/>
  <c r="C44" i="4"/>
  <c r="E44" i="4" s="1"/>
  <c r="B44" i="4"/>
  <c r="D44" i="4" s="1"/>
  <c r="E43" i="4"/>
  <c r="B43" i="4"/>
  <c r="D43" i="4" s="1"/>
  <c r="C42" i="4"/>
  <c r="E42" i="4" s="1"/>
  <c r="B42" i="4"/>
  <c r="D42" i="4" s="1"/>
  <c r="C41" i="4"/>
  <c r="E41" i="4" s="1"/>
  <c r="B41" i="4"/>
  <c r="D41" i="4" s="1"/>
  <c r="D40" i="4"/>
  <c r="C40" i="4"/>
  <c r="E40" i="4" s="1"/>
  <c r="B40" i="4"/>
  <c r="C39" i="4"/>
  <c r="E39" i="4" s="1"/>
  <c r="B39" i="4"/>
  <c r="D39" i="4" s="1"/>
  <c r="C38" i="4"/>
  <c r="E38" i="4" s="1"/>
  <c r="B38" i="4"/>
  <c r="D38" i="4" s="1"/>
  <c r="D37" i="4"/>
  <c r="C37" i="4"/>
  <c r="E37" i="4" s="1"/>
  <c r="B37" i="4"/>
  <c r="C36" i="4"/>
  <c r="E36" i="4" s="1"/>
  <c r="B36" i="4"/>
  <c r="D36" i="4" s="1"/>
  <c r="C35" i="4"/>
  <c r="E35" i="4" s="1"/>
  <c r="C34" i="4"/>
  <c r="E34" i="4" s="1"/>
  <c r="B34" i="4"/>
  <c r="D34" i="4" s="1"/>
  <c r="C33" i="4"/>
  <c r="E33" i="4" s="1"/>
  <c r="B33" i="4"/>
  <c r="D33" i="4" s="1"/>
  <c r="E32" i="4"/>
  <c r="C32" i="4"/>
  <c r="B32" i="4"/>
  <c r="D32" i="4" s="1"/>
  <c r="C31" i="4"/>
  <c r="E31" i="4" s="1"/>
  <c r="B31" i="4"/>
  <c r="D31" i="4" s="1"/>
  <c r="C30" i="4"/>
  <c r="E30" i="4" s="1"/>
  <c r="B30" i="4"/>
  <c r="D30" i="4" s="1"/>
  <c r="E29" i="4"/>
  <c r="C29" i="4"/>
  <c r="B29" i="4"/>
  <c r="D29" i="4" s="1"/>
  <c r="C28" i="4"/>
  <c r="E28" i="4" s="1"/>
  <c r="B28" i="4"/>
  <c r="D28" i="4" s="1"/>
  <c r="C27" i="4"/>
  <c r="E27" i="4" s="1"/>
  <c r="B27" i="4"/>
  <c r="D27" i="4" s="1"/>
  <c r="E26" i="4"/>
  <c r="C26" i="4"/>
  <c r="D26" i="4" s="1"/>
  <c r="C25" i="4"/>
  <c r="E25" i="4" s="1"/>
  <c r="B25" i="4"/>
  <c r="D25" i="4" s="1"/>
  <c r="C24" i="4"/>
  <c r="E24" i="4" s="1"/>
  <c r="B24" i="4"/>
  <c r="D24" i="4" s="1"/>
  <c r="E23" i="4"/>
  <c r="D23" i="4"/>
  <c r="C23" i="4"/>
  <c r="B23" i="4"/>
  <c r="C22" i="4"/>
  <c r="E22" i="4" s="1"/>
  <c r="B22" i="4"/>
  <c r="D22" i="4" s="1"/>
  <c r="C21" i="4"/>
  <c r="E21" i="4" s="1"/>
  <c r="B21" i="4"/>
  <c r="D21" i="4" s="1"/>
  <c r="B18" i="4"/>
  <c r="C17" i="4"/>
  <c r="C18" i="4" s="1"/>
  <c r="E18" i="4" s="1"/>
  <c r="B17" i="4"/>
  <c r="D17" i="4" s="1"/>
  <c r="E16" i="4"/>
  <c r="D16" i="4"/>
  <c r="C16" i="4"/>
  <c r="B16" i="4"/>
  <c r="B14" i="4"/>
  <c r="B19" i="4" s="1"/>
  <c r="C13" i="4"/>
  <c r="E13" i="4" s="1"/>
  <c r="B13" i="4"/>
  <c r="D13" i="4" s="1"/>
  <c r="E12" i="4"/>
  <c r="D12" i="4"/>
  <c r="C12" i="4"/>
  <c r="B12" i="4"/>
  <c r="C11" i="4"/>
  <c r="E11" i="4" s="1"/>
  <c r="B11" i="4"/>
  <c r="D11" i="4" s="1"/>
  <c r="C10" i="4"/>
  <c r="E10" i="4" s="1"/>
  <c r="C9" i="4"/>
  <c r="E9" i="4" s="1"/>
  <c r="B9" i="4"/>
  <c r="C8" i="4"/>
  <c r="E8" i="4" s="1"/>
  <c r="B8" i="4"/>
  <c r="D8" i="4" s="1"/>
  <c r="C173" i="3"/>
  <c r="C174" i="3" s="1"/>
  <c r="E174" i="3" s="1"/>
  <c r="B173" i="3"/>
  <c r="B174" i="3" s="1"/>
  <c r="D174" i="3" s="1"/>
  <c r="C172" i="3"/>
  <c r="E172" i="3" s="1"/>
  <c r="C167" i="3"/>
  <c r="E167" i="3" s="1"/>
  <c r="B167" i="3"/>
  <c r="D167" i="3" s="1"/>
  <c r="C166" i="3"/>
  <c r="C168" i="3" s="1"/>
  <c r="E168" i="3" s="1"/>
  <c r="B166" i="3"/>
  <c r="B168" i="3" s="1"/>
  <c r="E165" i="3"/>
  <c r="D165" i="3"/>
  <c r="E164" i="3"/>
  <c r="B164" i="3"/>
  <c r="D164" i="3" s="1"/>
  <c r="D163" i="3"/>
  <c r="C163" i="3"/>
  <c r="E163" i="3" s="1"/>
  <c r="B163" i="3"/>
  <c r="C162" i="3"/>
  <c r="E162" i="3" s="1"/>
  <c r="B162" i="3"/>
  <c r="D162" i="3" s="1"/>
  <c r="E161" i="3"/>
  <c r="D161" i="3"/>
  <c r="B161" i="3"/>
  <c r="E160" i="3"/>
  <c r="D160" i="3"/>
  <c r="E159" i="3"/>
  <c r="C159" i="3"/>
  <c r="B159" i="3"/>
  <c r="D159" i="3" s="1"/>
  <c r="E158" i="3"/>
  <c r="B158" i="3"/>
  <c r="D158" i="3" s="1"/>
  <c r="E157" i="3"/>
  <c r="D157" i="3"/>
  <c r="C157" i="3"/>
  <c r="B157" i="3"/>
  <c r="C155" i="3"/>
  <c r="E155" i="3" s="1"/>
  <c r="B155" i="3"/>
  <c r="D155" i="3" s="1"/>
  <c r="E154" i="3"/>
  <c r="D154" i="3"/>
  <c r="C154" i="3"/>
  <c r="B154" i="3"/>
  <c r="D153" i="3"/>
  <c r="C153" i="3"/>
  <c r="E153" i="3" s="1"/>
  <c r="B153" i="3"/>
  <c r="B156" i="3" s="1"/>
  <c r="C152" i="3"/>
  <c r="E152" i="3" s="1"/>
  <c r="B152" i="3"/>
  <c r="D152" i="3" s="1"/>
  <c r="E151" i="3"/>
  <c r="D151" i="3"/>
  <c r="C151" i="3"/>
  <c r="B151" i="3"/>
  <c r="D150" i="3"/>
  <c r="C150" i="3"/>
  <c r="E150" i="3" s="1"/>
  <c r="B150" i="3"/>
  <c r="E149" i="3"/>
  <c r="D149" i="3"/>
  <c r="E148" i="3"/>
  <c r="D148" i="3"/>
  <c r="C148" i="3"/>
  <c r="B148" i="3"/>
  <c r="C147" i="3"/>
  <c r="E147" i="3" s="1"/>
  <c r="B147" i="3"/>
  <c r="D147" i="3" s="1"/>
  <c r="C146" i="3"/>
  <c r="E146" i="3" s="1"/>
  <c r="B146" i="3"/>
  <c r="D146" i="3" s="1"/>
  <c r="C144" i="3"/>
  <c r="E144" i="3" s="1"/>
  <c r="B144" i="3"/>
  <c r="D144" i="3" s="1"/>
  <c r="C143" i="3"/>
  <c r="E143" i="3" s="1"/>
  <c r="B143" i="3"/>
  <c r="D143" i="3" s="1"/>
  <c r="E142" i="3"/>
  <c r="D142" i="3"/>
  <c r="C142" i="3"/>
  <c r="B142" i="3"/>
  <c r="C141" i="3"/>
  <c r="E141" i="3" s="1"/>
  <c r="B141" i="3"/>
  <c r="B145" i="3" s="1"/>
  <c r="C140" i="3"/>
  <c r="C145" i="3" s="1"/>
  <c r="E145" i="3" s="1"/>
  <c r="E139" i="3"/>
  <c r="D139" i="3"/>
  <c r="E138" i="3"/>
  <c r="D138" i="3"/>
  <c r="C138" i="3"/>
  <c r="B137" i="3"/>
  <c r="C136" i="3"/>
  <c r="C137" i="3" s="1"/>
  <c r="E137" i="3" s="1"/>
  <c r="B136" i="3"/>
  <c r="D136" i="3" s="1"/>
  <c r="E135" i="3"/>
  <c r="D135" i="3"/>
  <c r="D133" i="3"/>
  <c r="C133" i="3"/>
  <c r="E133" i="3" s="1"/>
  <c r="B133" i="3"/>
  <c r="C132" i="3"/>
  <c r="E132" i="3" s="1"/>
  <c r="B132" i="3"/>
  <c r="D132" i="3" s="1"/>
  <c r="E131" i="3"/>
  <c r="D131" i="3"/>
  <c r="C131" i="3"/>
  <c r="B131" i="3"/>
  <c r="D130" i="3"/>
  <c r="C130" i="3"/>
  <c r="C134" i="3" s="1"/>
  <c r="E134" i="3" s="1"/>
  <c r="B130" i="3"/>
  <c r="B134" i="3" s="1"/>
  <c r="E129" i="3"/>
  <c r="D129" i="3"/>
  <c r="E128" i="3"/>
  <c r="D128" i="3"/>
  <c r="C128" i="3"/>
  <c r="B128" i="3"/>
  <c r="B127" i="3"/>
  <c r="D127" i="3" s="1"/>
  <c r="C126" i="3"/>
  <c r="C127" i="3" s="1"/>
  <c r="E127" i="3" s="1"/>
  <c r="B126" i="3"/>
  <c r="D126" i="3" s="1"/>
  <c r="E125" i="3"/>
  <c r="D125" i="3"/>
  <c r="B125" i="3"/>
  <c r="E124" i="3"/>
  <c r="B124" i="3"/>
  <c r="D124" i="3" s="1"/>
  <c r="D123" i="3"/>
  <c r="C123" i="3"/>
  <c r="E123" i="3" s="1"/>
  <c r="B123" i="3"/>
  <c r="E121" i="3"/>
  <c r="D121" i="3"/>
  <c r="C121" i="3"/>
  <c r="B121" i="3"/>
  <c r="D120" i="3"/>
  <c r="C120" i="3"/>
  <c r="E120" i="3" s="1"/>
  <c r="B120" i="3"/>
  <c r="C119" i="3"/>
  <c r="E119" i="3" s="1"/>
  <c r="B119" i="3"/>
  <c r="D119" i="3" s="1"/>
  <c r="E118" i="3"/>
  <c r="D118" i="3"/>
  <c r="B117" i="3"/>
  <c r="C116" i="3"/>
  <c r="E116" i="3" s="1"/>
  <c r="B116" i="3"/>
  <c r="D116" i="3" s="1"/>
  <c r="E115" i="3"/>
  <c r="D115" i="3"/>
  <c r="C115" i="3"/>
  <c r="B115" i="3"/>
  <c r="C114" i="3"/>
  <c r="E114" i="3" s="1"/>
  <c r="B114" i="3"/>
  <c r="D114" i="3" s="1"/>
  <c r="E113" i="3"/>
  <c r="D113" i="3"/>
  <c r="C112" i="3"/>
  <c r="E112" i="3" s="1"/>
  <c r="B112" i="3"/>
  <c r="D112" i="3" s="1"/>
  <c r="E111" i="3"/>
  <c r="D111" i="3"/>
  <c r="C111" i="3"/>
  <c r="B111" i="3"/>
  <c r="E110" i="3"/>
  <c r="D110" i="3"/>
  <c r="C109" i="3"/>
  <c r="E109" i="3" s="1"/>
  <c r="B109" i="3"/>
  <c r="D109" i="3" s="1"/>
  <c r="E108" i="3"/>
  <c r="D108" i="3"/>
  <c r="C108" i="3"/>
  <c r="E107" i="3"/>
  <c r="C107" i="3"/>
  <c r="D107" i="3" s="1"/>
  <c r="E106" i="3"/>
  <c r="D106" i="3"/>
  <c r="C105" i="3"/>
  <c r="E105" i="3" s="1"/>
  <c r="B105" i="3"/>
  <c r="D105" i="3" s="1"/>
  <c r="E104" i="3"/>
  <c r="D104" i="3"/>
  <c r="C104" i="3"/>
  <c r="B104" i="3"/>
  <c r="C103" i="3"/>
  <c r="E103" i="3" s="1"/>
  <c r="B103" i="3"/>
  <c r="D103" i="3" s="1"/>
  <c r="C102" i="3"/>
  <c r="E102" i="3" s="1"/>
  <c r="B102" i="3"/>
  <c r="D102" i="3" s="1"/>
  <c r="C100" i="3"/>
  <c r="C101" i="3" s="1"/>
  <c r="B100" i="3"/>
  <c r="B101" i="3" s="1"/>
  <c r="E99" i="3"/>
  <c r="D99" i="3"/>
  <c r="E95" i="3"/>
  <c r="D95" i="3"/>
  <c r="C95" i="3"/>
  <c r="B95" i="3"/>
  <c r="C94" i="3"/>
  <c r="C96" i="3" s="1"/>
  <c r="B94" i="3"/>
  <c r="B96" i="3" s="1"/>
  <c r="D96" i="3" s="1"/>
  <c r="B91" i="3"/>
  <c r="C90" i="3"/>
  <c r="C91" i="3" s="1"/>
  <c r="E89" i="3"/>
  <c r="D89" i="3"/>
  <c r="C89" i="3"/>
  <c r="B89" i="3"/>
  <c r="E86" i="3"/>
  <c r="D86" i="3"/>
  <c r="C86" i="3"/>
  <c r="B86" i="3"/>
  <c r="C85" i="3"/>
  <c r="E85" i="3" s="1"/>
  <c r="B85" i="3"/>
  <c r="C84" i="3"/>
  <c r="E84" i="3" s="1"/>
  <c r="B84" i="3"/>
  <c r="D84" i="3" s="1"/>
  <c r="E83" i="3"/>
  <c r="D83" i="3"/>
  <c r="C83" i="3"/>
  <c r="C82" i="3"/>
  <c r="E82" i="3" s="1"/>
  <c r="B82" i="3"/>
  <c r="D82" i="3" s="1"/>
  <c r="C81" i="3"/>
  <c r="E81" i="3" s="1"/>
  <c r="B81" i="3"/>
  <c r="D81" i="3" s="1"/>
  <c r="E80" i="3"/>
  <c r="D80" i="3"/>
  <c r="C80" i="3"/>
  <c r="B80" i="3"/>
  <c r="C79" i="3"/>
  <c r="E79" i="3" s="1"/>
  <c r="E78" i="3"/>
  <c r="C78" i="3"/>
  <c r="B78" i="3"/>
  <c r="D78" i="3" s="1"/>
  <c r="D77" i="3"/>
  <c r="C77" i="3"/>
  <c r="E77" i="3" s="1"/>
  <c r="B77" i="3"/>
  <c r="E76" i="3"/>
  <c r="C76" i="3"/>
  <c r="D76" i="3" s="1"/>
  <c r="E75" i="3"/>
  <c r="D75" i="3"/>
  <c r="C75" i="3"/>
  <c r="B75" i="3"/>
  <c r="C74" i="3"/>
  <c r="E74" i="3" s="1"/>
  <c r="B74" i="3"/>
  <c r="D74" i="3" s="1"/>
  <c r="E73" i="3"/>
  <c r="D73" i="3"/>
  <c r="C73" i="3"/>
  <c r="B73" i="3"/>
  <c r="E72" i="3"/>
  <c r="D72" i="3"/>
  <c r="C72" i="3"/>
  <c r="B72" i="3"/>
  <c r="C71" i="3"/>
  <c r="E71" i="3" s="1"/>
  <c r="B71" i="3"/>
  <c r="D71" i="3" s="1"/>
  <c r="E70" i="3"/>
  <c r="D70" i="3"/>
  <c r="C70" i="3"/>
  <c r="B70" i="3"/>
  <c r="E69" i="3"/>
  <c r="D69" i="3"/>
  <c r="C69" i="3"/>
  <c r="C68" i="3"/>
  <c r="E68" i="3" s="1"/>
  <c r="B68" i="3"/>
  <c r="D68" i="3" s="1"/>
  <c r="E67" i="3"/>
  <c r="D67" i="3"/>
  <c r="C67" i="3"/>
  <c r="C66" i="3"/>
  <c r="E66" i="3" s="1"/>
  <c r="E65" i="3"/>
  <c r="C65" i="3"/>
  <c r="B65" i="3"/>
  <c r="D65" i="3" s="1"/>
  <c r="D64" i="3"/>
  <c r="C64" i="3"/>
  <c r="E64" i="3" s="1"/>
  <c r="B64" i="3"/>
  <c r="C63" i="3"/>
  <c r="B63" i="3"/>
  <c r="E63" i="3" s="1"/>
  <c r="E62" i="3"/>
  <c r="C62" i="3"/>
  <c r="B62" i="3"/>
  <c r="D62" i="3" s="1"/>
  <c r="D61" i="3"/>
  <c r="C61" i="3"/>
  <c r="E61" i="3" s="1"/>
  <c r="E60" i="3"/>
  <c r="D60" i="3"/>
  <c r="C60" i="3"/>
  <c r="B60" i="3"/>
  <c r="E59" i="3"/>
  <c r="D59" i="3"/>
  <c r="C59" i="3"/>
  <c r="B59" i="3"/>
  <c r="C58" i="3"/>
  <c r="E58" i="3" s="1"/>
  <c r="B58" i="3"/>
  <c r="D58" i="3" s="1"/>
  <c r="E57" i="3"/>
  <c r="D57" i="3"/>
  <c r="C57" i="3"/>
  <c r="B57" i="3"/>
  <c r="E56" i="3"/>
  <c r="D56" i="3"/>
  <c r="C56" i="3"/>
  <c r="B56" i="3"/>
  <c r="C55" i="3"/>
  <c r="E55" i="3" s="1"/>
  <c r="B55" i="3"/>
  <c r="D55" i="3" s="1"/>
  <c r="E54" i="3"/>
  <c r="D54" i="3"/>
  <c r="C54" i="3"/>
  <c r="B54" i="3"/>
  <c r="E53" i="3"/>
  <c r="D53" i="3"/>
  <c r="B53" i="3"/>
  <c r="C52" i="3"/>
  <c r="E52" i="3" s="1"/>
  <c r="B52" i="3"/>
  <c r="D52" i="3" s="1"/>
  <c r="E51" i="3"/>
  <c r="D51" i="3"/>
  <c r="C51" i="3"/>
  <c r="B51" i="3"/>
  <c r="C50" i="3"/>
  <c r="E50" i="3" s="1"/>
  <c r="B50" i="3"/>
  <c r="C49" i="3"/>
  <c r="E49" i="3" s="1"/>
  <c r="B49" i="3"/>
  <c r="D49" i="3" s="1"/>
  <c r="E48" i="3"/>
  <c r="D48" i="3"/>
  <c r="C48" i="3"/>
  <c r="B48" i="3"/>
  <c r="C47" i="3"/>
  <c r="E47" i="3" s="1"/>
  <c r="B47" i="3"/>
  <c r="C46" i="3"/>
  <c r="E46" i="3" s="1"/>
  <c r="B46" i="3"/>
  <c r="D46" i="3" s="1"/>
  <c r="E45" i="3"/>
  <c r="D45" i="3"/>
  <c r="C45" i="3"/>
  <c r="C87" i="3" s="1"/>
  <c r="C44" i="3"/>
  <c r="E44" i="3" s="1"/>
  <c r="B44" i="3"/>
  <c r="D44" i="3" s="1"/>
  <c r="C43" i="3"/>
  <c r="E43" i="3" s="1"/>
  <c r="B43" i="3"/>
  <c r="D43" i="3" s="1"/>
  <c r="E42" i="3"/>
  <c r="D42" i="3"/>
  <c r="C42" i="3"/>
  <c r="B42" i="3"/>
  <c r="C41" i="3"/>
  <c r="E41" i="3" s="1"/>
  <c r="B41" i="3"/>
  <c r="D41" i="3" s="1"/>
  <c r="C40" i="3"/>
  <c r="E40" i="3" s="1"/>
  <c r="B40" i="3"/>
  <c r="D40" i="3" s="1"/>
  <c r="E39" i="3"/>
  <c r="D39" i="3"/>
  <c r="C39" i="3"/>
  <c r="E38" i="3"/>
  <c r="B38" i="3"/>
  <c r="D38" i="3" s="1"/>
  <c r="E37" i="3"/>
  <c r="D37" i="3"/>
  <c r="E35" i="3"/>
  <c r="D35" i="3"/>
  <c r="C35" i="3"/>
  <c r="B35" i="3"/>
  <c r="C34" i="3"/>
  <c r="E34" i="3" s="1"/>
  <c r="B34" i="3"/>
  <c r="D34" i="3" s="1"/>
  <c r="C33" i="3"/>
  <c r="E33" i="3" s="1"/>
  <c r="B33" i="3"/>
  <c r="D33" i="3" s="1"/>
  <c r="E32" i="3"/>
  <c r="D32" i="3"/>
  <c r="C32" i="3"/>
  <c r="B32" i="3"/>
  <c r="C31" i="3"/>
  <c r="E31" i="3" s="1"/>
  <c r="B31" i="3"/>
  <c r="D31" i="3" s="1"/>
  <c r="E30" i="3"/>
  <c r="D30" i="3"/>
  <c r="C29" i="3"/>
  <c r="E29" i="3" s="1"/>
  <c r="B29" i="3"/>
  <c r="E28" i="3"/>
  <c r="D28" i="3"/>
  <c r="C27" i="3"/>
  <c r="E27" i="3" s="1"/>
  <c r="B27" i="3"/>
  <c r="D27" i="3" s="1"/>
  <c r="C26" i="3"/>
  <c r="E26" i="3" s="1"/>
  <c r="E24" i="3"/>
  <c r="C24" i="3"/>
  <c r="B24" i="3"/>
  <c r="D24" i="3" s="1"/>
  <c r="E23" i="3"/>
  <c r="D23" i="3"/>
  <c r="B23" i="3"/>
  <c r="E22" i="3"/>
  <c r="D22" i="3"/>
  <c r="E21" i="3"/>
  <c r="D21" i="3"/>
  <c r="C21" i="3"/>
  <c r="B21" i="3"/>
  <c r="C20" i="3"/>
  <c r="E20" i="3" s="1"/>
  <c r="B20" i="3"/>
  <c r="D20" i="3" s="1"/>
  <c r="C19" i="3"/>
  <c r="E19" i="3" s="1"/>
  <c r="B19" i="3"/>
  <c r="D19" i="3" s="1"/>
  <c r="E17" i="3"/>
  <c r="B17" i="3"/>
  <c r="D17" i="3" s="1"/>
  <c r="E16" i="3"/>
  <c r="C16" i="3"/>
  <c r="B16" i="3"/>
  <c r="B18" i="3" s="1"/>
  <c r="D15" i="3"/>
  <c r="C15" i="3"/>
  <c r="C18" i="3" s="1"/>
  <c r="E14" i="3"/>
  <c r="D14" i="3"/>
  <c r="E13" i="3"/>
  <c r="D13" i="3"/>
  <c r="C11" i="3"/>
  <c r="E11" i="3" s="1"/>
  <c r="B11" i="3"/>
  <c r="B12" i="3" s="1"/>
  <c r="E10" i="3"/>
  <c r="D10" i="3"/>
  <c r="C10" i="3"/>
  <c r="B10" i="3"/>
  <c r="E9" i="3"/>
  <c r="D9" i="3"/>
  <c r="C9" i="3"/>
  <c r="C12" i="3" s="1"/>
  <c r="E8" i="3"/>
  <c r="D8" i="3"/>
  <c r="C48" i="2"/>
  <c r="E48" i="2" s="1"/>
  <c r="B48" i="2"/>
  <c r="D48" i="2" s="1"/>
  <c r="E47" i="2"/>
  <c r="B47" i="2"/>
  <c r="D47" i="2" s="1"/>
  <c r="C46" i="2"/>
  <c r="E46" i="2" s="1"/>
  <c r="B46" i="2"/>
  <c r="D46" i="2" s="1"/>
  <c r="E45" i="2"/>
  <c r="C45" i="2"/>
  <c r="B45" i="2"/>
  <c r="D45" i="2" s="1"/>
  <c r="C44" i="2"/>
  <c r="E44" i="2" s="1"/>
  <c r="B44" i="2"/>
  <c r="C43" i="2"/>
  <c r="E43" i="2" s="1"/>
  <c r="B43" i="2"/>
  <c r="D43" i="2" s="1"/>
  <c r="E42" i="2"/>
  <c r="C42" i="2"/>
  <c r="D42" i="2" s="1"/>
  <c r="B42" i="2"/>
  <c r="C41" i="2"/>
  <c r="E41" i="2" s="1"/>
  <c r="B41" i="2"/>
  <c r="C40" i="2"/>
  <c r="E40" i="2" s="1"/>
  <c r="B40" i="2"/>
  <c r="D40" i="2" s="1"/>
  <c r="E39" i="2"/>
  <c r="C39" i="2"/>
  <c r="B39" i="2"/>
  <c r="D39" i="2" s="1"/>
  <c r="C38" i="2"/>
  <c r="E38" i="2" s="1"/>
  <c r="B38" i="2"/>
  <c r="C37" i="2"/>
  <c r="E37" i="2" s="1"/>
  <c r="B37" i="2"/>
  <c r="D37" i="2" s="1"/>
  <c r="E36" i="2"/>
  <c r="C36" i="2"/>
  <c r="B36" i="2"/>
  <c r="D36" i="2" s="1"/>
  <c r="C35" i="2"/>
  <c r="E35" i="2" s="1"/>
  <c r="C34" i="2"/>
  <c r="E34" i="2" s="1"/>
  <c r="B34" i="2"/>
  <c r="D34" i="2" s="1"/>
  <c r="E33" i="2"/>
  <c r="D33" i="2"/>
  <c r="C33" i="2"/>
  <c r="B33" i="2"/>
  <c r="C32" i="2"/>
  <c r="E32" i="2" s="1"/>
  <c r="E31" i="2"/>
  <c r="C31" i="2"/>
  <c r="B31" i="2"/>
  <c r="D31" i="2" s="1"/>
  <c r="C30" i="2"/>
  <c r="E30" i="2" s="1"/>
  <c r="B30" i="2"/>
  <c r="C29" i="2"/>
  <c r="E29" i="2" s="1"/>
  <c r="B29" i="2"/>
  <c r="D29" i="2" s="1"/>
  <c r="E28" i="2"/>
  <c r="C28" i="2"/>
  <c r="B28" i="2"/>
  <c r="D28" i="2" s="1"/>
  <c r="C27" i="2"/>
  <c r="E27" i="2" s="1"/>
  <c r="B27" i="2"/>
  <c r="C26" i="2"/>
  <c r="B26" i="2"/>
  <c r="E26" i="2" s="1"/>
  <c r="E25" i="2"/>
  <c r="C25" i="2"/>
  <c r="D25" i="2" s="1"/>
  <c r="C24" i="2"/>
  <c r="E24" i="2" s="1"/>
  <c r="B24" i="2"/>
  <c r="D24" i="2" s="1"/>
  <c r="E23" i="2"/>
  <c r="D23" i="2"/>
  <c r="C23" i="2"/>
  <c r="B23" i="2"/>
  <c r="E22" i="2"/>
  <c r="D22" i="2"/>
  <c r="C22" i="2"/>
  <c r="B22" i="2"/>
  <c r="C21" i="2"/>
  <c r="E21" i="2" s="1"/>
  <c r="B21" i="2"/>
  <c r="D21" i="2" s="1"/>
  <c r="E20" i="2"/>
  <c r="D20" i="2"/>
  <c r="C20" i="2"/>
  <c r="B20" i="2"/>
  <c r="C17" i="2"/>
  <c r="E17" i="2" s="1"/>
  <c r="B17" i="2"/>
  <c r="D17" i="2" s="1"/>
  <c r="E16" i="2"/>
  <c r="D16" i="2"/>
  <c r="C16" i="2"/>
  <c r="B16" i="2"/>
  <c r="E15" i="2"/>
  <c r="D15" i="2"/>
  <c r="C15" i="2"/>
  <c r="B15" i="2"/>
  <c r="E12" i="2"/>
  <c r="D12" i="2"/>
  <c r="C12" i="2"/>
  <c r="B12" i="2"/>
  <c r="E11" i="2"/>
  <c r="D11" i="2"/>
  <c r="C11" i="2"/>
  <c r="B11" i="2"/>
  <c r="C10" i="2"/>
  <c r="E10" i="2" s="1"/>
  <c r="B10" i="2"/>
  <c r="D10" i="2" s="1"/>
  <c r="E9" i="2"/>
  <c r="D9" i="2"/>
  <c r="C9" i="2"/>
  <c r="B9" i="2"/>
  <c r="E8" i="2"/>
  <c r="D8" i="2"/>
  <c r="C8" i="2"/>
  <c r="B8" i="2"/>
  <c r="C172" i="1"/>
  <c r="D171" i="1"/>
  <c r="C171" i="1"/>
  <c r="E171" i="1" s="1"/>
  <c r="B171" i="1"/>
  <c r="D170" i="1"/>
  <c r="C170" i="1"/>
  <c r="E170" i="1" s="1"/>
  <c r="B170" i="1"/>
  <c r="B172" i="1" s="1"/>
  <c r="D172" i="1" s="1"/>
  <c r="E169" i="1"/>
  <c r="D169" i="1"/>
  <c r="E168" i="1"/>
  <c r="B168" i="1"/>
  <c r="D168" i="1" s="1"/>
  <c r="E167" i="1"/>
  <c r="C167" i="1"/>
  <c r="D167" i="1" s="1"/>
  <c r="B167" i="1"/>
  <c r="C166" i="1"/>
  <c r="E166" i="1" s="1"/>
  <c r="B166" i="1"/>
  <c r="D166" i="1" s="1"/>
  <c r="E165" i="1"/>
  <c r="D165" i="1"/>
  <c r="C165" i="1"/>
  <c r="B165" i="1"/>
  <c r="E164" i="1"/>
  <c r="D164" i="1"/>
  <c r="C163" i="1"/>
  <c r="E163" i="1" s="1"/>
  <c r="B163" i="1"/>
  <c r="D163" i="1" s="1"/>
  <c r="C162" i="1"/>
  <c r="E162" i="1" s="1"/>
  <c r="B162" i="1"/>
  <c r="D162" i="1" s="1"/>
  <c r="C161" i="1"/>
  <c r="E161" i="1" s="1"/>
  <c r="B161" i="1"/>
  <c r="D161" i="1" s="1"/>
  <c r="C160" i="1"/>
  <c r="E160" i="1" s="1"/>
  <c r="E159" i="1"/>
  <c r="D159" i="1"/>
  <c r="B159" i="1"/>
  <c r="E158" i="1"/>
  <c r="B158" i="1"/>
  <c r="D158" i="1" s="1"/>
  <c r="E157" i="1"/>
  <c r="D157" i="1"/>
  <c r="C157" i="1"/>
  <c r="B157" i="1"/>
  <c r="B160" i="1" s="1"/>
  <c r="D160" i="1" s="1"/>
  <c r="C156" i="1"/>
  <c r="E156" i="1" s="1"/>
  <c r="B156" i="1"/>
  <c r="D156" i="1" s="1"/>
  <c r="E155" i="1"/>
  <c r="D155" i="1"/>
  <c r="C155" i="1"/>
  <c r="B155" i="1"/>
  <c r="E154" i="1"/>
  <c r="D154" i="1"/>
  <c r="C154" i="1"/>
  <c r="B154" i="1"/>
  <c r="E153" i="1"/>
  <c r="D153" i="1"/>
  <c r="C152" i="1"/>
  <c r="B152" i="1"/>
  <c r="D152" i="1" s="1"/>
  <c r="C151" i="1"/>
  <c r="E151" i="1" s="1"/>
  <c r="B151" i="1"/>
  <c r="D151" i="1" s="1"/>
  <c r="C150" i="1"/>
  <c r="E150" i="1" s="1"/>
  <c r="B150" i="1"/>
  <c r="D150" i="1" s="1"/>
  <c r="C148" i="1"/>
  <c r="E148" i="1" s="1"/>
  <c r="B148" i="1"/>
  <c r="D148" i="1" s="1"/>
  <c r="C147" i="1"/>
  <c r="E147" i="1" s="1"/>
  <c r="C146" i="1"/>
  <c r="E146" i="1" s="1"/>
  <c r="B146" i="1"/>
  <c r="C145" i="1"/>
  <c r="B145" i="1"/>
  <c r="B149" i="1" s="1"/>
  <c r="C144" i="1"/>
  <c r="B144" i="1"/>
  <c r="E144" i="1" s="1"/>
  <c r="C143" i="1"/>
  <c r="C149" i="1" s="1"/>
  <c r="E149" i="1" s="1"/>
  <c r="E142" i="1"/>
  <c r="D142" i="1"/>
  <c r="C141" i="1"/>
  <c r="E141" i="1" s="1"/>
  <c r="B140" i="1"/>
  <c r="D140" i="1" s="1"/>
  <c r="C139" i="1"/>
  <c r="C140" i="1" s="1"/>
  <c r="E140" i="1" s="1"/>
  <c r="E138" i="1"/>
  <c r="D138" i="1"/>
  <c r="C138" i="1"/>
  <c r="B138" i="1"/>
  <c r="E137" i="1"/>
  <c r="D137" i="1"/>
  <c r="C135" i="1"/>
  <c r="E135" i="1" s="1"/>
  <c r="B135" i="1"/>
  <c r="D135" i="1" s="1"/>
  <c r="C134" i="1"/>
  <c r="E134" i="1" s="1"/>
  <c r="B134" i="1"/>
  <c r="D134" i="1" s="1"/>
  <c r="C133" i="1"/>
  <c r="E133" i="1" s="1"/>
  <c r="B133" i="1"/>
  <c r="D133" i="1" s="1"/>
  <c r="D132" i="1"/>
  <c r="C132" i="1"/>
  <c r="E132" i="1" s="1"/>
  <c r="C131" i="1"/>
  <c r="B131" i="1"/>
  <c r="E131" i="1" s="1"/>
  <c r="E130" i="1"/>
  <c r="D130" i="1"/>
  <c r="D129" i="1"/>
  <c r="C129" i="1"/>
  <c r="E129" i="1" s="1"/>
  <c r="C128" i="1"/>
  <c r="E128" i="1" s="1"/>
  <c r="B128" i="1"/>
  <c r="D128" i="1" s="1"/>
  <c r="C127" i="1"/>
  <c r="C126" i="1"/>
  <c r="E126" i="1" s="1"/>
  <c r="B126" i="1"/>
  <c r="D126" i="1" s="1"/>
  <c r="C125" i="1"/>
  <c r="E125" i="1" s="1"/>
  <c r="B125" i="1"/>
  <c r="D125" i="1" s="1"/>
  <c r="E124" i="1"/>
  <c r="B124" i="1"/>
  <c r="D124" i="1" s="1"/>
  <c r="C123" i="1"/>
  <c r="B123" i="1"/>
  <c r="E123" i="1" s="1"/>
  <c r="C121" i="1"/>
  <c r="B121" i="1"/>
  <c r="E121" i="1" s="1"/>
  <c r="C120" i="1"/>
  <c r="B120" i="1"/>
  <c r="E120" i="1" s="1"/>
  <c r="C119" i="1"/>
  <c r="C122" i="1" s="1"/>
  <c r="B119" i="1"/>
  <c r="B122" i="1" s="1"/>
  <c r="D122" i="1" s="1"/>
  <c r="E118" i="1"/>
  <c r="D118" i="1"/>
  <c r="D116" i="1"/>
  <c r="C116" i="1"/>
  <c r="E116" i="1" s="1"/>
  <c r="B116" i="1"/>
  <c r="C115" i="1"/>
  <c r="E115" i="1" s="1"/>
  <c r="B115" i="1"/>
  <c r="D114" i="1"/>
  <c r="C114" i="1"/>
  <c r="E114" i="1" s="1"/>
  <c r="B114" i="1"/>
  <c r="B117" i="1" s="1"/>
  <c r="E113" i="1"/>
  <c r="D113" i="1"/>
  <c r="C112" i="1"/>
  <c r="C111" i="1"/>
  <c r="B111" i="1"/>
  <c r="B112" i="1" s="1"/>
  <c r="D112" i="1" s="1"/>
  <c r="E110" i="1"/>
  <c r="D110" i="1"/>
  <c r="B109" i="1"/>
  <c r="C108" i="1"/>
  <c r="D108" i="1" s="1"/>
  <c r="C107" i="1"/>
  <c r="E107" i="1" s="1"/>
  <c r="E106" i="1"/>
  <c r="D106" i="1"/>
  <c r="E105" i="1"/>
  <c r="D105" i="1"/>
  <c r="C105" i="1"/>
  <c r="B105" i="1"/>
  <c r="C104" i="1"/>
  <c r="E104" i="1" s="1"/>
  <c r="B104" i="1"/>
  <c r="D103" i="1"/>
  <c r="C103" i="1"/>
  <c r="E103" i="1" s="1"/>
  <c r="B103" i="1"/>
  <c r="E102" i="1"/>
  <c r="D102" i="1"/>
  <c r="C102" i="1"/>
  <c r="B102" i="1"/>
  <c r="C101" i="1"/>
  <c r="E101" i="1" s="1"/>
  <c r="B101" i="1"/>
  <c r="D100" i="1"/>
  <c r="C100" i="1"/>
  <c r="E100" i="1" s="1"/>
  <c r="B100" i="1"/>
  <c r="E99" i="1"/>
  <c r="D99" i="1"/>
  <c r="B96" i="1"/>
  <c r="C95" i="1"/>
  <c r="B95" i="1"/>
  <c r="E95" i="1" s="1"/>
  <c r="C94" i="1"/>
  <c r="C96" i="1" s="1"/>
  <c r="E96" i="1" s="1"/>
  <c r="B94" i="1"/>
  <c r="D94" i="1" s="1"/>
  <c r="E91" i="1"/>
  <c r="C91" i="1"/>
  <c r="B91" i="1"/>
  <c r="D91" i="1" s="1"/>
  <c r="E88" i="1"/>
  <c r="C88" i="1"/>
  <c r="B88" i="1"/>
  <c r="D88" i="1" s="1"/>
  <c r="C87" i="1"/>
  <c r="E87" i="1" s="1"/>
  <c r="E86" i="1"/>
  <c r="D86" i="1"/>
  <c r="C86" i="1"/>
  <c r="B86" i="1"/>
  <c r="E85" i="1"/>
  <c r="D85" i="1"/>
  <c r="C85" i="1"/>
  <c r="B85" i="1"/>
  <c r="E84" i="1"/>
  <c r="C84" i="1"/>
  <c r="D84" i="1" s="1"/>
  <c r="C83" i="1"/>
  <c r="E83" i="1" s="1"/>
  <c r="B83" i="1"/>
  <c r="D82" i="1"/>
  <c r="C82" i="1"/>
  <c r="E82" i="1" s="1"/>
  <c r="B82" i="1"/>
  <c r="E81" i="1"/>
  <c r="D81" i="1"/>
  <c r="C81" i="1"/>
  <c r="C80" i="1"/>
  <c r="E80" i="1" s="1"/>
  <c r="B80" i="1"/>
  <c r="D80" i="1" s="1"/>
  <c r="C79" i="1"/>
  <c r="E79" i="1" s="1"/>
  <c r="E78" i="1"/>
  <c r="C78" i="1"/>
  <c r="D78" i="1" s="1"/>
  <c r="E77" i="1"/>
  <c r="C77" i="1"/>
  <c r="B77" i="1"/>
  <c r="D77" i="1" s="1"/>
  <c r="E76" i="1"/>
  <c r="D76" i="1"/>
  <c r="C76" i="1"/>
  <c r="B76" i="1"/>
  <c r="E75" i="1"/>
  <c r="D75" i="1"/>
  <c r="C75" i="1"/>
  <c r="B75" i="1"/>
  <c r="E74" i="1"/>
  <c r="C74" i="1"/>
  <c r="B74" i="1"/>
  <c r="D74" i="1" s="1"/>
  <c r="E73" i="1"/>
  <c r="D73" i="1"/>
  <c r="C73" i="1"/>
  <c r="B73" i="1"/>
  <c r="E72" i="1"/>
  <c r="D72" i="1"/>
  <c r="C72" i="1"/>
  <c r="B72" i="1"/>
  <c r="E71" i="1"/>
  <c r="C71" i="1"/>
  <c r="B71" i="1"/>
  <c r="D71" i="1" s="1"/>
  <c r="E70" i="1"/>
  <c r="D70" i="1"/>
  <c r="C70" i="1"/>
  <c r="B70" i="1"/>
  <c r="E69" i="1"/>
  <c r="D69" i="1"/>
  <c r="C69" i="1"/>
  <c r="B69" i="1"/>
  <c r="E68" i="1"/>
  <c r="C68" i="1"/>
  <c r="D68" i="1" s="1"/>
  <c r="C67" i="1"/>
  <c r="D67" i="1" s="1"/>
  <c r="B67" i="1"/>
  <c r="D66" i="1"/>
  <c r="C66" i="1"/>
  <c r="E66" i="1" s="1"/>
  <c r="C65" i="1"/>
  <c r="E65" i="1" s="1"/>
  <c r="C64" i="1"/>
  <c r="E64" i="1" s="1"/>
  <c r="B64" i="1"/>
  <c r="D64" i="1" s="1"/>
  <c r="C63" i="1"/>
  <c r="B63" i="1"/>
  <c r="D63" i="1" s="1"/>
  <c r="E62" i="1"/>
  <c r="C62" i="1"/>
  <c r="B62" i="1"/>
  <c r="D62" i="1" s="1"/>
  <c r="C61" i="1"/>
  <c r="E61" i="1" s="1"/>
  <c r="B61" i="1"/>
  <c r="D61" i="1" s="1"/>
  <c r="E60" i="1"/>
  <c r="D60" i="1"/>
  <c r="C60" i="1"/>
  <c r="E59" i="1"/>
  <c r="D59" i="1"/>
  <c r="C59" i="1"/>
  <c r="B59" i="1"/>
  <c r="E58" i="1"/>
  <c r="C58" i="1"/>
  <c r="B58" i="1"/>
  <c r="D58" i="1" s="1"/>
  <c r="E57" i="1"/>
  <c r="D57" i="1"/>
  <c r="C57" i="1"/>
  <c r="B57" i="1"/>
  <c r="E56" i="1"/>
  <c r="D56" i="1"/>
  <c r="C56" i="1"/>
  <c r="B56" i="1"/>
  <c r="E55" i="1"/>
  <c r="C55" i="1"/>
  <c r="B55" i="1"/>
  <c r="D55" i="1" s="1"/>
  <c r="E54" i="1"/>
  <c r="D54" i="1"/>
  <c r="C54" i="1"/>
  <c r="B54" i="1"/>
  <c r="E53" i="1"/>
  <c r="D53" i="1"/>
  <c r="C53" i="1"/>
  <c r="B53" i="1"/>
  <c r="E52" i="1"/>
  <c r="B52" i="1"/>
  <c r="D52" i="1" s="1"/>
  <c r="C51" i="1"/>
  <c r="D51" i="1" s="1"/>
  <c r="B51" i="1"/>
  <c r="D50" i="1"/>
  <c r="C50" i="1"/>
  <c r="E50" i="1" s="1"/>
  <c r="B50" i="1"/>
  <c r="E49" i="1"/>
  <c r="D49" i="1"/>
  <c r="C49" i="1"/>
  <c r="B49" i="1"/>
  <c r="C48" i="1"/>
  <c r="E48" i="1" s="1"/>
  <c r="B48" i="1"/>
  <c r="D47" i="1"/>
  <c r="C47" i="1"/>
  <c r="E47" i="1" s="1"/>
  <c r="B47" i="1"/>
  <c r="E46" i="1"/>
  <c r="D46" i="1"/>
  <c r="C46" i="1"/>
  <c r="B46" i="1"/>
  <c r="C45" i="1"/>
  <c r="D45" i="1" s="1"/>
  <c r="B45" i="1"/>
  <c r="E44" i="1"/>
  <c r="D44" i="1"/>
  <c r="E43" i="1"/>
  <c r="C43" i="1"/>
  <c r="B43" i="1"/>
  <c r="D43" i="1" s="1"/>
  <c r="C42" i="1"/>
  <c r="E42" i="1" s="1"/>
  <c r="B42" i="1"/>
  <c r="D42" i="1" s="1"/>
  <c r="E41" i="1"/>
  <c r="B41" i="1"/>
  <c r="D41" i="1" s="1"/>
  <c r="E40" i="1"/>
  <c r="C40" i="1"/>
  <c r="E39" i="1"/>
  <c r="B39" i="1"/>
  <c r="D39" i="1" s="1"/>
  <c r="E38" i="1"/>
  <c r="B38" i="1"/>
  <c r="D38" i="1" s="1"/>
  <c r="E37" i="1"/>
  <c r="D37" i="1"/>
  <c r="E35" i="1"/>
  <c r="C35" i="1"/>
  <c r="B35" i="1"/>
  <c r="D35" i="1" s="1"/>
  <c r="D34" i="1"/>
  <c r="C34" i="1"/>
  <c r="E34" i="1" s="1"/>
  <c r="B34" i="1"/>
  <c r="E33" i="1"/>
  <c r="D33" i="1"/>
  <c r="C33" i="1"/>
  <c r="B33" i="1"/>
  <c r="E32" i="1"/>
  <c r="C32" i="1"/>
  <c r="B32" i="1"/>
  <c r="D32" i="1" s="1"/>
  <c r="D31" i="1"/>
  <c r="C31" i="1"/>
  <c r="E31" i="1" s="1"/>
  <c r="B31" i="1"/>
  <c r="B36" i="1" s="1"/>
  <c r="E30" i="1"/>
  <c r="D30" i="1"/>
  <c r="C29" i="1"/>
  <c r="B29" i="1"/>
  <c r="E28" i="1"/>
  <c r="D28" i="1"/>
  <c r="D27" i="1"/>
  <c r="C27" i="1"/>
  <c r="E27" i="1" s="1"/>
  <c r="B27" i="1"/>
  <c r="E25" i="1"/>
  <c r="C25" i="1"/>
  <c r="B25" i="1"/>
  <c r="D25" i="1" s="1"/>
  <c r="E24" i="1"/>
  <c r="D24" i="1"/>
  <c r="B24" i="1"/>
  <c r="E23" i="1"/>
  <c r="D23" i="1"/>
  <c r="E22" i="1"/>
  <c r="C22" i="1"/>
  <c r="B22" i="1"/>
  <c r="D22" i="1" s="1"/>
  <c r="C21" i="1"/>
  <c r="E21" i="1" s="1"/>
  <c r="D20" i="1"/>
  <c r="C20" i="1"/>
  <c r="E20" i="1" s="1"/>
  <c r="D19" i="1"/>
  <c r="C19" i="1"/>
  <c r="E19" i="1" s="1"/>
  <c r="B19" i="1"/>
  <c r="E18" i="1"/>
  <c r="D18" i="1"/>
  <c r="C18" i="1"/>
  <c r="B18" i="1"/>
  <c r="B17" i="1"/>
  <c r="D16" i="1"/>
  <c r="C16" i="1"/>
  <c r="C17" i="1" s="1"/>
  <c r="B16" i="1"/>
  <c r="E15" i="1"/>
  <c r="D15" i="1"/>
  <c r="C15" i="1"/>
  <c r="B15" i="1"/>
  <c r="E14" i="1"/>
  <c r="D14" i="1"/>
  <c r="E13" i="1"/>
  <c r="D13" i="1"/>
  <c r="E11" i="1"/>
  <c r="D11" i="1"/>
  <c r="C11" i="1"/>
  <c r="B11" i="1"/>
  <c r="C10" i="1"/>
  <c r="E10" i="1" s="1"/>
  <c r="B10" i="1"/>
  <c r="D10" i="1" s="1"/>
  <c r="D9" i="1"/>
  <c r="C9" i="1"/>
  <c r="E9" i="1" s="1"/>
  <c r="E8" i="1"/>
  <c r="D8" i="1"/>
  <c r="G27" i="7" l="1"/>
  <c r="G6" i="7"/>
  <c r="G16" i="6"/>
  <c r="G9" i="6"/>
  <c r="E29" i="5"/>
  <c r="E67" i="5"/>
  <c r="D48" i="5"/>
  <c r="D58" i="5"/>
  <c r="B16" i="5"/>
  <c r="B59" i="5"/>
  <c r="C16" i="5"/>
  <c r="C59" i="5"/>
  <c r="D50" i="5"/>
  <c r="D63" i="5"/>
  <c r="E50" i="5"/>
  <c r="E63" i="5"/>
  <c r="B35" i="5"/>
  <c r="C35" i="5"/>
  <c r="E35" i="5" s="1"/>
  <c r="D47" i="5"/>
  <c r="E22" i="5"/>
  <c r="E47" i="5"/>
  <c r="D18" i="4"/>
  <c r="D9" i="4"/>
  <c r="B49" i="4"/>
  <c r="C49" i="4"/>
  <c r="E49" i="4" s="1"/>
  <c r="D53" i="4"/>
  <c r="E53" i="4"/>
  <c r="D10" i="4"/>
  <c r="E17" i="4"/>
  <c r="C14" i="4"/>
  <c r="D14" i="4"/>
  <c r="D35" i="4"/>
  <c r="D52" i="4"/>
  <c r="E96" i="3"/>
  <c r="E12" i="3"/>
  <c r="E18" i="3"/>
  <c r="C25" i="3"/>
  <c r="E25" i="3" s="1"/>
  <c r="D145" i="3"/>
  <c r="D134" i="3"/>
  <c r="D168" i="3"/>
  <c r="B88" i="3"/>
  <c r="B25" i="3"/>
  <c r="D25" i="3" s="1"/>
  <c r="D18" i="3"/>
  <c r="D101" i="3"/>
  <c r="D137" i="3"/>
  <c r="D12" i="3"/>
  <c r="E101" i="3"/>
  <c r="D91" i="3"/>
  <c r="E91" i="3"/>
  <c r="B122" i="3"/>
  <c r="D122" i="3" s="1"/>
  <c r="B87" i="3"/>
  <c r="D87" i="3" s="1"/>
  <c r="C122" i="3"/>
  <c r="D11" i="3"/>
  <c r="E15" i="3"/>
  <c r="D29" i="3"/>
  <c r="B36" i="3"/>
  <c r="D90" i="3"/>
  <c r="D94" i="3"/>
  <c r="D173" i="3"/>
  <c r="C36" i="3"/>
  <c r="E90" i="3"/>
  <c r="E94" i="3"/>
  <c r="D166" i="3"/>
  <c r="E173" i="3"/>
  <c r="D26" i="3"/>
  <c r="D140" i="3"/>
  <c r="E166" i="3"/>
  <c r="D16" i="3"/>
  <c r="E126" i="3"/>
  <c r="E136" i="3"/>
  <c r="E140" i="3"/>
  <c r="C156" i="3"/>
  <c r="E156" i="3" s="1"/>
  <c r="D47" i="3"/>
  <c r="D50" i="3"/>
  <c r="D85" i="3"/>
  <c r="C117" i="3"/>
  <c r="E117" i="3" s="1"/>
  <c r="E130" i="3"/>
  <c r="D66" i="3"/>
  <c r="D79" i="3"/>
  <c r="D100" i="3"/>
  <c r="D141" i="3"/>
  <c r="D63" i="3"/>
  <c r="E100" i="3"/>
  <c r="D172" i="3"/>
  <c r="B13" i="2"/>
  <c r="B49" i="2"/>
  <c r="C13" i="2"/>
  <c r="D27" i="2"/>
  <c r="D30" i="2"/>
  <c r="C49" i="2"/>
  <c r="E49" i="2" s="1"/>
  <c r="D35" i="2"/>
  <c r="D38" i="2"/>
  <c r="D41" i="2"/>
  <c r="D44" i="2"/>
  <c r="D32" i="2"/>
  <c r="D26" i="2"/>
  <c r="E122" i="1"/>
  <c r="D96" i="1"/>
  <c r="D149" i="1"/>
  <c r="E17" i="1"/>
  <c r="C26" i="1"/>
  <c r="D17" i="1"/>
  <c r="B173" i="1"/>
  <c r="E112" i="1"/>
  <c r="E172" i="1"/>
  <c r="E63" i="1"/>
  <c r="E45" i="1"/>
  <c r="E51" i="1"/>
  <c r="E67" i="1"/>
  <c r="E108" i="1"/>
  <c r="D21" i="1"/>
  <c r="D87" i="1"/>
  <c r="D119" i="1"/>
  <c r="D139" i="1"/>
  <c r="D143" i="1"/>
  <c r="D146" i="1"/>
  <c r="E152" i="1"/>
  <c r="E94" i="1"/>
  <c r="C109" i="1"/>
  <c r="E119" i="1"/>
  <c r="B136" i="1"/>
  <c r="E139" i="1"/>
  <c r="E143" i="1"/>
  <c r="C136" i="1"/>
  <c r="E136" i="1" s="1"/>
  <c r="D147" i="1"/>
  <c r="B26" i="1"/>
  <c r="D26" i="1" s="1"/>
  <c r="D29" i="1"/>
  <c r="B40" i="1"/>
  <c r="D40" i="1" s="1"/>
  <c r="D65" i="1"/>
  <c r="B12" i="1"/>
  <c r="E29" i="1"/>
  <c r="C36" i="1"/>
  <c r="E36" i="1" s="1"/>
  <c r="D95" i="1"/>
  <c r="D120" i="1"/>
  <c r="D123" i="1"/>
  <c r="D144" i="1"/>
  <c r="C12" i="1"/>
  <c r="C117" i="1"/>
  <c r="E117" i="1" s="1"/>
  <c r="B127" i="1"/>
  <c r="D127" i="1" s="1"/>
  <c r="D79" i="1"/>
  <c r="C89" i="1"/>
  <c r="D107" i="1"/>
  <c r="D141" i="1"/>
  <c r="B89" i="1"/>
  <c r="D89" i="1" s="1"/>
  <c r="E16" i="1"/>
  <c r="D111" i="1"/>
  <c r="D121" i="1"/>
  <c r="D131" i="1"/>
  <c r="D145" i="1"/>
  <c r="E111" i="1"/>
  <c r="E145" i="1"/>
  <c r="D48" i="1"/>
  <c r="D83" i="1"/>
  <c r="D101" i="1"/>
  <c r="D104" i="1"/>
  <c r="D115" i="1"/>
  <c r="C60" i="5" l="1"/>
  <c r="E59" i="5"/>
  <c r="E16" i="5"/>
  <c r="C30" i="5"/>
  <c r="B60" i="5"/>
  <c r="D59" i="5"/>
  <c r="D16" i="5"/>
  <c r="B30" i="5"/>
  <c r="D35" i="5"/>
  <c r="C19" i="4"/>
  <c r="E14" i="4"/>
  <c r="D49" i="4"/>
  <c r="B50" i="4"/>
  <c r="C169" i="3"/>
  <c r="D156" i="3"/>
  <c r="C88" i="3"/>
  <c r="E88" i="3" s="1"/>
  <c r="E36" i="3"/>
  <c r="D36" i="3"/>
  <c r="C92" i="3"/>
  <c r="E122" i="3"/>
  <c r="B169" i="3"/>
  <c r="D169" i="3" s="1"/>
  <c r="B92" i="3"/>
  <c r="E87" i="3"/>
  <c r="D117" i="3"/>
  <c r="C18" i="2"/>
  <c r="E13" i="2"/>
  <c r="D49" i="2"/>
  <c r="B18" i="2"/>
  <c r="D13" i="2"/>
  <c r="E12" i="1"/>
  <c r="E26" i="1"/>
  <c r="D36" i="1"/>
  <c r="B90" i="1"/>
  <c r="B92" i="1" s="1"/>
  <c r="D12" i="1"/>
  <c r="E109" i="1"/>
  <c r="D109" i="1"/>
  <c r="C90" i="1"/>
  <c r="E90" i="1" s="1"/>
  <c r="C173" i="1"/>
  <c r="E173" i="1" s="1"/>
  <c r="E127" i="1"/>
  <c r="D136" i="1"/>
  <c r="D117" i="1"/>
  <c r="E89" i="1"/>
  <c r="B39" i="5" l="1"/>
  <c r="D30" i="5"/>
  <c r="C39" i="5"/>
  <c r="E39" i="5" s="1"/>
  <c r="E30" i="5"/>
  <c r="B68" i="5"/>
  <c r="D68" i="5" s="1"/>
  <c r="D60" i="5"/>
  <c r="C68" i="5"/>
  <c r="E68" i="5" s="1"/>
  <c r="E60" i="5"/>
  <c r="B55" i="4"/>
  <c r="D50" i="4"/>
  <c r="C50" i="4"/>
  <c r="E19" i="4"/>
  <c r="D19" i="4"/>
  <c r="D92" i="3"/>
  <c r="B97" i="3"/>
  <c r="E169" i="3"/>
  <c r="E92" i="3"/>
  <c r="C97" i="3"/>
  <c r="D88" i="3"/>
  <c r="B50" i="2"/>
  <c r="D18" i="2"/>
  <c r="E18" i="2"/>
  <c r="C50" i="2"/>
  <c r="B97" i="1"/>
  <c r="C92" i="1"/>
  <c r="D90" i="1"/>
  <c r="D173" i="1"/>
  <c r="D39" i="5" l="1"/>
  <c r="C55" i="4"/>
  <c r="E55" i="4" s="1"/>
  <c r="E50" i="4"/>
  <c r="D55" i="4"/>
  <c r="C170" i="3"/>
  <c r="E97" i="3"/>
  <c r="B170" i="3"/>
  <c r="D97" i="3"/>
  <c r="C51" i="2"/>
  <c r="E51" i="2" s="1"/>
  <c r="E50" i="2"/>
  <c r="B51" i="2"/>
  <c r="D51" i="2" s="1"/>
  <c r="D50" i="2"/>
  <c r="C97" i="1"/>
  <c r="E92" i="1"/>
  <c r="D92" i="1"/>
  <c r="B174" i="1"/>
  <c r="D97" i="1"/>
  <c r="B175" i="3" l="1"/>
  <c r="D170" i="3"/>
  <c r="C175" i="3"/>
  <c r="E175" i="3" s="1"/>
  <c r="E170" i="3"/>
  <c r="B175" i="1"/>
  <c r="C174" i="1"/>
  <c r="E97" i="1"/>
  <c r="D175" i="3" l="1"/>
  <c r="C175" i="1"/>
  <c r="E175" i="1" s="1"/>
  <c r="E174" i="1"/>
  <c r="D174" i="1"/>
  <c r="D175" i="1"/>
</calcChain>
</file>

<file path=xl/sharedStrings.xml><?xml version="1.0" encoding="utf-8"?>
<sst xmlns="http://schemas.openxmlformats.org/spreadsheetml/2006/main" count="745" uniqueCount="376">
  <si>
    <t>Total</t>
  </si>
  <si>
    <t>Actual</t>
  </si>
  <si>
    <t>Budget</t>
  </si>
  <si>
    <t>over Budget</t>
  </si>
  <si>
    <t>% of Budget</t>
  </si>
  <si>
    <t>Revenue</t>
  </si>
  <si>
    <t xml:space="preserve">   4200 Grants</t>
  </si>
  <si>
    <t xml:space="preserve">      8006 State of Alaska</t>
  </si>
  <si>
    <t xml:space="preserve">      8032 4110 City of Valdez</t>
  </si>
  <si>
    <t xml:space="preserve">      8033 Foundation</t>
  </si>
  <si>
    <t xml:space="preserve">   Total 4200 Grants</t>
  </si>
  <si>
    <t xml:space="preserve">   8003 Fund Development</t>
  </si>
  <si>
    <t xml:space="preserve">      4030 Donations Income</t>
  </si>
  <si>
    <t xml:space="preserve">         8002 Unrestricted</t>
  </si>
  <si>
    <t xml:space="preserve">         8062 6145 In-Kind Income</t>
  </si>
  <si>
    <t xml:space="preserve">      Total 4030 Donations Income</t>
  </si>
  <si>
    <t xml:space="preserve">      8004 Corporate Sponsorship</t>
  </si>
  <si>
    <t xml:space="preserve">      8021 Annual Appeal</t>
  </si>
  <si>
    <t xml:space="preserve">      8022 Raffle</t>
  </si>
  <si>
    <t xml:space="preserve">      8060 Roadhouse Dinner</t>
  </si>
  <si>
    <t xml:space="preserve">      8061 Membership</t>
  </si>
  <si>
    <t xml:space="preserve">      8152 Fundraising</t>
  </si>
  <si>
    <t xml:space="preserve">         8023 Designated</t>
  </si>
  <si>
    <t xml:space="preserve">      Total 8152 Fundraising</t>
  </si>
  <si>
    <t xml:space="preserve">   Total 8003 Fund Development</t>
  </si>
  <si>
    <t xml:space="preserve">   8011 Reimbursed Expenses</t>
  </si>
  <si>
    <t xml:space="preserve">   8024 Earned Revenue</t>
  </si>
  <si>
    <t xml:space="preserve">      4110 Shipping and Delivery Income</t>
  </si>
  <si>
    <t xml:space="preserve">      4120 Museum Fees</t>
  </si>
  <si>
    <t xml:space="preserve">         80011 Presenter &amp; Guide Income</t>
  </si>
  <si>
    <t xml:space="preserve">         8009 Admission Fees - Tour/Bulk</t>
  </si>
  <si>
    <t xml:space="preserve">         8010 Archival Fees</t>
  </si>
  <si>
    <t xml:space="preserve">         8026 Admissions - General</t>
  </si>
  <si>
    <t xml:space="preserve">         8159 Space Rental</t>
  </si>
  <si>
    <t xml:space="preserve">      Total 4120 Museum Fees</t>
  </si>
  <si>
    <t xml:space="preserve">      48600 Service Sales</t>
  </si>
  <si>
    <t xml:space="preserve">         486001 Shipping</t>
  </si>
  <si>
    <t xml:space="preserve">         Services</t>
  </si>
  <si>
    <t xml:space="preserve">      Total 48600 Service Sales</t>
  </si>
  <si>
    <t xml:space="preserve">      8025 Program Fees</t>
  </si>
  <si>
    <t xml:space="preserve">         8025.1 Enrollment Fees</t>
  </si>
  <si>
    <t xml:space="preserve">      Total 8025 Program Fees</t>
  </si>
  <si>
    <t xml:space="preserve">      8027 Store Sales</t>
  </si>
  <si>
    <t xml:space="preserve">         8012 Cards</t>
  </si>
  <si>
    <t xml:space="preserve">         8013 Books</t>
  </si>
  <si>
    <t xml:space="preserve">         8014 Childrens Books</t>
  </si>
  <si>
    <t xml:space="preserve">         8015 Gallery Sales</t>
  </si>
  <si>
    <t xml:space="preserve">         8017 Other Items</t>
  </si>
  <si>
    <t xml:space="preserve">         8029 Fundraising</t>
  </si>
  <si>
    <t xml:space="preserve">         8063 Copies/Fax</t>
  </si>
  <si>
    <t xml:space="preserve">         8064 Galley Sales</t>
  </si>
  <si>
    <t xml:space="preserve">         8164 Miscellaneous</t>
  </si>
  <si>
    <t xml:space="preserve">         8165 Audio/Video</t>
  </si>
  <si>
    <t xml:space="preserve">         8166 Post Cards</t>
  </si>
  <si>
    <t xml:space="preserve">         8167 Plush/Puppets</t>
  </si>
  <si>
    <t xml:space="preserve">         Art</t>
  </si>
  <si>
    <t xml:space="preserve">         Art Supplies</t>
  </si>
  <si>
    <t xml:space="preserve">         Body &amp; Bath Products</t>
  </si>
  <si>
    <t xml:space="preserve">         Bookmark</t>
  </si>
  <si>
    <t xml:space="preserve">         Candy</t>
  </si>
  <si>
    <t xml:space="preserve">         Childrens Toys</t>
  </si>
  <si>
    <t xml:space="preserve">         Clothing</t>
  </si>
  <si>
    <t xml:space="preserve">         Discount Income</t>
  </si>
  <si>
    <t xml:space="preserve">         Dog Toys&amp; Treats</t>
  </si>
  <si>
    <t xml:space="preserve">         Dolls</t>
  </si>
  <si>
    <t xml:space="preserve">         Food</t>
  </si>
  <si>
    <t xml:space="preserve">         Gold Vials</t>
  </si>
  <si>
    <t xml:space="preserve">         Jewelry</t>
  </si>
  <si>
    <t xml:space="preserve">         Key Chain</t>
  </si>
  <si>
    <t xml:space="preserve">         Kitchen Items</t>
  </si>
  <si>
    <t xml:space="preserve">         Magnet</t>
  </si>
  <si>
    <t xml:space="preserve">         Maps</t>
  </si>
  <si>
    <t xml:space="preserve">         Moosey Chews</t>
  </si>
  <si>
    <t xml:space="preserve">         Mugs</t>
  </si>
  <si>
    <t xml:space="preserve">         Ornament</t>
  </si>
  <si>
    <t xml:space="preserve">         Playing cards</t>
  </si>
  <si>
    <t xml:space="preserve">         Plush</t>
  </si>
  <si>
    <t xml:space="preserve">         Print</t>
  </si>
  <si>
    <t xml:space="preserve">         Sales of Product Income</t>
  </si>
  <si>
    <t xml:space="preserve">         Scarves</t>
  </si>
  <si>
    <t xml:space="preserve">         Seeds</t>
  </si>
  <si>
    <t xml:space="preserve">         Stickers</t>
  </si>
  <si>
    <t xml:space="preserve">         Suncatcher</t>
  </si>
  <si>
    <t xml:space="preserve">         Tote Bag</t>
  </si>
  <si>
    <t xml:space="preserve">         Ulu</t>
  </si>
  <si>
    <t xml:space="preserve">         Umbrella</t>
  </si>
  <si>
    <t xml:space="preserve">         Zipper Pulls</t>
  </si>
  <si>
    <t xml:space="preserve">      Total 8027 Store Sales</t>
  </si>
  <si>
    <t xml:space="preserve">   Total 8024 Earned Revenue</t>
  </si>
  <si>
    <t xml:space="preserve">   8501 7015 Interest Income</t>
  </si>
  <si>
    <t>Total Revenue</t>
  </si>
  <si>
    <t>Cost of Goods Sold</t>
  </si>
  <si>
    <t xml:space="preserve">   8101 Cost of Goods Sold</t>
  </si>
  <si>
    <t xml:space="preserve">   8102 Gallery Commission</t>
  </si>
  <si>
    <t>Total Cost of Goods Sold</t>
  </si>
  <si>
    <t>Gross Profit</t>
  </si>
  <si>
    <t>Expenditures</t>
  </si>
  <si>
    <t xml:space="preserve">   6185 Insurance</t>
  </si>
  <si>
    <t xml:space="preserve">      8137 Liability Insurance</t>
  </si>
  <si>
    <t xml:space="preserve">   Total 6185 Insurance</t>
  </si>
  <si>
    <t xml:space="preserve">   8036 Fundraising Expenses</t>
  </si>
  <si>
    <t xml:space="preserve">   8036.1 Membership</t>
  </si>
  <si>
    <t xml:space="preserve">   8037 IT Services</t>
  </si>
  <si>
    <t xml:space="preserve">   8039 Education</t>
  </si>
  <si>
    <t xml:space="preserve">   8040 Collections</t>
  </si>
  <si>
    <t xml:space="preserve">      8042 Collections Supplies</t>
  </si>
  <si>
    <t xml:space="preserve">      8043 Acquisitions</t>
  </si>
  <si>
    <t xml:space="preserve">   Total 8040 Collections</t>
  </si>
  <si>
    <t xml:space="preserve">   8047 Janitoral Services</t>
  </si>
  <si>
    <t xml:space="preserve">      8114 General Janitoral</t>
  </si>
  <si>
    <t xml:space="preserve">   Total 8047 Janitoral Services</t>
  </si>
  <si>
    <t xml:space="preserve">   8048 Utilities</t>
  </si>
  <si>
    <t xml:space="preserve">      8115 Electric</t>
  </si>
  <si>
    <t xml:space="preserve">      8116 Heating Oil</t>
  </si>
  <si>
    <t xml:space="preserve">      8117 Water</t>
  </si>
  <si>
    <t xml:space="preserve">   Total 8048 Utilities</t>
  </si>
  <si>
    <t xml:space="preserve">   8049 Supplies</t>
  </si>
  <si>
    <t xml:space="preserve">      8125 Technology</t>
  </si>
  <si>
    <t xml:space="preserve">      8126 Office Supplies</t>
  </si>
  <si>
    <t xml:space="preserve">      8127 Operating</t>
  </si>
  <si>
    <t xml:space="preserve">   Total 8049 Supplies</t>
  </si>
  <si>
    <t xml:space="preserve">   8053 Advertising/Marketing</t>
  </si>
  <si>
    <t xml:space="preserve">   8056 Travel</t>
  </si>
  <si>
    <t xml:space="preserve">      8142 Meals</t>
  </si>
  <si>
    <t xml:space="preserve">      8143 Travel</t>
  </si>
  <si>
    <t xml:space="preserve">   Total 8056 Travel</t>
  </si>
  <si>
    <t xml:space="preserve">   8058 Public Programs</t>
  </si>
  <si>
    <t xml:space="preserve">   8059 Contingency</t>
  </si>
  <si>
    <t xml:space="preserve">   8103 Personnel Expenses</t>
  </si>
  <si>
    <t xml:space="preserve">      8104 Salaries &amp; Wages</t>
  </si>
  <si>
    <t xml:space="preserve">      8105 ESC Payroll Tax</t>
  </si>
  <si>
    <t xml:space="preserve">      8106 FICA Payroll Tax</t>
  </si>
  <si>
    <t xml:space="preserve">      8107 403(b) - Employer</t>
  </si>
  <si>
    <t xml:space="preserve">      8108 Health Insurance</t>
  </si>
  <si>
    <t xml:space="preserve">   Total 8103 Personnel Expenses</t>
  </si>
  <si>
    <t xml:space="preserve">   8110 Professional Fees</t>
  </si>
  <si>
    <t xml:space="preserve">      8045 Accounting</t>
  </si>
  <si>
    <t xml:space="preserve">      8046 Consulting</t>
  </si>
  <si>
    <t xml:space="preserve">   Total 8110 Professional Fees</t>
  </si>
  <si>
    <t xml:space="preserve">   8113 Vehicle Expense</t>
  </si>
  <si>
    <t xml:space="preserve">   8118 Telephone</t>
  </si>
  <si>
    <t xml:space="preserve">      8119 Fax</t>
  </si>
  <si>
    <t xml:space="preserve">      8120 Internet</t>
  </si>
  <si>
    <t xml:space="preserve">      8121 Local Service</t>
  </si>
  <si>
    <t xml:space="preserve">      8122 Long Distance</t>
  </si>
  <si>
    <t xml:space="preserve">      8124 Conference Line</t>
  </si>
  <si>
    <t xml:space="preserve">      Cell Phone</t>
  </si>
  <si>
    <t xml:space="preserve">   Total 8118 Telephone</t>
  </si>
  <si>
    <t xml:space="preserve">   8123 Postage and Delivery</t>
  </si>
  <si>
    <t xml:space="preserve">   8130 Dues and Subscriptions</t>
  </si>
  <si>
    <t xml:space="preserve">   8131 Printing and Reproduction</t>
  </si>
  <si>
    <t xml:space="preserve">   8134 Rent</t>
  </si>
  <si>
    <t xml:space="preserve">      8055 Building Lease</t>
  </si>
  <si>
    <t xml:space="preserve">      8056.1 Storage Rent</t>
  </si>
  <si>
    <t xml:space="preserve">   Total 8134 Rent</t>
  </si>
  <si>
    <t xml:space="preserve">   8138 Credit Card Fees</t>
  </si>
  <si>
    <t xml:space="preserve">      QuickBooks Payments Fees</t>
  </si>
  <si>
    <t xml:space="preserve">      Square Fees</t>
  </si>
  <si>
    <t xml:space="preserve">   Total 8138 Credit Card Fees</t>
  </si>
  <si>
    <t xml:space="preserve">   8139 Bank Service Charges</t>
  </si>
  <si>
    <t xml:space="preserve">   8144 Training &amp; Education</t>
  </si>
  <si>
    <t xml:space="preserve">   8145 Licenses and Permits</t>
  </si>
  <si>
    <t xml:space="preserve">   8148 Contributions</t>
  </si>
  <si>
    <t xml:space="preserve">      8057 In-Kind Expenses</t>
  </si>
  <si>
    <t xml:space="preserve">   Total 8148 Contributions</t>
  </si>
  <si>
    <t xml:space="preserve">   9002 Freight and Shipping Costs</t>
  </si>
  <si>
    <t xml:space="preserve">   Bad Debts</t>
  </si>
  <si>
    <t xml:space="preserve">   Exhibits</t>
  </si>
  <si>
    <t xml:space="preserve">      8051 Permanent Exhibits</t>
  </si>
  <si>
    <t xml:space="preserve">      8052 Temporary Exhibits</t>
  </si>
  <si>
    <t xml:space="preserve">   Total Exhibits</t>
  </si>
  <si>
    <t>Total Expenditures</t>
  </si>
  <si>
    <t>Net Operating Revenue</t>
  </si>
  <si>
    <t>Net Revenue</t>
  </si>
  <si>
    <t>Friday, Jun 09, 2023 02:20:04 PM GMT-7 - Accrual Basis</t>
  </si>
  <si>
    <t>VALDEZ MUSEUM &amp; HISTORICAL ARCHIVE ASSOCIATION, IN</t>
  </si>
  <si>
    <t xml:space="preserve">Budget vs. Actuals: FY-2023 - FY23 P&amp;L </t>
  </si>
  <si>
    <t>January - December 2023</t>
  </si>
  <si>
    <t>Friday, Jun 09, 2023 02:21:44 PM GMT-7 - Accrual Basis</t>
  </si>
  <si>
    <t>Statement of Activity Comparison</t>
  </si>
  <si>
    <t>January - May, 2023</t>
  </si>
  <si>
    <t>Jan - May, 2023</t>
  </si>
  <si>
    <t>Jan - May, 2022 (PY)</t>
  </si>
  <si>
    <t>Change</t>
  </si>
  <si>
    <t>% Change</t>
  </si>
  <si>
    <t xml:space="preserve">         8001 Restricted</t>
  </si>
  <si>
    <t xml:space="preserve">   8008 Miscellaneous Income</t>
  </si>
  <si>
    <t xml:space="preserve">         Admissions - General</t>
  </si>
  <si>
    <t xml:space="preserve">      Phyllis Irish Memorial Fund CD</t>
  </si>
  <si>
    <t xml:space="preserve">   Total 8501 7015 Interest Income</t>
  </si>
  <si>
    <t xml:space="preserve">      8043.1 Intern</t>
  </si>
  <si>
    <t>Other Expenditures</t>
  </si>
  <si>
    <t xml:space="preserve">   Reconciliation Discrepancies-1</t>
  </si>
  <si>
    <t>Total Other Expenditures</t>
  </si>
  <si>
    <t>Net Other Revenue</t>
  </si>
  <si>
    <t>Friday, Jun 09, 2023 02:23:22 PM GMT-7 - Accrual Basis</t>
  </si>
  <si>
    <t>Friday, Jun 09, 2023 02:25:17 PM GMT-7 - Accrual Basis</t>
  </si>
  <si>
    <t xml:space="preserve">Statement of Financial Position Comparison </t>
  </si>
  <si>
    <t>As of May 31, 2023</t>
  </si>
  <si>
    <t>As of May 31, 2022 (PY)</t>
  </si>
  <si>
    <t>ASSETS</t>
  </si>
  <si>
    <t xml:space="preserve">   Current Assets</t>
  </si>
  <si>
    <t xml:space="preserve">      Bank Accounts</t>
  </si>
  <si>
    <t xml:space="preserve">         1003 WF Merchant Services Account</t>
  </si>
  <si>
    <t xml:space="preserve">         1021 CD 61215021 -Phyllis Irish</t>
  </si>
  <si>
    <t xml:space="preserve">         1022 10950 Cash in Drawer</t>
  </si>
  <si>
    <t xml:space="preserve">         1024 1st National Savings</t>
  </si>
  <si>
    <t xml:space="preserve">         1025 1st National  Operating</t>
  </si>
  <si>
    <t xml:space="preserve">         1026 1st National Gaming</t>
  </si>
  <si>
    <t xml:space="preserve">      Total Bank Accounts</t>
  </si>
  <si>
    <t xml:space="preserve">      Accounts Receivable</t>
  </si>
  <si>
    <t xml:space="preserve">         102 Accounts Receivable (AR)</t>
  </si>
  <si>
    <t xml:space="preserve">         1501 Accounts Receivable</t>
  </si>
  <si>
    <t xml:space="preserve">      Total Accounts Receivable</t>
  </si>
  <si>
    <t xml:space="preserve">      Other Current Assets</t>
  </si>
  <si>
    <t xml:space="preserve">         1017 Undeposited Funds</t>
  </si>
  <si>
    <t xml:space="preserve">         1502 Museum Endowment Fund</t>
  </si>
  <si>
    <t xml:space="preserve">         2002 1120 Inventory Asset</t>
  </si>
  <si>
    <t xml:space="preserve">         2501 Prepaid Insurance</t>
  </si>
  <si>
    <t xml:space="preserve">         8132 Cash Reserves</t>
  </si>
  <si>
    <t xml:space="preserve">         Cash on Hand</t>
  </si>
  <si>
    <t xml:space="preserve">         Uncategorized Asset</t>
  </si>
  <si>
    <t xml:space="preserve">      Total Other Current Assets</t>
  </si>
  <si>
    <t xml:space="preserve">   Total Current Assets</t>
  </si>
  <si>
    <t xml:space="preserve">   Fixed Assets</t>
  </si>
  <si>
    <t xml:space="preserve">      4000 Construction in Progress</t>
  </si>
  <si>
    <t xml:space="preserve">      4001 Fixed Assets</t>
  </si>
  <si>
    <t xml:space="preserve">      4002 Lifeboat Shelter Asset</t>
  </si>
  <si>
    <t xml:space="preserve">   Total Fixed Assets</t>
  </si>
  <si>
    <t xml:space="preserve">   Other Assets</t>
  </si>
  <si>
    <t xml:space="preserve">      Merchandise Inventory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</si>
  <si>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</si>
  <si>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</si>
  <si>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</si>
  <si>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</si>
  <si>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</si>
  <si>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</si>
  <si>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5501 2000 Accounts Payable</t>
  </si>
  <si>
    <t xml:space="preserve">         Total Accounts Payable</t>
  </si>
  <si>
    <t xml:space="preserve">         Credit Cards</t>
  </si>
  <si>
    <t xml:space="preserve">            5505 Bank of America  Business Card</t>
  </si>
  <si>
    <t xml:space="preserve">         Total Credit Cards</t>
  </si>
  <si>
    <t xml:space="preserve">         Other Current Liabilities</t>
  </si>
  <si>
    <t xml:space="preserve">            25100 Employee Tips Payable</t>
  </si>
  <si>
    <t xml:space="preserve">            5503 Loss on Disposal of Assets</t>
  </si>
  <si>
    <t xml:space="preserve">            5504 24700 Customer Deposits</t>
  </si>
  <si>
    <t xml:space="preserve">            6002 Leave Payable</t>
  </si>
  <si>
    <t xml:space="preserve">            6003 2100 Payroll Liabilities</t>
  </si>
  <si>
    <t xml:space="preserve">            6601 Deferred Revenue</t>
  </si>
  <si>
    <t xml:space="preserve">            Direct Deposit Payable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</si>
  <si>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</si>
  <si>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</si>
  <si>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</si>
  <si>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</si>
  <si>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</si>
  <si>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Opening Bal Equity</t>
  </si>
  <si>
    <t xml:space="preserve">      7502 3900 Retained Earnings</t>
  </si>
  <si>
    <t xml:space="preserve">      7503 Museum Endowment Fund Equity</t>
  </si>
  <si>
    <t xml:space="preserve">      8079 Contributed Capital</t>
  </si>
  <si>
    <t xml:space="preserve">      Net Revenue</t>
  </si>
  <si>
    <t xml:space="preserve">   Total Equity</t>
  </si>
  <si>
    <t>TOTAL LIABILITIES AND EQUITY</t>
  </si>
  <si>
    <t>Friday, Jun 09, 2023 02:27:18 PM GMT-7 - Accrual Basis</t>
  </si>
  <si>
    <t>A/R Aging Summary</t>
  </si>
  <si>
    <t>Current</t>
  </si>
  <si>
    <t>1 - 30</t>
  </si>
  <si>
    <t>31 - 60</t>
  </si>
  <si>
    <t>61 - 90</t>
  </si>
  <si>
    <t>91 and over</t>
  </si>
  <si>
    <t>Alyeska Pipeline Service Co.</t>
  </si>
  <si>
    <t>City of Valdez - Grant Income</t>
  </si>
  <si>
    <t>Margaret Holm</t>
  </si>
  <si>
    <t>Matt Orr</t>
  </si>
  <si>
    <t>Other Customer</t>
  </si>
  <si>
    <t>Premier Alaska Tours</t>
  </si>
  <si>
    <t>QuickBooks Customer</t>
  </si>
  <si>
    <t>Seed Media 1</t>
  </si>
  <si>
    <t>Steven Diaz</t>
  </si>
  <si>
    <t>Wells Fargo</t>
  </si>
  <si>
    <t>TOTAL</t>
  </si>
  <si>
    <t>Friday, Jun 09, 2023 02:29:03 PM GMT-7</t>
  </si>
  <si>
    <t>A/P Aging Summary</t>
  </si>
  <si>
    <t>Audit Adjustment.1</t>
  </si>
  <si>
    <t>Benda  Books</t>
  </si>
  <si>
    <t>Bob W Flint</t>
  </si>
  <si>
    <t>Copper Valley Electric Assoc., Inc.</t>
  </si>
  <si>
    <t>Copper Valley Telecom</t>
  </si>
  <si>
    <t>Dahlis _crafter</t>
  </si>
  <si>
    <t>Folkmanis Puppets</t>
  </si>
  <si>
    <t>J C Marketing</t>
  </si>
  <si>
    <t>Moon Doggies / Shana Anderson</t>
  </si>
  <si>
    <t>Mythink Works</t>
  </si>
  <si>
    <t>North Pacific Fuel</t>
  </si>
  <si>
    <t>Other Vender</t>
  </si>
  <si>
    <t>Rountree Candles / Lydia Rountree</t>
  </si>
  <si>
    <t>Shrimp Whisperer</t>
  </si>
  <si>
    <t>Tailbone Designs</t>
  </si>
  <si>
    <t>Todd Communications</t>
  </si>
  <si>
    <t>Valdez Food Cache</t>
  </si>
  <si>
    <t>Valdez Museum Store</t>
  </si>
  <si>
    <t>Wells Fargo Bank</t>
  </si>
  <si>
    <t>Wilderness Expressions</t>
  </si>
  <si>
    <t>Xerox Financial Services</t>
  </si>
  <si>
    <t>Friday, Jun 09, 2023 02:30:23 PM GMT-7</t>
  </si>
  <si>
    <t>Date</t>
  </si>
  <si>
    <t>Ref No.</t>
  </si>
  <si>
    <t>Type</t>
  </si>
  <si>
    <t>Payee</t>
  </si>
  <si>
    <t>Account</t>
  </si>
  <si>
    <t>Charge</t>
  </si>
  <si>
    <t>Payment</t>
  </si>
  <si>
    <t>Reconciliation Status</t>
  </si>
  <si>
    <t>Balance</t>
  </si>
  <si>
    <t>06/06/2023</t>
  </si>
  <si>
    <t>Expenditure</t>
  </si>
  <si>
    <t>amazon prime</t>
  </si>
  <si>
    <t>8126 Supplies:Office Supplies</t>
  </si>
  <si>
    <t>06/05/2023</t>
  </si>
  <si>
    <t>8101 Cost of Goods Sold</t>
  </si>
  <si>
    <t>06/03/2023</t>
  </si>
  <si>
    <t>Microsoft</t>
  </si>
  <si>
    <t>8037 IT Services</t>
  </si>
  <si>
    <t>Dropbox</t>
  </si>
  <si>
    <t>8130 Dues and Subscriptions</t>
  </si>
  <si>
    <t>06/01/2023</t>
  </si>
  <si>
    <t>05/20/2023</t>
  </si>
  <si>
    <t>Arctic IT</t>
  </si>
  <si>
    <t>05/19/2023</t>
  </si>
  <si>
    <t>10001229209792</t>
  </si>
  <si>
    <t>Intuit</t>
  </si>
  <si>
    <t>05/16/2023</t>
  </si>
  <si>
    <t>8053 Advertising/Marketing</t>
  </si>
  <si>
    <t>05/14/2023</t>
  </si>
  <si>
    <t>05/10/2023</t>
  </si>
  <si>
    <t>apple.com</t>
  </si>
  <si>
    <t>8039 Education</t>
  </si>
  <si>
    <t>Reconciled</t>
  </si>
  <si>
    <t>Captain Joes</t>
  </si>
  <si>
    <t>8143 Travel:Travel</t>
  </si>
  <si>
    <t>05/09/2023</t>
  </si>
  <si>
    <t>Anchorage airport</t>
  </si>
  <si>
    <t>05/08/2023</t>
  </si>
  <si>
    <t>8056 Travel</t>
  </si>
  <si>
    <t>Verizon Wireless</t>
  </si>
  <si>
    <t>Telephone:Cell Phone</t>
  </si>
  <si>
    <t>05/06/2023</t>
  </si>
  <si>
    <t>Microsoft Online</t>
  </si>
  <si>
    <t>05/04/2023</t>
  </si>
  <si>
    <t>Michael's Store</t>
  </si>
  <si>
    <t>8127 Supplies:Operating</t>
  </si>
  <si>
    <t>Reluctant Fisherman</t>
  </si>
  <si>
    <t>Alaska's Select Inn</t>
  </si>
  <si>
    <t>05/02/2023</t>
  </si>
  <si>
    <t>The Net Loft</t>
  </si>
  <si>
    <t>Wallace IT Solutions</t>
  </si>
  <si>
    <t>05/01/2023</t>
  </si>
  <si>
    <t>Bill</t>
  </si>
  <si>
    <t>Business Card</t>
  </si>
  <si>
    <t>2000 Accounts Payable:Raffle Proceeds Payable</t>
  </si>
  <si>
    <t>Cleared</t>
  </si>
  <si>
    <t xml:space="preserve">5505 Bank of America  Business Card	</t>
  </si>
  <si>
    <t xml:space="preserve">May 2023 Activity </t>
  </si>
  <si>
    <t>Grants</t>
  </si>
  <si>
    <t>Earned Revenue</t>
  </si>
  <si>
    <t>Fund Development</t>
  </si>
  <si>
    <t>Personnel Expenses</t>
  </si>
  <si>
    <t>Utilities</t>
  </si>
  <si>
    <t>Professional Fees</t>
  </si>
  <si>
    <t>Collections</t>
  </si>
  <si>
    <t>Travel</t>
  </si>
  <si>
    <t>Bank Accounts</t>
  </si>
  <si>
    <t>Accounts Receivable</t>
  </si>
  <si>
    <t>Museum Endowment</t>
  </si>
  <si>
    <t>Net Income</t>
  </si>
  <si>
    <t>Accounts Payable</t>
  </si>
  <si>
    <t>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</si>
</sst>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/>
    <xf numFmtId="164" fontId="3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left" wrapText="1"/>
    </xf>
    <xf numFmtId="165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Income as of June 8,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Collapsed'!$I$8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Collapsed'!$H$9:$H$11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Collapsed'!$I$9:$I$11</c:f>
              <c:numCache>
                <c:formatCode>#,##0.00\ _€</c:formatCode>
                <c:ptCount val="3"/>
                <c:pt idx="0">
                  <c:v>10941.75</c:v>
                </c:pt>
                <c:pt idx="1">
                  <c:v>46656.1</c:v>
                </c:pt>
                <c:pt idx="2">
                  <c:v>409491.25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456-AD59-859FBA8D63AE}"/>
            </c:ext>
          </c:extLst>
        </c:ser>
        <c:ser>
          <c:idx val="1"/>
          <c:order val="1"/>
          <c:tx>
            <c:strRef>
              <c:f>'BVA Collapsed'!$J$8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Collapsed'!$H$9:$H$11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Collapsed'!$J$9:$J$11</c:f>
              <c:numCache>
                <c:formatCode>#,##0.00\ _€</c:formatCode>
                <c:ptCount val="3"/>
                <c:pt idx="0">
                  <c:v>70700</c:v>
                </c:pt>
                <c:pt idx="1">
                  <c:v>196881.53</c:v>
                </c:pt>
                <c:pt idx="2">
                  <c:v>543500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3-4456-AD59-859FBA8D63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328191"/>
        <c:axId val="18337791"/>
      </c:barChart>
      <c:catAx>
        <c:axId val="1832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7791"/>
        <c:crosses val="autoZero"/>
        <c:auto val="1"/>
        <c:lblAlgn val="ctr"/>
        <c:lblOffset val="100"/>
        <c:noMultiLvlLbl val="0"/>
      </c:catAx>
      <c:valAx>
        <c:axId val="1833779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32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Expenses as of June 9,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Collapsed'!$I$30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Collapsed'!$H$31:$H$33</c:f>
              <c:strCache>
                <c:ptCount val="3"/>
                <c:pt idx="0">
                  <c:v>Utilities</c:v>
                </c:pt>
                <c:pt idx="1">
                  <c:v>Professional Fees</c:v>
                </c:pt>
                <c:pt idx="2">
                  <c:v>Personnel Expenses</c:v>
                </c:pt>
              </c:strCache>
            </c:strRef>
          </c:cat>
          <c:val>
            <c:numRef>
              <c:f>'BVA Collapsed'!$I$31:$I$33</c:f>
              <c:numCache>
                <c:formatCode>#,##0.00\ _€</c:formatCode>
                <c:ptCount val="3"/>
                <c:pt idx="0">
                  <c:v>28812.46</c:v>
                </c:pt>
                <c:pt idx="1">
                  <c:v>15800</c:v>
                </c:pt>
                <c:pt idx="2">
                  <c:v>207956.48000000001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0F5-B8A8-A5E2C3680C30}"/>
            </c:ext>
          </c:extLst>
        </c:ser>
        <c:ser>
          <c:idx val="1"/>
          <c:order val="1"/>
          <c:tx>
            <c:strRef>
              <c:f>'BVA Collapsed'!$J$30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Collapsed'!$H$31:$H$33</c:f>
              <c:strCache>
                <c:ptCount val="3"/>
                <c:pt idx="0">
                  <c:v>Utilities</c:v>
                </c:pt>
                <c:pt idx="1">
                  <c:v>Professional Fees</c:v>
                </c:pt>
                <c:pt idx="2">
                  <c:v>Personnel Expenses</c:v>
                </c:pt>
              </c:strCache>
            </c:strRef>
          </c:cat>
          <c:val>
            <c:numRef>
              <c:f>'BVA Collapsed'!$J$31:$J$33</c:f>
              <c:numCache>
                <c:formatCode>#,##0.00\ _€</c:formatCode>
                <c:ptCount val="3"/>
                <c:pt idx="0">
                  <c:v>64980</c:v>
                </c:pt>
                <c:pt idx="1">
                  <c:v>18400</c:v>
                </c:pt>
                <c:pt idx="2">
                  <c:v>510899.86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7-40F5-B8A8-A5E2C3680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618207"/>
        <c:axId val="15619647"/>
      </c:barChart>
      <c:catAx>
        <c:axId val="1561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9647"/>
        <c:crosses val="autoZero"/>
        <c:auto val="1"/>
        <c:lblAlgn val="ctr"/>
        <c:lblOffset val="100"/>
        <c:noMultiLvlLbl val="0"/>
      </c:catAx>
      <c:valAx>
        <c:axId val="1561964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61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Comparison as of May 31,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Collapsed'!$I$8:$I$10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'SOA Collapsed'!$J$8:$J$10</c:f>
              <c:numCache>
                <c:formatCode>#,##0.00\ _€</c:formatCode>
                <c:ptCount val="3"/>
                <c:pt idx="0">
                  <c:v>10846.75</c:v>
                </c:pt>
                <c:pt idx="1">
                  <c:v>36465.25</c:v>
                </c:pt>
                <c:pt idx="2">
                  <c:v>275741.25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2-4682-84D8-7E059C37EA8B}"/>
            </c:ext>
          </c:extLst>
        </c:ser>
        <c:ser>
          <c:idx val="1"/>
          <c:order val="1"/>
          <c:tx>
            <c:strRef>
              <c:f>'SOA Collapsed'!$K$7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Collapsed'!$I$8:$I$10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'SOA Collapsed'!$K$8:$K$10</c:f>
              <c:numCache>
                <c:formatCode>#,##0.00\ _€</c:formatCode>
                <c:ptCount val="3"/>
                <c:pt idx="0">
                  <c:v>18094.98</c:v>
                </c:pt>
                <c:pt idx="1">
                  <c:v>26069.64</c:v>
                </c:pt>
                <c:pt idx="2">
                  <c:v>279400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2-4682-84D8-7E059C37EA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54335151"/>
        <c:axId val="554343311"/>
      </c:barChart>
      <c:catAx>
        <c:axId val="55433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43311"/>
        <c:crosses val="autoZero"/>
        <c:auto val="1"/>
        <c:lblAlgn val="ctr"/>
        <c:lblOffset val="100"/>
        <c:noMultiLvlLbl val="0"/>
      </c:catAx>
      <c:valAx>
        <c:axId val="55434331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5433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Comparison as of May 31,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Collapsed'!$I$34:$I$37</c:f>
              <c:strCache>
                <c:ptCount val="4"/>
                <c:pt idx="0">
                  <c:v>Travel</c:v>
                </c:pt>
                <c:pt idx="1">
                  <c:v>Personnel Expenses</c:v>
                </c:pt>
                <c:pt idx="2">
                  <c:v>Utilities</c:v>
                </c:pt>
                <c:pt idx="3">
                  <c:v>Collections</c:v>
                </c:pt>
              </c:strCache>
            </c:strRef>
          </c:cat>
          <c:val>
            <c:numRef>
              <c:f>'SOA Collapsed'!$J$34:$J$37</c:f>
              <c:numCache>
                <c:formatCode>#,##0.00\ _€</c:formatCode>
                <c:ptCount val="4"/>
                <c:pt idx="0">
                  <c:v>4304.04</c:v>
                </c:pt>
                <c:pt idx="1">
                  <c:v>188857.69</c:v>
                </c:pt>
                <c:pt idx="2">
                  <c:v>28030.67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4-40BC-88BB-66429077C1D3}"/>
            </c:ext>
          </c:extLst>
        </c:ser>
        <c:ser>
          <c:idx val="1"/>
          <c:order val="1"/>
          <c:tx>
            <c:strRef>
              <c:f>'SOA Collapsed'!$K$33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Collapsed'!$I$34:$I$37</c:f>
              <c:strCache>
                <c:ptCount val="4"/>
                <c:pt idx="0">
                  <c:v>Travel</c:v>
                </c:pt>
                <c:pt idx="1">
                  <c:v>Personnel Expenses</c:v>
                </c:pt>
                <c:pt idx="2">
                  <c:v>Utilities</c:v>
                </c:pt>
                <c:pt idx="3">
                  <c:v>Collections</c:v>
                </c:pt>
              </c:strCache>
            </c:strRef>
          </c:cat>
          <c:val>
            <c:numRef>
              <c:f>'SOA Collapsed'!$K$34:$K$37</c:f>
              <c:numCache>
                <c:formatCode>#,##0.00\ _€</c:formatCode>
                <c:ptCount val="4"/>
                <c:pt idx="0">
                  <c:v>1049.52</c:v>
                </c:pt>
                <c:pt idx="1">
                  <c:v>195190.07</c:v>
                </c:pt>
                <c:pt idx="2">
                  <c:v>37056.230000000003</c:v>
                </c:pt>
                <c:pt idx="3">
                  <c:v>3378.95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4-40BC-88BB-66429077C1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46569663"/>
        <c:axId val="546568223"/>
      </c:barChart>
      <c:catAx>
        <c:axId val="5465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68223"/>
        <c:crosses val="autoZero"/>
        <c:auto val="1"/>
        <c:lblAlgn val="ctr"/>
        <c:lblOffset val="100"/>
        <c:noMultiLvlLbl val="0"/>
      </c:catAx>
      <c:valAx>
        <c:axId val="54656822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465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of Assets as of May 31,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SOF!$I$12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SOF!$H$13:$H$15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SOF!$I$13:$I$15</c:f>
              <c:numCache>
                <c:formatCode>"$"* #,##0.00\ _€</c:formatCode>
                <c:ptCount val="3"/>
                <c:pt idx="0" formatCode="#,##0.00\ _€">
                  <c:v>1244821</c:v>
                </c:pt>
                <c:pt idx="1">
                  <c:v>6593</c:v>
                </c:pt>
                <c:pt idx="2">
                  <c:v>309277.37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1-4A45-98FE-3D3791E924F1}"/>
            </c:ext>
          </c:extLst>
        </c:ser>
        <c:ser>
          <c:idx val="1"/>
          <c:order val="1"/>
          <c:tx>
            <c:strRef>
              <c:f>SOF!$J$12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SOF!$H$13:$H$15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SOF!$J$13:$J$15</c:f>
              <c:numCache>
                <c:formatCode>"$"* #,##0.00\ _€</c:formatCode>
                <c:ptCount val="3"/>
                <c:pt idx="0" formatCode="#,##0.00\ _€">
                  <c:v>1300447</c:v>
                </c:pt>
                <c:pt idx="1">
                  <c:v>3076</c:v>
                </c:pt>
                <c:pt idx="2">
                  <c:v>275877.08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1-4A45-98FE-3D3791E924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54650047"/>
        <c:axId val="554650527"/>
      </c:barChart>
      <c:catAx>
        <c:axId val="55465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50527"/>
        <c:crosses val="autoZero"/>
        <c:auto val="1"/>
        <c:lblAlgn val="ctr"/>
        <c:lblOffset val="100"/>
        <c:noMultiLvlLbl val="0"/>
      </c:catAx>
      <c:valAx>
        <c:axId val="55465052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54650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of Liabilities as of May 31,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SOF!$I$43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SOF!$H$44:$H$46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SOF!$I$44:$I$46</c:f>
              <c:numCache>
                <c:formatCode>"$"* #,##0.00\ _€</c:formatCode>
                <c:ptCount val="3"/>
                <c:pt idx="0">
                  <c:v>1375.82</c:v>
                </c:pt>
                <c:pt idx="1">
                  <c:v>5538.84</c:v>
                </c:pt>
                <c:pt idx="2" formatCode="#,##0.00\ _€">
                  <c:v>9644.31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5-408E-9DD3-EEB7CDA8B161}"/>
            </c:ext>
          </c:extLst>
        </c:ser>
        <c:ser>
          <c:idx val="1"/>
          <c:order val="1"/>
          <c:tx>
            <c:strRef>
              <c:f>SOF!$J$43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SOF!$H$44:$H$46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SOF!$J$44:$J$46</c:f>
              <c:numCache>
                <c:formatCode>"$"* #,##0.00\ _€</c:formatCode>
                <c:ptCount val="3"/>
                <c:pt idx="0" formatCode="#,##0.00\ _€">
                  <c:v>5381.11</c:v>
                </c:pt>
                <c:pt idx="1">
                  <c:v>6270.36</c:v>
                </c:pt>
                <c:pt idx="2" formatCode="#,##0.00\ _€">
                  <c:v>-8313.0300000000007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5-408E-9DD3-EEB7CDA8B1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54647647"/>
        <c:axId val="554649567"/>
      </c:barChart>
      <c:catAx>
        <c:axId val="55464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49567"/>
        <c:crosses val="autoZero"/>
        <c:auto val="1"/>
        <c:lblAlgn val="ctr"/>
        <c:lblOffset val="100"/>
        <c:noMultiLvlLbl val="0"/>
      </c:catAx>
      <c:valAx>
        <c:axId val="554649567"/>
        <c:scaling>
          <c:orientation val="minMax"/>
        </c:scaling>
        <c:delete val="1"/>
        <c:axPos val="l"/>
        <c:numFmt formatCode="&quot;$&quot;* #,##0.00\ _€" sourceLinked="1"/>
        <c:majorTickMark val="none"/>
        <c:minorTickMark val="none"/>
        <c:tickLblPos val="nextTo"/>
        <c:crossAx val="55464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604157</xdr:colOff>
      <xdr:row>11</xdr:row>
      <xdr:rowOff>171450</xdr:rowOff>
    </xdr:from>
    <xdr:to>
      <xdr:col>12</xdr:col>
      <xdr:colOff>473529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B6B974-C216-E7A0-B1C6-9513ACDA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182217</xdr:colOff>
      <xdr:row>34</xdr:row>
      <xdr:rowOff>119270</xdr:rowOff>
    </xdr:from>
    <xdr:to>
      <xdr:col>13</xdr:col>
      <xdr:colOff>505239</xdr:colOff>
      <xdr:row>49</xdr:row>
      <xdr:rowOff>4970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5B16B4-9CA6-A371-6AC9-BF422194C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223836</xdr:colOff>
      <xdr:row>13</xdr:row>
      <xdr:rowOff>185737</xdr:rowOff>
    </xdr:from>
    <xdr:to>
      <xdr:col>14</xdr:col>
      <xdr:colOff>590549</xdr:colOff>
      <xdr:row>28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EC04C6-657E-46F3-1DD1-C87E9F054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566736</xdr:colOff>
      <xdr:row>38</xdr:row>
      <xdr:rowOff>157162</xdr:rowOff>
    </xdr:from>
    <xdr:to>
      <xdr:col>16</xdr:col>
      <xdr:colOff>209549</xdr:colOff>
      <xdr:row>53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7B001D-3630-DE23-464B-89C1A5687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17</xdr:row>
      <xdr:rowOff>119062</xdr:rowOff>
    </xdr:from>
    <xdr:to>
      <xdr:col>14</xdr:col>
      <xdr:colOff>47625</xdr:colOff>
      <xdr:row>32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BD803-2179-0995-F34D-CD7D96A8A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271461</xdr:colOff>
      <xdr:row>50</xdr:row>
      <xdr:rowOff>80962</xdr:rowOff>
    </xdr:from>
    <xdr:to>
      <xdr:col>13</xdr:col>
      <xdr:colOff>552449</xdr:colOff>
      <xdr:row>63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A39D42-BA25-3B1A-3878-80D28BD17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9"/>
  <sheetViews>
    <sheetView workbookViewId="0">
      <selection sqref="A1:E1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22" t="s">
        <v>175</v>
      </c>
      <c r="B1" s="21"/>
      <c r="C1" s="21"/>
      <c r="D1" s="21"/>
      <c r="E1" s="21"/>
    </row>
    <row r="2" spans="1:5" ht="18" x14ac:dyDescent="0.25">
      <c r="A2" s="22" t="s">
        <v>176</v>
      </c>
      <c r="B2" s="21"/>
      <c r="C2" s="21"/>
      <c r="D2" s="21"/>
      <c r="E2" s="21"/>
    </row>
    <row r="3" spans="1:5" x14ac:dyDescent="0.25">
      <c r="A3" s="23" t="s">
        <v>177</v>
      </c>
      <c r="B3" s="21"/>
      <c r="C3" s="21"/>
      <c r="D3" s="21"/>
      <c r="E3" s="21"/>
    </row>
    <row r="5" spans="1:5" x14ac:dyDescent="0.25">
      <c r="A5" s="1"/>
      <c r="B5" s="18" t="s">
        <v>0</v>
      </c>
      <c r="C5" s="19"/>
      <c r="D5" s="19"/>
      <c r="E5" s="19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9" si="0">(B8)-(C8)</f>
        <v>0</v>
      </c>
      <c r="E8" s="6" t="str">
        <f t="shared" ref="E8:E39" si="1">IF(C8=0,"",(B8)/(C8))</f>
        <v/>
      </c>
    </row>
    <row r="9" spans="1:5" x14ac:dyDescent="0.25">
      <c r="A9" s="3" t="s">
        <v>7</v>
      </c>
      <c r="B9" s="4"/>
      <c r="C9" s="5">
        <f>5000</f>
        <v>5000</v>
      </c>
      <c r="D9" s="5">
        <f t="shared" si="0"/>
        <v>-5000</v>
      </c>
      <c r="E9" s="6">
        <f t="shared" si="1"/>
        <v>0</v>
      </c>
    </row>
    <row r="10" spans="1:5" x14ac:dyDescent="0.25">
      <c r="A10" s="3" t="s">
        <v>8</v>
      </c>
      <c r="B10" s="5">
        <f>401250</f>
        <v>401250</v>
      </c>
      <c r="C10" s="5">
        <f>535000</f>
        <v>535000</v>
      </c>
      <c r="D10" s="5">
        <f t="shared" si="0"/>
        <v>-133750</v>
      </c>
      <c r="E10" s="6">
        <f t="shared" si="1"/>
        <v>0.75</v>
      </c>
    </row>
    <row r="11" spans="1:5" x14ac:dyDescent="0.25">
      <c r="A11" s="3" t="s">
        <v>9</v>
      </c>
      <c r="B11" s="5">
        <f>8241.25</f>
        <v>8241.25</v>
      </c>
      <c r="C11" s="5">
        <f>3500</f>
        <v>3500</v>
      </c>
      <c r="D11" s="5">
        <f t="shared" si="0"/>
        <v>4741.25</v>
      </c>
      <c r="E11" s="6">
        <f t="shared" si="1"/>
        <v>2.3546428571428573</v>
      </c>
    </row>
    <row r="12" spans="1:5" x14ac:dyDescent="0.25">
      <c r="A12" s="3" t="s">
        <v>10</v>
      </c>
      <c r="B12" s="7">
        <f>(((B8)+(B9))+(B10))+(B11)</f>
        <v>409491.25</v>
      </c>
      <c r="C12" s="7">
        <f>(((C8)+(C9))+(C10))+(C11)</f>
        <v>543500</v>
      </c>
      <c r="D12" s="7">
        <f t="shared" si="0"/>
        <v>-134008.75</v>
      </c>
      <c r="E12" s="8">
        <f t="shared" si="1"/>
        <v>0.75343376264949402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761.75</f>
        <v>761.75</v>
      </c>
      <c r="C15" s="5">
        <f>6750</f>
        <v>6750</v>
      </c>
      <c r="D15" s="5">
        <f t="shared" si="0"/>
        <v>-5988.25</v>
      </c>
      <c r="E15" s="6">
        <f t="shared" si="1"/>
        <v>0.11285185185185186</v>
      </c>
    </row>
    <row r="16" spans="1:5" x14ac:dyDescent="0.25">
      <c r="A16" s="3" t="s">
        <v>14</v>
      </c>
      <c r="B16" s="5">
        <f>100</f>
        <v>100</v>
      </c>
      <c r="C16" s="5">
        <f>13250</f>
        <v>13250</v>
      </c>
      <c r="D16" s="5">
        <f t="shared" si="0"/>
        <v>-13150</v>
      </c>
      <c r="E16" s="6">
        <f t="shared" si="1"/>
        <v>7.5471698113207548E-3</v>
      </c>
    </row>
    <row r="17" spans="1:5" x14ac:dyDescent="0.25">
      <c r="A17" s="3" t="s">
        <v>15</v>
      </c>
      <c r="B17" s="7">
        <f>((B14)+(B15))+(B16)</f>
        <v>861.75</v>
      </c>
      <c r="C17" s="7">
        <f>((C14)+(C15))+(C16)</f>
        <v>20000</v>
      </c>
      <c r="D17" s="7">
        <f t="shared" si="0"/>
        <v>-19138.25</v>
      </c>
      <c r="E17" s="8">
        <f t="shared" si="1"/>
        <v>4.3087500000000001E-2</v>
      </c>
    </row>
    <row r="18" spans="1:5" x14ac:dyDescent="0.25">
      <c r="A18" s="3" t="s">
        <v>16</v>
      </c>
      <c r="B18" s="5">
        <f>1200</f>
        <v>1200</v>
      </c>
      <c r="C18" s="5">
        <f>10000</f>
        <v>10000</v>
      </c>
      <c r="D18" s="5">
        <f t="shared" si="0"/>
        <v>-8800</v>
      </c>
      <c r="E18" s="6">
        <f t="shared" si="1"/>
        <v>0.12</v>
      </c>
    </row>
    <row r="19" spans="1:5" x14ac:dyDescent="0.25">
      <c r="A19" s="3" t="s">
        <v>17</v>
      </c>
      <c r="B19" s="5">
        <f>3825</f>
        <v>3825</v>
      </c>
      <c r="C19" s="5">
        <f>4200</f>
        <v>4200</v>
      </c>
      <c r="D19" s="5">
        <f t="shared" si="0"/>
        <v>-375</v>
      </c>
      <c r="E19" s="6">
        <f t="shared" si="1"/>
        <v>0.9107142857142857</v>
      </c>
    </row>
    <row r="20" spans="1:5" x14ac:dyDescent="0.25">
      <c r="A20" s="3" t="s">
        <v>18</v>
      </c>
      <c r="B20" s="4"/>
      <c r="C20" s="5">
        <f>4000</f>
        <v>4000</v>
      </c>
      <c r="D20" s="5">
        <f t="shared" si="0"/>
        <v>-4000</v>
      </c>
      <c r="E20" s="6">
        <f t="shared" si="1"/>
        <v>0</v>
      </c>
    </row>
    <row r="21" spans="1:5" x14ac:dyDescent="0.25">
      <c r="A21" s="3" t="s">
        <v>19</v>
      </c>
      <c r="B21" s="4"/>
      <c r="C21" s="5">
        <f>20000</f>
        <v>20000</v>
      </c>
      <c r="D21" s="5">
        <f t="shared" si="0"/>
        <v>-20000</v>
      </c>
      <c r="E21" s="6">
        <f t="shared" si="1"/>
        <v>0</v>
      </c>
    </row>
    <row r="22" spans="1:5" x14ac:dyDescent="0.25">
      <c r="A22" s="3" t="s">
        <v>20</v>
      </c>
      <c r="B22" s="5">
        <f>5030</f>
        <v>5030</v>
      </c>
      <c r="C22" s="5">
        <f>12500</f>
        <v>12500</v>
      </c>
      <c r="D22" s="5">
        <f t="shared" si="0"/>
        <v>-7470</v>
      </c>
      <c r="E22" s="6">
        <f t="shared" si="1"/>
        <v>0.40239999999999998</v>
      </c>
    </row>
    <row r="23" spans="1:5" x14ac:dyDescent="0.25">
      <c r="A23" s="3" t="s">
        <v>21</v>
      </c>
      <c r="B23" s="4"/>
      <c r="C23" s="4"/>
      <c r="D23" s="5">
        <f t="shared" si="0"/>
        <v>0</v>
      </c>
      <c r="E23" s="6" t="str">
        <f t="shared" si="1"/>
        <v/>
      </c>
    </row>
    <row r="24" spans="1:5" x14ac:dyDescent="0.25">
      <c r="A24" s="3" t="s">
        <v>22</v>
      </c>
      <c r="B24" s="5">
        <f>25</f>
        <v>25</v>
      </c>
      <c r="C24" s="4"/>
      <c r="D24" s="5">
        <f t="shared" si="0"/>
        <v>25</v>
      </c>
      <c r="E24" s="6" t="str">
        <f t="shared" si="1"/>
        <v/>
      </c>
    </row>
    <row r="25" spans="1:5" x14ac:dyDescent="0.25">
      <c r="A25" s="3" t="s">
        <v>23</v>
      </c>
      <c r="B25" s="7">
        <f>(B23)+(B24)</f>
        <v>25</v>
      </c>
      <c r="C25" s="7">
        <f>(C23)+(C24)</f>
        <v>0</v>
      </c>
      <c r="D25" s="7">
        <f t="shared" si="0"/>
        <v>25</v>
      </c>
      <c r="E25" s="8" t="str">
        <f t="shared" si="1"/>
        <v/>
      </c>
    </row>
    <row r="26" spans="1:5" x14ac:dyDescent="0.25">
      <c r="A26" s="3" t="s">
        <v>24</v>
      </c>
      <c r="B26" s="7">
        <f>(((((((B13)+(B17))+(B18))+(B19))+(B20))+(B21))+(B22))+(B25)</f>
        <v>10941.75</v>
      </c>
      <c r="C26" s="7">
        <f>(((((((C13)+(C17))+(C18))+(C19))+(C20))+(C21))+(C22))+(C25)</f>
        <v>70700</v>
      </c>
      <c r="D26" s="7">
        <f t="shared" si="0"/>
        <v>-59758.25</v>
      </c>
      <c r="E26" s="8">
        <f t="shared" si="1"/>
        <v>0.15476308345120227</v>
      </c>
    </row>
    <row r="27" spans="1:5" x14ac:dyDescent="0.25">
      <c r="A27" s="3" t="s">
        <v>25</v>
      </c>
      <c r="B27" s="5">
        <f>1216.03</f>
        <v>1216.03</v>
      </c>
      <c r="C27" s="5">
        <f>3000</f>
        <v>3000</v>
      </c>
      <c r="D27" s="5">
        <f t="shared" si="0"/>
        <v>-1783.97</v>
      </c>
      <c r="E27" s="6">
        <f t="shared" si="1"/>
        <v>0.40534333333333333</v>
      </c>
    </row>
    <row r="28" spans="1:5" x14ac:dyDescent="0.25">
      <c r="A28" s="3" t="s">
        <v>26</v>
      </c>
      <c r="B28" s="4"/>
      <c r="C28" s="4"/>
      <c r="D28" s="5">
        <f t="shared" si="0"/>
        <v>0</v>
      </c>
      <c r="E28" s="6" t="str">
        <f t="shared" si="1"/>
        <v/>
      </c>
    </row>
    <row r="29" spans="1:5" x14ac:dyDescent="0.25">
      <c r="A29" s="3" t="s">
        <v>27</v>
      </c>
      <c r="B29" s="5">
        <f>10</f>
        <v>10</v>
      </c>
      <c r="C29" s="5">
        <f>75</f>
        <v>75</v>
      </c>
      <c r="D29" s="5">
        <f t="shared" si="0"/>
        <v>-65</v>
      </c>
      <c r="E29" s="6">
        <f t="shared" si="1"/>
        <v>0.13333333333333333</v>
      </c>
    </row>
    <row r="30" spans="1:5" x14ac:dyDescent="0.25">
      <c r="A30" s="3" t="s">
        <v>28</v>
      </c>
      <c r="B30" s="4"/>
      <c r="C30" s="4"/>
      <c r="D30" s="5">
        <f t="shared" si="0"/>
        <v>0</v>
      </c>
      <c r="E30" s="6" t="str">
        <f t="shared" si="1"/>
        <v/>
      </c>
    </row>
    <row r="31" spans="1:5" x14ac:dyDescent="0.25">
      <c r="A31" s="3" t="s">
        <v>29</v>
      </c>
      <c r="B31" s="5">
        <f>3350</f>
        <v>3350</v>
      </c>
      <c r="C31" s="5">
        <f>15000</f>
        <v>15000</v>
      </c>
      <c r="D31" s="5">
        <f t="shared" si="0"/>
        <v>-11650</v>
      </c>
      <c r="E31" s="6">
        <f t="shared" si="1"/>
        <v>0.22333333333333333</v>
      </c>
    </row>
    <row r="32" spans="1:5" x14ac:dyDescent="0.25">
      <c r="A32" s="3" t="s">
        <v>30</v>
      </c>
      <c r="B32" s="5">
        <f>5964</f>
        <v>5964</v>
      </c>
      <c r="C32" s="5">
        <f>51000</f>
        <v>51000</v>
      </c>
      <c r="D32" s="5">
        <f t="shared" si="0"/>
        <v>-45036</v>
      </c>
      <c r="E32" s="6">
        <f t="shared" si="1"/>
        <v>0.11694117647058823</v>
      </c>
    </row>
    <row r="33" spans="1:5" x14ac:dyDescent="0.25">
      <c r="A33" s="3" t="s">
        <v>31</v>
      </c>
      <c r="B33" s="5">
        <f>1725</f>
        <v>1725</v>
      </c>
      <c r="C33" s="5">
        <f>1000</f>
        <v>1000</v>
      </c>
      <c r="D33" s="5">
        <f t="shared" si="0"/>
        <v>725</v>
      </c>
      <c r="E33" s="6">
        <f t="shared" si="1"/>
        <v>1.7250000000000001</v>
      </c>
    </row>
    <row r="34" spans="1:5" x14ac:dyDescent="0.25">
      <c r="A34" s="3" t="s">
        <v>32</v>
      </c>
      <c r="B34" s="5">
        <f>23109</f>
        <v>23109</v>
      </c>
      <c r="C34" s="5">
        <f>65250</f>
        <v>65250</v>
      </c>
      <c r="D34" s="5">
        <f t="shared" si="0"/>
        <v>-42141</v>
      </c>
      <c r="E34" s="6">
        <f t="shared" si="1"/>
        <v>0.35416091954022988</v>
      </c>
    </row>
    <row r="35" spans="1:5" x14ac:dyDescent="0.25">
      <c r="A35" s="3" t="s">
        <v>33</v>
      </c>
      <c r="B35" s="5">
        <f>750</f>
        <v>750</v>
      </c>
      <c r="C35" s="5">
        <f>1500</f>
        <v>1500</v>
      </c>
      <c r="D35" s="5">
        <f t="shared" si="0"/>
        <v>-750</v>
      </c>
      <c r="E35" s="6">
        <f t="shared" si="1"/>
        <v>0.5</v>
      </c>
    </row>
    <row r="36" spans="1:5" x14ac:dyDescent="0.25">
      <c r="A36" s="3" t="s">
        <v>34</v>
      </c>
      <c r="B36" s="7">
        <f>(((((B30)+(B31))+(B32))+(B33))+(B34))+(B35)</f>
        <v>34898</v>
      </c>
      <c r="C36" s="7">
        <f>(((((C30)+(C31))+(C32))+(C33))+(C34))+(C35)</f>
        <v>133750</v>
      </c>
      <c r="D36" s="7">
        <f t="shared" si="0"/>
        <v>-98852</v>
      </c>
      <c r="E36" s="8">
        <f t="shared" si="1"/>
        <v>0.26091962616822428</v>
      </c>
    </row>
    <row r="37" spans="1:5" x14ac:dyDescent="0.25">
      <c r="A37" s="3" t="s">
        <v>35</v>
      </c>
      <c r="B37" s="4"/>
      <c r="C37" s="4"/>
      <c r="D37" s="5">
        <f t="shared" si="0"/>
        <v>0</v>
      </c>
      <c r="E37" s="6" t="str">
        <f t="shared" si="1"/>
        <v/>
      </c>
    </row>
    <row r="38" spans="1:5" x14ac:dyDescent="0.25">
      <c r="A38" s="3" t="s">
        <v>36</v>
      </c>
      <c r="B38" s="5">
        <f>10</f>
        <v>10</v>
      </c>
      <c r="C38" s="4"/>
      <c r="D38" s="5">
        <f t="shared" si="0"/>
        <v>10</v>
      </c>
      <c r="E38" s="6" t="str">
        <f t="shared" si="1"/>
        <v/>
      </c>
    </row>
    <row r="39" spans="1:5" x14ac:dyDescent="0.25">
      <c r="A39" s="3" t="s">
        <v>37</v>
      </c>
      <c r="B39" s="5">
        <f>88.85</f>
        <v>88.85</v>
      </c>
      <c r="C39" s="4"/>
      <c r="D39" s="5">
        <f t="shared" si="0"/>
        <v>88.85</v>
      </c>
      <c r="E39" s="6" t="str">
        <f t="shared" si="1"/>
        <v/>
      </c>
    </row>
    <row r="40" spans="1:5" x14ac:dyDescent="0.25">
      <c r="A40" s="3" t="s">
        <v>38</v>
      </c>
      <c r="B40" s="7">
        <f>((B37)+(B38))+(B39)</f>
        <v>98.85</v>
      </c>
      <c r="C40" s="7">
        <f>((C37)+(C38))+(C39)</f>
        <v>0</v>
      </c>
      <c r="D40" s="7">
        <f t="shared" ref="D40:D71" si="2">(B40)-(C40)</f>
        <v>98.85</v>
      </c>
      <c r="E40" s="8" t="str">
        <f t="shared" ref="E40:E71" si="3">IF(C40=0,"",(B40)/(C40))</f>
        <v/>
      </c>
    </row>
    <row r="41" spans="1:5" x14ac:dyDescent="0.25">
      <c r="A41" s="3" t="s">
        <v>39</v>
      </c>
      <c r="B41" s="5">
        <f>19</f>
        <v>19</v>
      </c>
      <c r="C41" s="4"/>
      <c r="D41" s="5">
        <f t="shared" si="2"/>
        <v>19</v>
      </c>
      <c r="E41" s="6" t="str">
        <f t="shared" si="3"/>
        <v/>
      </c>
    </row>
    <row r="42" spans="1:5" x14ac:dyDescent="0.25">
      <c r="A42" s="3" t="s">
        <v>40</v>
      </c>
      <c r="B42" s="5">
        <f>425</f>
        <v>425</v>
      </c>
      <c r="C42" s="5">
        <f>1000</f>
        <v>1000</v>
      </c>
      <c r="D42" s="5">
        <f t="shared" si="2"/>
        <v>-575</v>
      </c>
      <c r="E42" s="6">
        <f t="shared" si="3"/>
        <v>0.42499999999999999</v>
      </c>
    </row>
    <row r="43" spans="1:5" x14ac:dyDescent="0.25">
      <c r="A43" s="3" t="s">
        <v>41</v>
      </c>
      <c r="B43" s="7">
        <f>(B41)+(B42)</f>
        <v>444</v>
      </c>
      <c r="C43" s="7">
        <f>(C41)+(C42)</f>
        <v>1000</v>
      </c>
      <c r="D43" s="7">
        <f t="shared" si="2"/>
        <v>-556</v>
      </c>
      <c r="E43" s="8">
        <f t="shared" si="3"/>
        <v>0.44400000000000001</v>
      </c>
    </row>
    <row r="44" spans="1:5" x14ac:dyDescent="0.25">
      <c r="A44" s="3" t="s">
        <v>42</v>
      </c>
      <c r="B44" s="4"/>
      <c r="C44" s="4"/>
      <c r="D44" s="5">
        <f t="shared" si="2"/>
        <v>0</v>
      </c>
      <c r="E44" s="6" t="str">
        <f t="shared" si="3"/>
        <v/>
      </c>
    </row>
    <row r="45" spans="1:5" x14ac:dyDescent="0.25">
      <c r="A45" s="3" t="s">
        <v>43</v>
      </c>
      <c r="B45" s="5">
        <f>7.95</f>
        <v>7.95</v>
      </c>
      <c r="C45" s="5">
        <f>350</f>
        <v>350</v>
      </c>
      <c r="D45" s="5">
        <f t="shared" si="2"/>
        <v>-342.05</v>
      </c>
      <c r="E45" s="6">
        <f t="shared" si="3"/>
        <v>2.2714285714285715E-2</v>
      </c>
    </row>
    <row r="46" spans="1:5" x14ac:dyDescent="0.25">
      <c r="A46" s="3" t="s">
        <v>44</v>
      </c>
      <c r="B46" s="5">
        <f>1357.78</f>
        <v>1357.78</v>
      </c>
      <c r="C46" s="5">
        <f>7710.53</f>
        <v>7710.53</v>
      </c>
      <c r="D46" s="5">
        <f t="shared" si="2"/>
        <v>-6352.75</v>
      </c>
      <c r="E46" s="6">
        <f t="shared" si="3"/>
        <v>0.17609425033039233</v>
      </c>
    </row>
    <row r="47" spans="1:5" x14ac:dyDescent="0.25">
      <c r="A47" s="3" t="s">
        <v>45</v>
      </c>
      <c r="B47" s="5">
        <f>269.58</f>
        <v>269.58</v>
      </c>
      <c r="C47" s="5">
        <f>2750</f>
        <v>2750</v>
      </c>
      <c r="D47" s="5">
        <f t="shared" si="2"/>
        <v>-2480.42</v>
      </c>
      <c r="E47" s="6">
        <f t="shared" si="3"/>
        <v>9.8029090909090899E-2</v>
      </c>
    </row>
    <row r="48" spans="1:5" x14ac:dyDescent="0.25">
      <c r="A48" s="3" t="s">
        <v>46</v>
      </c>
      <c r="B48" s="5">
        <f>2071.98</f>
        <v>2071.98</v>
      </c>
      <c r="C48" s="5">
        <f>7500</f>
        <v>7500</v>
      </c>
      <c r="D48" s="5">
        <f t="shared" si="2"/>
        <v>-5428.02</v>
      </c>
      <c r="E48" s="6">
        <f t="shared" si="3"/>
        <v>0.27626400000000001</v>
      </c>
    </row>
    <row r="49" spans="1:5" x14ac:dyDescent="0.25">
      <c r="A49" s="3" t="s">
        <v>47</v>
      </c>
      <c r="B49" s="5">
        <f>83</f>
        <v>83</v>
      </c>
      <c r="C49" s="5">
        <f>200</f>
        <v>200</v>
      </c>
      <c r="D49" s="5">
        <f t="shared" si="2"/>
        <v>-117</v>
      </c>
      <c r="E49" s="6">
        <f t="shared" si="3"/>
        <v>0.41499999999999998</v>
      </c>
    </row>
    <row r="50" spans="1:5" x14ac:dyDescent="0.25">
      <c r="A50" s="3" t="s">
        <v>48</v>
      </c>
      <c r="B50" s="5">
        <f>80</f>
        <v>80</v>
      </c>
      <c r="C50" s="5">
        <f>1750</f>
        <v>1750</v>
      </c>
      <c r="D50" s="5">
        <f t="shared" si="2"/>
        <v>-1670</v>
      </c>
      <c r="E50" s="6">
        <f t="shared" si="3"/>
        <v>4.5714285714285714E-2</v>
      </c>
    </row>
    <row r="51" spans="1:5" x14ac:dyDescent="0.25">
      <c r="A51" s="3" t="s">
        <v>49</v>
      </c>
      <c r="B51" s="5">
        <f>10</f>
        <v>10</v>
      </c>
      <c r="C51" s="5">
        <f>1</f>
        <v>1</v>
      </c>
      <c r="D51" s="5">
        <f t="shared" si="2"/>
        <v>9</v>
      </c>
      <c r="E51" s="6">
        <f t="shared" si="3"/>
        <v>10</v>
      </c>
    </row>
    <row r="52" spans="1:5" x14ac:dyDescent="0.25">
      <c r="A52" s="3" t="s">
        <v>50</v>
      </c>
      <c r="B52" s="5">
        <f>0</f>
        <v>0</v>
      </c>
      <c r="C52" s="4"/>
      <c r="D52" s="5">
        <f t="shared" si="2"/>
        <v>0</v>
      </c>
      <c r="E52" s="6" t="str">
        <f t="shared" si="3"/>
        <v/>
      </c>
    </row>
    <row r="53" spans="1:5" x14ac:dyDescent="0.25">
      <c r="A53" s="3" t="s">
        <v>51</v>
      </c>
      <c r="B53" s="5">
        <f>221</f>
        <v>221</v>
      </c>
      <c r="C53" s="5">
        <f>1500</f>
        <v>1500</v>
      </c>
      <c r="D53" s="5">
        <f t="shared" si="2"/>
        <v>-1279</v>
      </c>
      <c r="E53" s="6">
        <f t="shared" si="3"/>
        <v>0.14733333333333334</v>
      </c>
    </row>
    <row r="54" spans="1:5" x14ac:dyDescent="0.25">
      <c r="A54" s="3" t="s">
        <v>52</v>
      </c>
      <c r="B54" s="5">
        <f>264.35</f>
        <v>264.35000000000002</v>
      </c>
      <c r="C54" s="5">
        <f>2000</f>
        <v>2000</v>
      </c>
      <c r="D54" s="5">
        <f t="shared" si="2"/>
        <v>-1735.65</v>
      </c>
      <c r="E54" s="6">
        <f t="shared" si="3"/>
        <v>0.13217500000000001</v>
      </c>
    </row>
    <row r="55" spans="1:5" x14ac:dyDescent="0.25">
      <c r="A55" s="3" t="s">
        <v>53</v>
      </c>
      <c r="B55" s="5">
        <f>74</f>
        <v>74</v>
      </c>
      <c r="C55" s="5">
        <f>350</f>
        <v>350</v>
      </c>
      <c r="D55" s="5">
        <f t="shared" si="2"/>
        <v>-276</v>
      </c>
      <c r="E55" s="6">
        <f t="shared" si="3"/>
        <v>0.21142857142857144</v>
      </c>
    </row>
    <row r="56" spans="1:5" x14ac:dyDescent="0.25">
      <c r="A56" s="3" t="s">
        <v>54</v>
      </c>
      <c r="B56" s="5">
        <f>918</f>
        <v>918</v>
      </c>
      <c r="C56" s="5">
        <f>4000</f>
        <v>4000</v>
      </c>
      <c r="D56" s="5">
        <f t="shared" si="2"/>
        <v>-3082</v>
      </c>
      <c r="E56" s="6">
        <f t="shared" si="3"/>
        <v>0.22950000000000001</v>
      </c>
    </row>
    <row r="57" spans="1:5" x14ac:dyDescent="0.25">
      <c r="A57" s="3" t="s">
        <v>55</v>
      </c>
      <c r="B57" s="5">
        <f>70</f>
        <v>70</v>
      </c>
      <c r="C57" s="5">
        <f>250</f>
        <v>250</v>
      </c>
      <c r="D57" s="5">
        <f t="shared" si="2"/>
        <v>-180</v>
      </c>
      <c r="E57" s="6">
        <f t="shared" si="3"/>
        <v>0.28000000000000003</v>
      </c>
    </row>
    <row r="58" spans="1:5" x14ac:dyDescent="0.25">
      <c r="A58" s="3" t="s">
        <v>56</v>
      </c>
      <c r="B58" s="5">
        <f>105.58</f>
        <v>105.58</v>
      </c>
      <c r="C58" s="5">
        <f>750</f>
        <v>750</v>
      </c>
      <c r="D58" s="5">
        <f t="shared" si="2"/>
        <v>-644.41999999999996</v>
      </c>
      <c r="E58" s="6">
        <f t="shared" si="3"/>
        <v>0.14077333333333333</v>
      </c>
    </row>
    <row r="59" spans="1:5" x14ac:dyDescent="0.25">
      <c r="A59" s="3" t="s">
        <v>57</v>
      </c>
      <c r="B59" s="5">
        <f>234</f>
        <v>234</v>
      </c>
      <c r="C59" s="5">
        <f>2250</f>
        <v>2250</v>
      </c>
      <c r="D59" s="5">
        <f t="shared" si="2"/>
        <v>-2016</v>
      </c>
      <c r="E59" s="6">
        <f t="shared" si="3"/>
        <v>0.104</v>
      </c>
    </row>
    <row r="60" spans="1:5" x14ac:dyDescent="0.25">
      <c r="A60" s="3" t="s">
        <v>58</v>
      </c>
      <c r="B60" s="4"/>
      <c r="C60" s="5">
        <f>50</f>
        <v>50</v>
      </c>
      <c r="D60" s="5">
        <f t="shared" si="2"/>
        <v>-50</v>
      </c>
      <c r="E60" s="6">
        <f t="shared" si="3"/>
        <v>0</v>
      </c>
    </row>
    <row r="61" spans="1:5" x14ac:dyDescent="0.25">
      <c r="A61" s="3" t="s">
        <v>59</v>
      </c>
      <c r="B61" s="5">
        <f>292.25</f>
        <v>292.25</v>
      </c>
      <c r="C61" s="5">
        <f>2250</f>
        <v>2250</v>
      </c>
      <c r="D61" s="5">
        <f t="shared" si="2"/>
        <v>-1957.75</v>
      </c>
      <c r="E61" s="6">
        <f t="shared" si="3"/>
        <v>0.12988888888888889</v>
      </c>
    </row>
    <row r="62" spans="1:5" x14ac:dyDescent="0.25">
      <c r="A62" s="3" t="s">
        <v>60</v>
      </c>
      <c r="B62" s="5">
        <f>776.16</f>
        <v>776.16</v>
      </c>
      <c r="C62" s="5">
        <f>3500</f>
        <v>3500</v>
      </c>
      <c r="D62" s="5">
        <f t="shared" si="2"/>
        <v>-2723.84</v>
      </c>
      <c r="E62" s="6">
        <f t="shared" si="3"/>
        <v>0.22175999999999998</v>
      </c>
    </row>
    <row r="63" spans="1:5" x14ac:dyDescent="0.25">
      <c r="A63" s="3" t="s">
        <v>61</v>
      </c>
      <c r="B63" s="5">
        <f>150.9</f>
        <v>150.9</v>
      </c>
      <c r="C63" s="5">
        <f>2000</f>
        <v>2000</v>
      </c>
      <c r="D63" s="5">
        <f t="shared" si="2"/>
        <v>-1849.1</v>
      </c>
      <c r="E63" s="6">
        <f t="shared" si="3"/>
        <v>7.5450000000000003E-2</v>
      </c>
    </row>
    <row r="64" spans="1:5" x14ac:dyDescent="0.25">
      <c r="A64" s="3" t="s">
        <v>62</v>
      </c>
      <c r="B64" s="5">
        <f>-91.22</f>
        <v>-91.22</v>
      </c>
      <c r="C64" s="5">
        <f>-750</f>
        <v>-750</v>
      </c>
      <c r="D64" s="5">
        <f t="shared" si="2"/>
        <v>658.78</v>
      </c>
      <c r="E64" s="6">
        <f t="shared" si="3"/>
        <v>0.12162666666666666</v>
      </c>
    </row>
    <row r="65" spans="1:5" x14ac:dyDescent="0.25">
      <c r="A65" s="3" t="s">
        <v>63</v>
      </c>
      <c r="B65" s="4"/>
      <c r="C65" s="5">
        <f>250</f>
        <v>250</v>
      </c>
      <c r="D65" s="5">
        <f t="shared" si="2"/>
        <v>-250</v>
      </c>
      <c r="E65" s="6">
        <f t="shared" si="3"/>
        <v>0</v>
      </c>
    </row>
    <row r="66" spans="1:5" x14ac:dyDescent="0.25">
      <c r="A66" s="3" t="s">
        <v>64</v>
      </c>
      <c r="B66" s="4"/>
      <c r="C66" s="5">
        <f>75</f>
        <v>75</v>
      </c>
      <c r="D66" s="5">
        <f t="shared" si="2"/>
        <v>-75</v>
      </c>
      <c r="E66" s="6">
        <f t="shared" si="3"/>
        <v>0</v>
      </c>
    </row>
    <row r="67" spans="1:5" x14ac:dyDescent="0.25">
      <c r="A67" s="3" t="s">
        <v>65</v>
      </c>
      <c r="B67" s="5">
        <f>389</f>
        <v>389</v>
      </c>
      <c r="C67" s="5">
        <f>2500</f>
        <v>2500</v>
      </c>
      <c r="D67" s="5">
        <f t="shared" si="2"/>
        <v>-2111</v>
      </c>
      <c r="E67" s="6">
        <f t="shared" si="3"/>
        <v>0.15559999999999999</v>
      </c>
    </row>
    <row r="68" spans="1:5" x14ac:dyDescent="0.25">
      <c r="A68" s="3" t="s">
        <v>66</v>
      </c>
      <c r="B68" s="4"/>
      <c r="C68" s="5">
        <f>200</f>
        <v>200</v>
      </c>
      <c r="D68" s="5">
        <f t="shared" si="2"/>
        <v>-200</v>
      </c>
      <c r="E68" s="6">
        <f t="shared" si="3"/>
        <v>0</v>
      </c>
    </row>
    <row r="69" spans="1:5" x14ac:dyDescent="0.25">
      <c r="A69" s="3" t="s">
        <v>67</v>
      </c>
      <c r="B69" s="5">
        <f>1071.5</f>
        <v>1071.5</v>
      </c>
      <c r="C69" s="5">
        <f>7500</f>
        <v>7500</v>
      </c>
      <c r="D69" s="5">
        <f t="shared" si="2"/>
        <v>-6428.5</v>
      </c>
      <c r="E69" s="6">
        <f t="shared" si="3"/>
        <v>0.14286666666666667</v>
      </c>
    </row>
    <row r="70" spans="1:5" x14ac:dyDescent="0.25">
      <c r="A70" s="3" t="s">
        <v>68</v>
      </c>
      <c r="B70" s="5">
        <f>58.5</f>
        <v>58.5</v>
      </c>
      <c r="C70" s="5">
        <f>375</f>
        <v>375</v>
      </c>
      <c r="D70" s="5">
        <f t="shared" si="2"/>
        <v>-316.5</v>
      </c>
      <c r="E70" s="6">
        <f t="shared" si="3"/>
        <v>0.156</v>
      </c>
    </row>
    <row r="71" spans="1:5" x14ac:dyDescent="0.25">
      <c r="A71" s="3" t="s">
        <v>69</v>
      </c>
      <c r="B71" s="5">
        <f>330</f>
        <v>330</v>
      </c>
      <c r="C71" s="5">
        <f>3000</f>
        <v>3000</v>
      </c>
      <c r="D71" s="5">
        <f t="shared" si="2"/>
        <v>-2670</v>
      </c>
      <c r="E71" s="6">
        <f t="shared" si="3"/>
        <v>0.11</v>
      </c>
    </row>
    <row r="72" spans="1:5" x14ac:dyDescent="0.25">
      <c r="A72" s="3" t="s">
        <v>70</v>
      </c>
      <c r="B72" s="5">
        <f>401</f>
        <v>401</v>
      </c>
      <c r="C72" s="5">
        <f>750</f>
        <v>750</v>
      </c>
      <c r="D72" s="5">
        <f t="shared" ref="D72:D92" si="4">(B72)-(C72)</f>
        <v>-349</v>
      </c>
      <c r="E72" s="6">
        <f t="shared" ref="E72:E92" si="5">IF(C72=0,"",(B72)/(C72))</f>
        <v>0.53466666666666662</v>
      </c>
    </row>
    <row r="73" spans="1:5" x14ac:dyDescent="0.25">
      <c r="A73" s="3" t="s">
        <v>71</v>
      </c>
      <c r="B73" s="5">
        <f>30</f>
        <v>30</v>
      </c>
      <c r="C73" s="5">
        <f>75</f>
        <v>75</v>
      </c>
      <c r="D73" s="5">
        <f t="shared" si="4"/>
        <v>-45</v>
      </c>
      <c r="E73" s="6">
        <f t="shared" si="5"/>
        <v>0.4</v>
      </c>
    </row>
    <row r="74" spans="1:5" x14ac:dyDescent="0.25">
      <c r="A74" s="3" t="s">
        <v>72</v>
      </c>
      <c r="B74" s="5">
        <f>104</f>
        <v>104</v>
      </c>
      <c r="C74" s="5">
        <f>375</f>
        <v>375</v>
      </c>
      <c r="D74" s="5">
        <f t="shared" si="4"/>
        <v>-271</v>
      </c>
      <c r="E74" s="6">
        <f t="shared" si="5"/>
        <v>0.27733333333333332</v>
      </c>
    </row>
    <row r="75" spans="1:5" x14ac:dyDescent="0.25">
      <c r="A75" s="3" t="s">
        <v>73</v>
      </c>
      <c r="B75" s="5">
        <f>6</f>
        <v>6</v>
      </c>
      <c r="C75" s="5">
        <f>75</f>
        <v>75</v>
      </c>
      <c r="D75" s="5">
        <f t="shared" si="4"/>
        <v>-69</v>
      </c>
      <c r="E75" s="6">
        <f t="shared" si="5"/>
        <v>0.08</v>
      </c>
    </row>
    <row r="76" spans="1:5" x14ac:dyDescent="0.25">
      <c r="A76" s="3" t="s">
        <v>74</v>
      </c>
      <c r="B76" s="5">
        <f>181</f>
        <v>181</v>
      </c>
      <c r="C76" s="5">
        <f>1250</f>
        <v>1250</v>
      </c>
      <c r="D76" s="5">
        <f t="shared" si="4"/>
        <v>-1069</v>
      </c>
      <c r="E76" s="6">
        <f t="shared" si="5"/>
        <v>0.14480000000000001</v>
      </c>
    </row>
    <row r="77" spans="1:5" x14ac:dyDescent="0.25">
      <c r="A77" s="3" t="s">
        <v>75</v>
      </c>
      <c r="B77" s="5">
        <f>66</f>
        <v>66</v>
      </c>
      <c r="C77" s="5">
        <f>300</f>
        <v>300</v>
      </c>
      <c r="D77" s="5">
        <f t="shared" si="4"/>
        <v>-234</v>
      </c>
      <c r="E77" s="6">
        <f t="shared" si="5"/>
        <v>0.22</v>
      </c>
    </row>
    <row r="78" spans="1:5" x14ac:dyDescent="0.25">
      <c r="A78" s="3" t="s">
        <v>76</v>
      </c>
      <c r="B78" s="4"/>
      <c r="C78" s="5">
        <f>300</f>
        <v>300</v>
      </c>
      <c r="D78" s="5">
        <f t="shared" si="4"/>
        <v>-300</v>
      </c>
      <c r="E78" s="6">
        <f t="shared" si="5"/>
        <v>0</v>
      </c>
    </row>
    <row r="79" spans="1:5" x14ac:dyDescent="0.25">
      <c r="A79" s="3" t="s">
        <v>77</v>
      </c>
      <c r="B79" s="4"/>
      <c r="C79" s="5">
        <f>75</f>
        <v>75</v>
      </c>
      <c r="D79" s="5">
        <f t="shared" si="4"/>
        <v>-75</v>
      </c>
      <c r="E79" s="6">
        <f t="shared" si="5"/>
        <v>0</v>
      </c>
    </row>
    <row r="80" spans="1:5" x14ac:dyDescent="0.25">
      <c r="A80" s="3" t="s">
        <v>78</v>
      </c>
      <c r="B80" s="5">
        <f>565.94</f>
        <v>565.94000000000005</v>
      </c>
      <c r="C80" s="5">
        <f>1250</f>
        <v>1250</v>
      </c>
      <c r="D80" s="5">
        <f t="shared" si="4"/>
        <v>-684.06</v>
      </c>
      <c r="E80" s="6">
        <f t="shared" si="5"/>
        <v>0.45275200000000004</v>
      </c>
    </row>
    <row r="81" spans="1:5" x14ac:dyDescent="0.25">
      <c r="A81" s="3" t="s">
        <v>79</v>
      </c>
      <c r="B81" s="4"/>
      <c r="C81" s="5">
        <f>75</f>
        <v>75</v>
      </c>
      <c r="D81" s="5">
        <f t="shared" si="4"/>
        <v>-75</v>
      </c>
      <c r="E81" s="6">
        <f t="shared" si="5"/>
        <v>0</v>
      </c>
    </row>
    <row r="82" spans="1:5" x14ac:dyDescent="0.25">
      <c r="A82" s="3" t="s">
        <v>80</v>
      </c>
      <c r="B82" s="5">
        <f>174</f>
        <v>174</v>
      </c>
      <c r="C82" s="5">
        <f>500</f>
        <v>500</v>
      </c>
      <c r="D82" s="5">
        <f t="shared" si="4"/>
        <v>-326</v>
      </c>
      <c r="E82" s="6">
        <f t="shared" si="5"/>
        <v>0.34799999999999998</v>
      </c>
    </row>
    <row r="83" spans="1:5" x14ac:dyDescent="0.25">
      <c r="A83" s="3" t="s">
        <v>81</v>
      </c>
      <c r="B83" s="5">
        <f>254</f>
        <v>254</v>
      </c>
      <c r="C83" s="5">
        <f>1000</f>
        <v>1000</v>
      </c>
      <c r="D83" s="5">
        <f t="shared" si="4"/>
        <v>-746</v>
      </c>
      <c r="E83" s="6">
        <f t="shared" si="5"/>
        <v>0.254</v>
      </c>
    </row>
    <row r="84" spans="1:5" x14ac:dyDescent="0.25">
      <c r="A84" s="3" t="s">
        <v>82</v>
      </c>
      <c r="B84" s="4"/>
      <c r="C84" s="5">
        <f>1000</f>
        <v>1000</v>
      </c>
      <c r="D84" s="5">
        <f t="shared" si="4"/>
        <v>-1000</v>
      </c>
      <c r="E84" s="6">
        <f t="shared" si="5"/>
        <v>0</v>
      </c>
    </row>
    <row r="85" spans="1:5" x14ac:dyDescent="0.25">
      <c r="A85" s="3" t="s">
        <v>83</v>
      </c>
      <c r="B85" s="5">
        <f>100</f>
        <v>100</v>
      </c>
      <c r="C85" s="5">
        <f>120</f>
        <v>120</v>
      </c>
      <c r="D85" s="5">
        <f t="shared" si="4"/>
        <v>-20</v>
      </c>
      <c r="E85" s="6">
        <f t="shared" si="5"/>
        <v>0.83333333333333337</v>
      </c>
    </row>
    <row r="86" spans="1:5" x14ac:dyDescent="0.25">
      <c r="A86" s="3" t="s">
        <v>84</v>
      </c>
      <c r="B86" s="5">
        <f>207</f>
        <v>207</v>
      </c>
      <c r="C86" s="5">
        <f>1000</f>
        <v>1000</v>
      </c>
      <c r="D86" s="5">
        <f t="shared" si="4"/>
        <v>-793</v>
      </c>
      <c r="E86" s="6">
        <f t="shared" si="5"/>
        <v>0.20699999999999999</v>
      </c>
    </row>
    <row r="87" spans="1:5" x14ac:dyDescent="0.25">
      <c r="A87" s="3" t="s">
        <v>85</v>
      </c>
      <c r="B87" s="4"/>
      <c r="C87" s="5">
        <f>100</f>
        <v>100</v>
      </c>
      <c r="D87" s="5">
        <f t="shared" si="4"/>
        <v>-100</v>
      </c>
      <c r="E87" s="6">
        <f t="shared" si="5"/>
        <v>0</v>
      </c>
    </row>
    <row r="88" spans="1:5" x14ac:dyDescent="0.25">
      <c r="A88" s="3" t="s">
        <v>86</v>
      </c>
      <c r="B88" s="5">
        <f>372</f>
        <v>372</v>
      </c>
      <c r="C88" s="5">
        <f>1500</f>
        <v>1500</v>
      </c>
      <c r="D88" s="5">
        <f t="shared" si="4"/>
        <v>-1128</v>
      </c>
      <c r="E88" s="6">
        <f t="shared" si="5"/>
        <v>0.248</v>
      </c>
    </row>
    <row r="89" spans="1:5" x14ac:dyDescent="0.25">
      <c r="A89" s="3" t="s">
        <v>87</v>
      </c>
      <c r="B89" s="7">
        <f>((((((((((((((((((((((((((((((((((((((((((((B44)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</f>
        <v>11205.25</v>
      </c>
      <c r="C89" s="7">
        <f>((((((((((((((((((((((((((((((((((((((((((((C44)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)+(C88)</f>
        <v>62056.53</v>
      </c>
      <c r="D89" s="7">
        <f t="shared" si="4"/>
        <v>-50851.28</v>
      </c>
      <c r="E89" s="8">
        <f t="shared" si="5"/>
        <v>0.18056520401640247</v>
      </c>
    </row>
    <row r="90" spans="1:5" x14ac:dyDescent="0.25">
      <c r="A90" s="3" t="s">
        <v>88</v>
      </c>
      <c r="B90" s="7">
        <f>(((((B28)+(B29))+(B36))+(B40))+(B43))+(B89)</f>
        <v>46656.1</v>
      </c>
      <c r="C90" s="7">
        <f>(((((C28)+(C29))+(C36))+(C40))+(C43))+(C89)</f>
        <v>196881.53</v>
      </c>
      <c r="D90" s="7">
        <f t="shared" si="4"/>
        <v>-150225.43</v>
      </c>
      <c r="E90" s="8">
        <f t="shared" si="5"/>
        <v>0.23697550501563047</v>
      </c>
    </row>
    <row r="91" spans="1:5" x14ac:dyDescent="0.25">
      <c r="A91" s="3" t="s">
        <v>89</v>
      </c>
      <c r="B91" s="5">
        <f>184.51</f>
        <v>184.51</v>
      </c>
      <c r="C91" s="5">
        <f>300</f>
        <v>300</v>
      </c>
      <c r="D91" s="5">
        <f t="shared" si="4"/>
        <v>-115.49000000000001</v>
      </c>
      <c r="E91" s="6">
        <f t="shared" si="5"/>
        <v>0.61503333333333332</v>
      </c>
    </row>
    <row r="92" spans="1:5" x14ac:dyDescent="0.25">
      <c r="A92" s="3" t="s">
        <v>90</v>
      </c>
      <c r="B92" s="7">
        <f>((((B12)+(B26))+(B27))+(B90))+(B91)</f>
        <v>468489.64</v>
      </c>
      <c r="C92" s="7">
        <f>((((C12)+(C26))+(C27))+(C90))+(C91)</f>
        <v>814381.53</v>
      </c>
      <c r="D92" s="7">
        <f t="shared" si="4"/>
        <v>-345891.89</v>
      </c>
      <c r="E92" s="8">
        <f t="shared" si="5"/>
        <v>0.57527046321887976</v>
      </c>
    </row>
    <row r="93" spans="1:5" x14ac:dyDescent="0.25">
      <c r="A93" s="3" t="s">
        <v>91</v>
      </c>
      <c r="B93" s="4"/>
      <c r="C93" s="4"/>
      <c r="D93" s="4"/>
      <c r="E93" s="4"/>
    </row>
    <row r="94" spans="1:5" x14ac:dyDescent="0.25">
      <c r="A94" s="3" t="s">
        <v>92</v>
      </c>
      <c r="B94" s="5">
        <f>4260.18</f>
        <v>4260.18</v>
      </c>
      <c r="C94" s="5">
        <f>25000</f>
        <v>25000</v>
      </c>
      <c r="D94" s="5">
        <f>(B94)-(C94)</f>
        <v>-20739.82</v>
      </c>
      <c r="E94" s="6">
        <f>IF(C94=0,"",(B94)/(C94))</f>
        <v>0.17040720000000001</v>
      </c>
    </row>
    <row r="95" spans="1:5" x14ac:dyDescent="0.25">
      <c r="A95" s="3" t="s">
        <v>93</v>
      </c>
      <c r="B95" s="5">
        <f>1181.71</f>
        <v>1181.71</v>
      </c>
      <c r="C95" s="5">
        <f>5000</f>
        <v>5000</v>
      </c>
      <c r="D95" s="5">
        <f>(B95)-(C95)</f>
        <v>-3818.29</v>
      </c>
      <c r="E95" s="6">
        <f>IF(C95=0,"",(B95)/(C95))</f>
        <v>0.236342</v>
      </c>
    </row>
    <row r="96" spans="1:5" x14ac:dyDescent="0.25">
      <c r="A96" s="3" t="s">
        <v>94</v>
      </c>
      <c r="B96" s="7">
        <f>(B94)+(B95)</f>
        <v>5441.89</v>
      </c>
      <c r="C96" s="7">
        <f>(C94)+(C95)</f>
        <v>30000</v>
      </c>
      <c r="D96" s="7">
        <f>(B96)-(C96)</f>
        <v>-24558.11</v>
      </c>
      <c r="E96" s="8">
        <f>IF(C96=0,"",(B96)/(C96))</f>
        <v>0.18139633333333335</v>
      </c>
    </row>
    <row r="97" spans="1:5" x14ac:dyDescent="0.25">
      <c r="A97" s="3" t="s">
        <v>95</v>
      </c>
      <c r="B97" s="7">
        <f>(B92)-(B96)</f>
        <v>463047.75</v>
      </c>
      <c r="C97" s="7">
        <f>(C92)-(C96)</f>
        <v>784381.53</v>
      </c>
      <c r="D97" s="7">
        <f>(B97)-(C97)</f>
        <v>-321333.78000000003</v>
      </c>
      <c r="E97" s="8">
        <f>IF(C97=0,"",(B97)/(C97))</f>
        <v>0.59033484635978106</v>
      </c>
    </row>
    <row r="98" spans="1:5" x14ac:dyDescent="0.25">
      <c r="A98" s="3" t="s">
        <v>96</v>
      </c>
      <c r="B98" s="4"/>
      <c r="C98" s="4"/>
      <c r="D98" s="4"/>
      <c r="E98" s="4"/>
    </row>
    <row r="99" spans="1:5" x14ac:dyDescent="0.25">
      <c r="A99" s="3" t="s">
        <v>97</v>
      </c>
      <c r="B99" s="4"/>
      <c r="C99" s="4"/>
      <c r="D99" s="5">
        <f t="shared" ref="D99:D130" si="6">(B99)-(C99)</f>
        <v>0</v>
      </c>
      <c r="E99" s="6" t="str">
        <f t="shared" ref="E99:E130" si="7">IF(C99=0,"",(B99)/(C99))</f>
        <v/>
      </c>
    </row>
    <row r="100" spans="1:5" x14ac:dyDescent="0.25">
      <c r="A100" s="3" t="s">
        <v>98</v>
      </c>
      <c r="B100" s="5">
        <f>32572</f>
        <v>32572</v>
      </c>
      <c r="C100" s="5">
        <f>33500</f>
        <v>33500</v>
      </c>
      <c r="D100" s="5">
        <f t="shared" si="6"/>
        <v>-928</v>
      </c>
      <c r="E100" s="6">
        <f t="shared" si="7"/>
        <v>0.97229850746268653</v>
      </c>
    </row>
    <row r="101" spans="1:5" x14ac:dyDescent="0.25">
      <c r="A101" s="3" t="s">
        <v>99</v>
      </c>
      <c r="B101" s="7">
        <f>(B99)+(B100)</f>
        <v>32572</v>
      </c>
      <c r="C101" s="7">
        <f>(C99)+(C100)</f>
        <v>33500</v>
      </c>
      <c r="D101" s="7">
        <f t="shared" si="6"/>
        <v>-928</v>
      </c>
      <c r="E101" s="8">
        <f t="shared" si="7"/>
        <v>0.97229850746268653</v>
      </c>
    </row>
    <row r="102" spans="1:5" x14ac:dyDescent="0.25">
      <c r="A102" s="3" t="s">
        <v>100</v>
      </c>
      <c r="B102" s="5">
        <f>950</f>
        <v>950</v>
      </c>
      <c r="C102" s="5">
        <f>13000</f>
        <v>13000</v>
      </c>
      <c r="D102" s="5">
        <f t="shared" si="6"/>
        <v>-12050</v>
      </c>
      <c r="E102" s="6">
        <f t="shared" si="7"/>
        <v>7.3076923076923081E-2</v>
      </c>
    </row>
    <row r="103" spans="1:5" x14ac:dyDescent="0.25">
      <c r="A103" s="3" t="s">
        <v>101</v>
      </c>
      <c r="B103" s="5">
        <f>551.69</f>
        <v>551.69000000000005</v>
      </c>
      <c r="C103" s="5">
        <f>2500</f>
        <v>2500</v>
      </c>
      <c r="D103" s="5">
        <f t="shared" si="6"/>
        <v>-1948.31</v>
      </c>
      <c r="E103" s="6">
        <f t="shared" si="7"/>
        <v>0.22067600000000001</v>
      </c>
    </row>
    <row r="104" spans="1:5" x14ac:dyDescent="0.25">
      <c r="A104" s="3" t="s">
        <v>102</v>
      </c>
      <c r="B104" s="5">
        <f>5930.82</f>
        <v>5930.82</v>
      </c>
      <c r="C104" s="5">
        <f>15250</f>
        <v>15250</v>
      </c>
      <c r="D104" s="5">
        <f t="shared" si="6"/>
        <v>-9319.18</v>
      </c>
      <c r="E104" s="6">
        <f t="shared" si="7"/>
        <v>0.3889062295081967</v>
      </c>
    </row>
    <row r="105" spans="1:5" x14ac:dyDescent="0.25">
      <c r="A105" s="3" t="s">
        <v>103</v>
      </c>
      <c r="B105" s="5">
        <f>46.76</f>
        <v>46.76</v>
      </c>
      <c r="C105" s="5">
        <f>1500</f>
        <v>1500</v>
      </c>
      <c r="D105" s="5">
        <f t="shared" si="6"/>
        <v>-1453.24</v>
      </c>
      <c r="E105" s="6">
        <f t="shared" si="7"/>
        <v>3.1173333333333331E-2</v>
      </c>
    </row>
    <row r="106" spans="1:5" x14ac:dyDescent="0.25">
      <c r="A106" s="3" t="s">
        <v>104</v>
      </c>
      <c r="B106" s="4"/>
      <c r="C106" s="4"/>
      <c r="D106" s="5">
        <f t="shared" si="6"/>
        <v>0</v>
      </c>
      <c r="E106" s="6" t="str">
        <f t="shared" si="7"/>
        <v/>
      </c>
    </row>
    <row r="107" spans="1:5" x14ac:dyDescent="0.25">
      <c r="A107" s="3" t="s">
        <v>105</v>
      </c>
      <c r="B107" s="4"/>
      <c r="C107" s="5">
        <f>1500</f>
        <v>1500</v>
      </c>
      <c r="D107" s="5">
        <f t="shared" si="6"/>
        <v>-1500</v>
      </c>
      <c r="E107" s="6">
        <f t="shared" si="7"/>
        <v>0</v>
      </c>
    </row>
    <row r="108" spans="1:5" x14ac:dyDescent="0.25">
      <c r="A108" s="3" t="s">
        <v>106</v>
      </c>
      <c r="B108" s="4"/>
      <c r="C108" s="5">
        <f>150</f>
        <v>150</v>
      </c>
      <c r="D108" s="5">
        <f t="shared" si="6"/>
        <v>-150</v>
      </c>
      <c r="E108" s="6">
        <f t="shared" si="7"/>
        <v>0</v>
      </c>
    </row>
    <row r="109" spans="1:5" x14ac:dyDescent="0.25">
      <c r="A109" s="3" t="s">
        <v>107</v>
      </c>
      <c r="B109" s="7">
        <f>((B106)+(B107))+(B108)</f>
        <v>0</v>
      </c>
      <c r="C109" s="7">
        <f>((C106)+(C107))+(C108)</f>
        <v>1650</v>
      </c>
      <c r="D109" s="7">
        <f t="shared" si="6"/>
        <v>-1650</v>
      </c>
      <c r="E109" s="8">
        <f t="shared" si="7"/>
        <v>0</v>
      </c>
    </row>
    <row r="110" spans="1:5" x14ac:dyDescent="0.25">
      <c r="A110" s="3" t="s">
        <v>108</v>
      </c>
      <c r="B110" s="4"/>
      <c r="C110" s="4"/>
      <c r="D110" s="5">
        <f t="shared" si="6"/>
        <v>0</v>
      </c>
      <c r="E110" s="6" t="str">
        <f t="shared" si="7"/>
        <v/>
      </c>
    </row>
    <row r="111" spans="1:5" x14ac:dyDescent="0.25">
      <c r="A111" s="3" t="s">
        <v>109</v>
      </c>
      <c r="B111" s="5">
        <f>7606.02</f>
        <v>7606.02</v>
      </c>
      <c r="C111" s="5">
        <f>15250</f>
        <v>15250</v>
      </c>
      <c r="D111" s="5">
        <f t="shared" si="6"/>
        <v>-7643.98</v>
      </c>
      <c r="E111" s="6">
        <f t="shared" si="7"/>
        <v>0.49875540983606559</v>
      </c>
    </row>
    <row r="112" spans="1:5" x14ac:dyDescent="0.25">
      <c r="A112" s="3" t="s">
        <v>110</v>
      </c>
      <c r="B112" s="7">
        <f>(B110)+(B111)</f>
        <v>7606.02</v>
      </c>
      <c r="C112" s="7">
        <f>(C110)+(C111)</f>
        <v>15250</v>
      </c>
      <c r="D112" s="7">
        <f t="shared" si="6"/>
        <v>-7643.98</v>
      </c>
      <c r="E112" s="8">
        <f t="shared" si="7"/>
        <v>0.49875540983606559</v>
      </c>
    </row>
    <row r="113" spans="1:5" x14ac:dyDescent="0.25">
      <c r="A113" s="3" t="s">
        <v>111</v>
      </c>
      <c r="B113" s="4"/>
      <c r="C113" s="4"/>
      <c r="D113" s="5">
        <f t="shared" si="6"/>
        <v>0</v>
      </c>
      <c r="E113" s="6" t="str">
        <f t="shared" si="7"/>
        <v/>
      </c>
    </row>
    <row r="114" spans="1:5" x14ac:dyDescent="0.25">
      <c r="A114" s="3" t="s">
        <v>112</v>
      </c>
      <c r="B114" s="5">
        <f>16400.3</f>
        <v>16400.3</v>
      </c>
      <c r="C114" s="5">
        <f>41500</f>
        <v>41500</v>
      </c>
      <c r="D114" s="5">
        <f t="shared" si="6"/>
        <v>-25099.7</v>
      </c>
      <c r="E114" s="6">
        <f t="shared" si="7"/>
        <v>0.39518795180722888</v>
      </c>
    </row>
    <row r="115" spans="1:5" x14ac:dyDescent="0.25">
      <c r="A115" s="3" t="s">
        <v>113</v>
      </c>
      <c r="B115" s="5">
        <f>12273.44</f>
        <v>12273.44</v>
      </c>
      <c r="C115" s="5">
        <f>23200</f>
        <v>23200</v>
      </c>
      <c r="D115" s="5">
        <f t="shared" si="6"/>
        <v>-10926.56</v>
      </c>
      <c r="E115" s="6">
        <f t="shared" si="7"/>
        <v>0.52902758620689661</v>
      </c>
    </row>
    <row r="116" spans="1:5" x14ac:dyDescent="0.25">
      <c r="A116" s="3" t="s">
        <v>114</v>
      </c>
      <c r="B116" s="5">
        <f>138.72</f>
        <v>138.72</v>
      </c>
      <c r="C116" s="5">
        <f>280</f>
        <v>280</v>
      </c>
      <c r="D116" s="5">
        <f t="shared" si="6"/>
        <v>-141.28</v>
      </c>
      <c r="E116" s="6">
        <f t="shared" si="7"/>
        <v>0.49542857142857144</v>
      </c>
    </row>
    <row r="117" spans="1:5" x14ac:dyDescent="0.25">
      <c r="A117" s="3" t="s">
        <v>115</v>
      </c>
      <c r="B117" s="7">
        <f>(((B113)+(B114))+(B115))+(B116)</f>
        <v>28812.46</v>
      </c>
      <c r="C117" s="7">
        <f>(((C113)+(C114))+(C115))+(C116)</f>
        <v>64980</v>
      </c>
      <c r="D117" s="7">
        <f t="shared" si="6"/>
        <v>-36167.54</v>
      </c>
      <c r="E117" s="8">
        <f t="shared" si="7"/>
        <v>0.44340504770698674</v>
      </c>
    </row>
    <row r="118" spans="1:5" x14ac:dyDescent="0.25">
      <c r="A118" s="3" t="s">
        <v>116</v>
      </c>
      <c r="B118" s="4"/>
      <c r="C118" s="4"/>
      <c r="D118" s="5">
        <f t="shared" si="6"/>
        <v>0</v>
      </c>
      <c r="E118" s="6" t="str">
        <f t="shared" si="7"/>
        <v/>
      </c>
    </row>
    <row r="119" spans="1:5" x14ac:dyDescent="0.25">
      <c r="A119" s="3" t="s">
        <v>117</v>
      </c>
      <c r="B119" s="5">
        <f>1139.17</f>
        <v>1139.17</v>
      </c>
      <c r="C119" s="5">
        <f>4000</f>
        <v>4000</v>
      </c>
      <c r="D119" s="5">
        <f t="shared" si="6"/>
        <v>-2860.83</v>
      </c>
      <c r="E119" s="6">
        <f t="shared" si="7"/>
        <v>0.2847925</v>
      </c>
    </row>
    <row r="120" spans="1:5" x14ac:dyDescent="0.25">
      <c r="A120" s="3" t="s">
        <v>118</v>
      </c>
      <c r="B120" s="5">
        <f>1012.16</f>
        <v>1012.16</v>
      </c>
      <c r="C120" s="5">
        <f>2250</f>
        <v>2250</v>
      </c>
      <c r="D120" s="5">
        <f t="shared" si="6"/>
        <v>-1237.8400000000001</v>
      </c>
      <c r="E120" s="6">
        <f t="shared" si="7"/>
        <v>0.44984888888888885</v>
      </c>
    </row>
    <row r="121" spans="1:5" x14ac:dyDescent="0.25">
      <c r="A121" s="3" t="s">
        <v>119</v>
      </c>
      <c r="B121" s="5">
        <f>4333.23</f>
        <v>4333.2299999999996</v>
      </c>
      <c r="C121" s="5">
        <f>8500</f>
        <v>8500</v>
      </c>
      <c r="D121" s="5">
        <f t="shared" si="6"/>
        <v>-4166.7700000000004</v>
      </c>
      <c r="E121" s="6">
        <f t="shared" si="7"/>
        <v>0.50979176470588228</v>
      </c>
    </row>
    <row r="122" spans="1:5" x14ac:dyDescent="0.25">
      <c r="A122" s="3" t="s">
        <v>120</v>
      </c>
      <c r="B122" s="7">
        <f>(((B118)+(B119))+(B120))+(B121)</f>
        <v>6484.5599999999995</v>
      </c>
      <c r="C122" s="7">
        <f>(((C118)+(C119))+(C120))+(C121)</f>
        <v>14750</v>
      </c>
      <c r="D122" s="7">
        <f t="shared" si="6"/>
        <v>-8265.44</v>
      </c>
      <c r="E122" s="8">
        <f t="shared" si="7"/>
        <v>0.43963118644067795</v>
      </c>
    </row>
    <row r="123" spans="1:5" x14ac:dyDescent="0.25">
      <c r="A123" s="3" t="s">
        <v>121</v>
      </c>
      <c r="B123" s="5">
        <f>3397.85</f>
        <v>3397.85</v>
      </c>
      <c r="C123" s="5">
        <f>8000</f>
        <v>8000</v>
      </c>
      <c r="D123" s="5">
        <f t="shared" si="6"/>
        <v>-4602.1499999999996</v>
      </c>
      <c r="E123" s="6">
        <f t="shared" si="7"/>
        <v>0.42473125</v>
      </c>
    </row>
    <row r="124" spans="1:5" x14ac:dyDescent="0.25">
      <c r="A124" s="3" t="s">
        <v>122</v>
      </c>
      <c r="B124" s="5">
        <f>1303.44</f>
        <v>1303.44</v>
      </c>
      <c r="C124" s="4"/>
      <c r="D124" s="5">
        <f t="shared" si="6"/>
        <v>1303.44</v>
      </c>
      <c r="E124" s="6" t="str">
        <f t="shared" si="7"/>
        <v/>
      </c>
    </row>
    <row r="125" spans="1:5" x14ac:dyDescent="0.25">
      <c r="A125" s="3" t="s">
        <v>123</v>
      </c>
      <c r="B125" s="5">
        <f>272.12</f>
        <v>272.12</v>
      </c>
      <c r="C125" s="5">
        <f>1500</f>
        <v>1500</v>
      </c>
      <c r="D125" s="5">
        <f t="shared" si="6"/>
        <v>-1227.8800000000001</v>
      </c>
      <c r="E125" s="6">
        <f t="shared" si="7"/>
        <v>0.18141333333333334</v>
      </c>
    </row>
    <row r="126" spans="1:5" x14ac:dyDescent="0.25">
      <c r="A126" s="3" t="s">
        <v>124</v>
      </c>
      <c r="B126" s="5">
        <f>2728.48</f>
        <v>2728.48</v>
      </c>
      <c r="C126" s="5">
        <f>10000</f>
        <v>10000</v>
      </c>
      <c r="D126" s="5">
        <f t="shared" si="6"/>
        <v>-7271.52</v>
      </c>
      <c r="E126" s="6">
        <f t="shared" si="7"/>
        <v>0.27284799999999998</v>
      </c>
    </row>
    <row r="127" spans="1:5" x14ac:dyDescent="0.25">
      <c r="A127" s="3" t="s">
        <v>125</v>
      </c>
      <c r="B127" s="7">
        <f>((B124)+(B125))+(B126)</f>
        <v>4304.04</v>
      </c>
      <c r="C127" s="7">
        <f>((C124)+(C125))+(C126)</f>
        <v>11500</v>
      </c>
      <c r="D127" s="7">
        <f t="shared" si="6"/>
        <v>-7195.96</v>
      </c>
      <c r="E127" s="8">
        <f t="shared" si="7"/>
        <v>0.37426434782608697</v>
      </c>
    </row>
    <row r="128" spans="1:5" x14ac:dyDescent="0.25">
      <c r="A128" s="3" t="s">
        <v>126</v>
      </c>
      <c r="B128" s="5">
        <f>964.58</f>
        <v>964.58</v>
      </c>
      <c r="C128" s="5">
        <f>3000</f>
        <v>3000</v>
      </c>
      <c r="D128" s="5">
        <f t="shared" si="6"/>
        <v>-2035.42</v>
      </c>
      <c r="E128" s="6">
        <f t="shared" si="7"/>
        <v>0.32152666666666668</v>
      </c>
    </row>
    <row r="129" spans="1:5" x14ac:dyDescent="0.25">
      <c r="A129" s="3" t="s">
        <v>127</v>
      </c>
      <c r="B129" s="4"/>
      <c r="C129" s="5">
        <f>841.67</f>
        <v>841.67</v>
      </c>
      <c r="D129" s="5">
        <f t="shared" si="6"/>
        <v>-841.67</v>
      </c>
      <c r="E129" s="6">
        <f t="shared" si="7"/>
        <v>0</v>
      </c>
    </row>
    <row r="130" spans="1:5" x14ac:dyDescent="0.25">
      <c r="A130" s="3" t="s">
        <v>128</v>
      </c>
      <c r="B130" s="4"/>
      <c r="C130" s="4"/>
      <c r="D130" s="5">
        <f t="shared" si="6"/>
        <v>0</v>
      </c>
      <c r="E130" s="6" t="str">
        <f t="shared" si="7"/>
        <v/>
      </c>
    </row>
    <row r="131" spans="1:5" x14ac:dyDescent="0.25">
      <c r="A131" s="3" t="s">
        <v>129</v>
      </c>
      <c r="B131" s="5">
        <f>142823.07</f>
        <v>142823.07</v>
      </c>
      <c r="C131" s="5">
        <f>348022.79</f>
        <v>348022.79</v>
      </c>
      <c r="D131" s="5">
        <f t="shared" ref="D131:D162" si="8">(B131)-(C131)</f>
        <v>-205199.71999999997</v>
      </c>
      <c r="E131" s="6">
        <f t="shared" ref="E131:E162" si="9">IF(C131=0,"",(B131)/(C131))</f>
        <v>0.41038424523865236</v>
      </c>
    </row>
    <row r="132" spans="1:5" x14ac:dyDescent="0.25">
      <c r="A132" s="3" t="s">
        <v>130</v>
      </c>
      <c r="B132" s="4"/>
      <c r="C132" s="5">
        <f>3828.25</f>
        <v>3828.25</v>
      </c>
      <c r="D132" s="5">
        <f t="shared" si="8"/>
        <v>-3828.25</v>
      </c>
      <c r="E132" s="6">
        <f t="shared" si="9"/>
        <v>0</v>
      </c>
    </row>
    <row r="133" spans="1:5" x14ac:dyDescent="0.25">
      <c r="A133" s="3" t="s">
        <v>131</v>
      </c>
      <c r="B133" s="5">
        <f>13043.75</f>
        <v>13043.75</v>
      </c>
      <c r="C133" s="5">
        <f>32888.15</f>
        <v>32888.15</v>
      </c>
      <c r="D133" s="5">
        <f t="shared" si="8"/>
        <v>-19844.400000000001</v>
      </c>
      <c r="E133" s="6">
        <f t="shared" si="9"/>
        <v>0.39660941706967401</v>
      </c>
    </row>
    <row r="134" spans="1:5" x14ac:dyDescent="0.25">
      <c r="A134" s="3" t="s">
        <v>132</v>
      </c>
      <c r="B134" s="5">
        <f>5141.34</f>
        <v>5141.34</v>
      </c>
      <c r="C134" s="5">
        <f>13307.87</f>
        <v>13307.87</v>
      </c>
      <c r="D134" s="5">
        <f t="shared" si="8"/>
        <v>-8166.5300000000007</v>
      </c>
      <c r="E134" s="6">
        <f t="shared" si="9"/>
        <v>0.38633830958673326</v>
      </c>
    </row>
    <row r="135" spans="1:5" x14ac:dyDescent="0.25">
      <c r="A135" s="3" t="s">
        <v>133</v>
      </c>
      <c r="B135" s="5">
        <f>46948.32</f>
        <v>46948.32</v>
      </c>
      <c r="C135" s="5">
        <f>112852.8</f>
        <v>112852.8</v>
      </c>
      <c r="D135" s="5">
        <f t="shared" si="8"/>
        <v>-65904.48000000001</v>
      </c>
      <c r="E135" s="6">
        <f t="shared" si="9"/>
        <v>0.41601378078346307</v>
      </c>
    </row>
    <row r="136" spans="1:5" x14ac:dyDescent="0.25">
      <c r="A136" s="3" t="s">
        <v>134</v>
      </c>
      <c r="B136" s="7">
        <f>(((((B130)+(B131))+(B132))+(B133))+(B134))+(B135)</f>
        <v>207956.48000000001</v>
      </c>
      <c r="C136" s="7">
        <f>(((((C130)+(C131))+(C132))+(C133))+(C134))+(C135)</f>
        <v>510899.86</v>
      </c>
      <c r="D136" s="7">
        <f t="shared" si="8"/>
        <v>-302943.38</v>
      </c>
      <c r="E136" s="8">
        <f t="shared" si="9"/>
        <v>0.40703961046299764</v>
      </c>
    </row>
    <row r="137" spans="1:5" x14ac:dyDescent="0.25">
      <c r="A137" s="3" t="s">
        <v>135</v>
      </c>
      <c r="B137" s="4"/>
      <c r="C137" s="4"/>
      <c r="D137" s="5">
        <f t="shared" si="8"/>
        <v>0</v>
      </c>
      <c r="E137" s="6" t="str">
        <f t="shared" si="9"/>
        <v/>
      </c>
    </row>
    <row r="138" spans="1:5" x14ac:dyDescent="0.25">
      <c r="A138" s="3" t="s">
        <v>136</v>
      </c>
      <c r="B138" s="5">
        <f>15800</f>
        <v>15800</v>
      </c>
      <c r="C138" s="5">
        <f>18000</f>
        <v>18000</v>
      </c>
      <c r="D138" s="5">
        <f t="shared" si="8"/>
        <v>-2200</v>
      </c>
      <c r="E138" s="6">
        <f t="shared" si="9"/>
        <v>0.87777777777777777</v>
      </c>
    </row>
    <row r="139" spans="1:5" x14ac:dyDescent="0.25">
      <c r="A139" s="3" t="s">
        <v>137</v>
      </c>
      <c r="B139" s="4"/>
      <c r="C139" s="5">
        <f>400</f>
        <v>400</v>
      </c>
      <c r="D139" s="5">
        <f t="shared" si="8"/>
        <v>-400</v>
      </c>
      <c r="E139" s="6">
        <f t="shared" si="9"/>
        <v>0</v>
      </c>
    </row>
    <row r="140" spans="1:5" x14ac:dyDescent="0.25">
      <c r="A140" s="3" t="s">
        <v>138</v>
      </c>
      <c r="B140" s="7">
        <f>((B137)+(B138))+(B139)</f>
        <v>15800</v>
      </c>
      <c r="C140" s="7">
        <f>((C137)+(C138))+(C139)</f>
        <v>18400</v>
      </c>
      <c r="D140" s="7">
        <f t="shared" si="8"/>
        <v>-2600</v>
      </c>
      <c r="E140" s="8">
        <f t="shared" si="9"/>
        <v>0.85869565217391308</v>
      </c>
    </row>
    <row r="141" spans="1:5" x14ac:dyDescent="0.25">
      <c r="A141" s="3" t="s">
        <v>139</v>
      </c>
      <c r="B141" s="4"/>
      <c r="C141" s="5">
        <f>2500</f>
        <v>2500</v>
      </c>
      <c r="D141" s="5">
        <f t="shared" si="8"/>
        <v>-2500</v>
      </c>
      <c r="E141" s="6">
        <f t="shared" si="9"/>
        <v>0</v>
      </c>
    </row>
    <row r="142" spans="1:5" x14ac:dyDescent="0.25">
      <c r="A142" s="3" t="s">
        <v>140</v>
      </c>
      <c r="B142" s="4"/>
      <c r="C142" s="4"/>
      <c r="D142" s="5">
        <f t="shared" si="8"/>
        <v>0</v>
      </c>
      <c r="E142" s="6" t="str">
        <f t="shared" si="9"/>
        <v/>
      </c>
    </row>
    <row r="143" spans="1:5" x14ac:dyDescent="0.25">
      <c r="A143" s="3" t="s">
        <v>141</v>
      </c>
      <c r="B143" s="4"/>
      <c r="C143" s="5">
        <f>75</f>
        <v>75</v>
      </c>
      <c r="D143" s="5">
        <f t="shared" si="8"/>
        <v>-75</v>
      </c>
      <c r="E143" s="6">
        <f t="shared" si="9"/>
        <v>0</v>
      </c>
    </row>
    <row r="144" spans="1:5" x14ac:dyDescent="0.25">
      <c r="A144" s="3" t="s">
        <v>142</v>
      </c>
      <c r="B144" s="5">
        <f>1287.72</f>
        <v>1287.72</v>
      </c>
      <c r="C144" s="5">
        <f>2750</f>
        <v>2750</v>
      </c>
      <c r="D144" s="5">
        <f t="shared" si="8"/>
        <v>-1462.28</v>
      </c>
      <c r="E144" s="6">
        <f t="shared" si="9"/>
        <v>0.46826181818181817</v>
      </c>
    </row>
    <row r="145" spans="1:5" x14ac:dyDescent="0.25">
      <c r="A145" s="3" t="s">
        <v>143</v>
      </c>
      <c r="B145" s="5">
        <f>1704.78</f>
        <v>1704.78</v>
      </c>
      <c r="C145" s="5">
        <f>3500</f>
        <v>3500</v>
      </c>
      <c r="D145" s="5">
        <f t="shared" si="8"/>
        <v>-1795.22</v>
      </c>
      <c r="E145" s="6">
        <f t="shared" si="9"/>
        <v>0.48708000000000001</v>
      </c>
    </row>
    <row r="146" spans="1:5" x14ac:dyDescent="0.25">
      <c r="A146" s="3" t="s">
        <v>144</v>
      </c>
      <c r="B146" s="5">
        <f>0</f>
        <v>0</v>
      </c>
      <c r="C146" s="5">
        <f>150</f>
        <v>150</v>
      </c>
      <c r="D146" s="5">
        <f t="shared" si="8"/>
        <v>-150</v>
      </c>
      <c r="E146" s="6">
        <f t="shared" si="9"/>
        <v>0</v>
      </c>
    </row>
    <row r="147" spans="1:5" x14ac:dyDescent="0.25">
      <c r="A147" s="3" t="s">
        <v>145</v>
      </c>
      <c r="B147" s="4"/>
      <c r="C147" s="5">
        <f>50</f>
        <v>50</v>
      </c>
      <c r="D147" s="5">
        <f t="shared" si="8"/>
        <v>-50</v>
      </c>
      <c r="E147" s="6">
        <f t="shared" si="9"/>
        <v>0</v>
      </c>
    </row>
    <row r="148" spans="1:5" x14ac:dyDescent="0.25">
      <c r="A148" s="3" t="s">
        <v>146</v>
      </c>
      <c r="B148" s="5">
        <f>498.23</f>
        <v>498.23</v>
      </c>
      <c r="C148" s="5">
        <f>1200</f>
        <v>1200</v>
      </c>
      <c r="D148" s="5">
        <f t="shared" si="8"/>
        <v>-701.77</v>
      </c>
      <c r="E148" s="6">
        <f t="shared" si="9"/>
        <v>0.41519166666666668</v>
      </c>
    </row>
    <row r="149" spans="1:5" x14ac:dyDescent="0.25">
      <c r="A149" s="3" t="s">
        <v>147</v>
      </c>
      <c r="B149" s="7">
        <f>((((((B142)+(B143))+(B144))+(B145))+(B146))+(B147))+(B148)</f>
        <v>3490.73</v>
      </c>
      <c r="C149" s="7">
        <f>((((((C142)+(C143))+(C144))+(C145))+(C146))+(C147))+(C148)</f>
        <v>7725</v>
      </c>
      <c r="D149" s="7">
        <f t="shared" si="8"/>
        <v>-4234.2700000000004</v>
      </c>
      <c r="E149" s="8">
        <f t="shared" si="9"/>
        <v>0.45187443365695795</v>
      </c>
    </row>
    <row r="150" spans="1:5" x14ac:dyDescent="0.25">
      <c r="A150" s="3" t="s">
        <v>148</v>
      </c>
      <c r="B150" s="5">
        <f>445.32</f>
        <v>445.32</v>
      </c>
      <c r="C150" s="5">
        <f>2250</f>
        <v>2250</v>
      </c>
      <c r="D150" s="5">
        <f t="shared" si="8"/>
        <v>-1804.68</v>
      </c>
      <c r="E150" s="6">
        <f t="shared" si="9"/>
        <v>0.19791999999999998</v>
      </c>
    </row>
    <row r="151" spans="1:5" x14ac:dyDescent="0.25">
      <c r="A151" s="3" t="s">
        <v>149</v>
      </c>
      <c r="B151" s="5">
        <f>6454.25</f>
        <v>6454.25</v>
      </c>
      <c r="C151" s="5">
        <f>11500</f>
        <v>11500</v>
      </c>
      <c r="D151" s="5">
        <f t="shared" si="8"/>
        <v>-5045.75</v>
      </c>
      <c r="E151" s="6">
        <f t="shared" si="9"/>
        <v>0.56123913043478257</v>
      </c>
    </row>
    <row r="152" spans="1:5" x14ac:dyDescent="0.25">
      <c r="A152" s="3" t="s">
        <v>150</v>
      </c>
      <c r="B152" s="5">
        <f>2707.67</f>
        <v>2707.67</v>
      </c>
      <c r="C152" s="5">
        <f>6000</f>
        <v>6000</v>
      </c>
      <c r="D152" s="5">
        <f t="shared" si="8"/>
        <v>-3292.33</v>
      </c>
      <c r="E152" s="6">
        <f t="shared" si="9"/>
        <v>0.45127833333333334</v>
      </c>
    </row>
    <row r="153" spans="1:5" x14ac:dyDescent="0.25">
      <c r="A153" s="3" t="s">
        <v>151</v>
      </c>
      <c r="B153" s="4"/>
      <c r="C153" s="4"/>
      <c r="D153" s="5">
        <f t="shared" si="8"/>
        <v>0</v>
      </c>
      <c r="E153" s="6" t="str">
        <f t="shared" si="9"/>
        <v/>
      </c>
    </row>
    <row r="154" spans="1:5" x14ac:dyDescent="0.25">
      <c r="A154" s="3" t="s">
        <v>152</v>
      </c>
      <c r="B154" s="5">
        <f>10</f>
        <v>10</v>
      </c>
      <c r="C154" s="5">
        <f>10</f>
        <v>10</v>
      </c>
      <c r="D154" s="5">
        <f t="shared" si="8"/>
        <v>0</v>
      </c>
      <c r="E154" s="6">
        <f t="shared" si="9"/>
        <v>1</v>
      </c>
    </row>
    <row r="155" spans="1:5" x14ac:dyDescent="0.25">
      <c r="A155" s="3" t="s">
        <v>153</v>
      </c>
      <c r="B155" s="5">
        <f>1200</f>
        <v>1200</v>
      </c>
      <c r="C155" s="5">
        <f>1200</f>
        <v>1200</v>
      </c>
      <c r="D155" s="5">
        <f t="shared" si="8"/>
        <v>0</v>
      </c>
      <c r="E155" s="6">
        <f t="shared" si="9"/>
        <v>1</v>
      </c>
    </row>
    <row r="156" spans="1:5" x14ac:dyDescent="0.25">
      <c r="A156" s="3" t="s">
        <v>154</v>
      </c>
      <c r="B156" s="7">
        <f>((B153)+(B154))+(B155)</f>
        <v>1210</v>
      </c>
      <c r="C156" s="7">
        <f>((C153)+(C154))+(C155)</f>
        <v>1210</v>
      </c>
      <c r="D156" s="7">
        <f t="shared" si="8"/>
        <v>0</v>
      </c>
      <c r="E156" s="8">
        <f t="shared" si="9"/>
        <v>1</v>
      </c>
    </row>
    <row r="157" spans="1:5" x14ac:dyDescent="0.25">
      <c r="A157" s="3" t="s">
        <v>155</v>
      </c>
      <c r="B157" s="5">
        <f>1396.51</f>
        <v>1396.51</v>
      </c>
      <c r="C157" s="5">
        <f>6500</f>
        <v>6500</v>
      </c>
      <c r="D157" s="5">
        <f t="shared" si="8"/>
        <v>-5103.49</v>
      </c>
      <c r="E157" s="6">
        <f t="shared" si="9"/>
        <v>0.2148476923076923</v>
      </c>
    </row>
    <row r="158" spans="1:5" x14ac:dyDescent="0.25">
      <c r="A158" s="3" t="s">
        <v>156</v>
      </c>
      <c r="B158" s="5">
        <f>25.87</f>
        <v>25.87</v>
      </c>
      <c r="C158" s="4"/>
      <c r="D158" s="5">
        <f t="shared" si="8"/>
        <v>25.87</v>
      </c>
      <c r="E158" s="6" t="str">
        <f t="shared" si="9"/>
        <v/>
      </c>
    </row>
    <row r="159" spans="1:5" x14ac:dyDescent="0.25">
      <c r="A159" s="3" t="s">
        <v>157</v>
      </c>
      <c r="B159" s="5">
        <f>703.99</f>
        <v>703.99</v>
      </c>
      <c r="C159" s="4"/>
      <c r="D159" s="5">
        <f t="shared" si="8"/>
        <v>703.99</v>
      </c>
      <c r="E159" s="6" t="str">
        <f t="shared" si="9"/>
        <v/>
      </c>
    </row>
    <row r="160" spans="1:5" x14ac:dyDescent="0.25">
      <c r="A160" s="3" t="s">
        <v>158</v>
      </c>
      <c r="B160" s="7">
        <f>((B157)+(B158))+(B159)</f>
        <v>2126.37</v>
      </c>
      <c r="C160" s="7">
        <f>((C157)+(C158))+(C159)</f>
        <v>6500</v>
      </c>
      <c r="D160" s="7">
        <f t="shared" si="8"/>
        <v>-4373.63</v>
      </c>
      <c r="E160" s="8">
        <f t="shared" si="9"/>
        <v>0.32713384615384616</v>
      </c>
    </row>
    <row r="161" spans="1:5" x14ac:dyDescent="0.25">
      <c r="A161" s="3" t="s">
        <v>159</v>
      </c>
      <c r="B161" s="5">
        <f>130</f>
        <v>130</v>
      </c>
      <c r="C161" s="5">
        <f>175</f>
        <v>175</v>
      </c>
      <c r="D161" s="5">
        <f t="shared" si="8"/>
        <v>-45</v>
      </c>
      <c r="E161" s="6">
        <f t="shared" si="9"/>
        <v>0.74285714285714288</v>
      </c>
    </row>
    <row r="162" spans="1:5" x14ac:dyDescent="0.25">
      <c r="A162" s="3" t="s">
        <v>160</v>
      </c>
      <c r="B162" s="5">
        <f>6023.85</f>
        <v>6023.85</v>
      </c>
      <c r="C162" s="5">
        <f>7750</f>
        <v>7750</v>
      </c>
      <c r="D162" s="5">
        <f t="shared" si="8"/>
        <v>-1726.1499999999996</v>
      </c>
      <c r="E162" s="6">
        <f t="shared" si="9"/>
        <v>0.77727096774193549</v>
      </c>
    </row>
    <row r="163" spans="1:5" x14ac:dyDescent="0.25">
      <c r="A163" s="3" t="s">
        <v>161</v>
      </c>
      <c r="B163" s="5">
        <f>35</f>
        <v>35</v>
      </c>
      <c r="C163" s="5">
        <f>750</f>
        <v>750</v>
      </c>
      <c r="D163" s="5">
        <f t="shared" ref="D163:D175" si="10">(B163)-(C163)</f>
        <v>-715</v>
      </c>
      <c r="E163" s="6">
        <f t="shared" ref="E163:E175" si="11">IF(C163=0,"",(B163)/(C163))</f>
        <v>4.6666666666666669E-2</v>
      </c>
    </row>
    <row r="164" spans="1:5" x14ac:dyDescent="0.25">
      <c r="A164" s="3" t="s">
        <v>162</v>
      </c>
      <c r="B164" s="4"/>
      <c r="C164" s="4"/>
      <c r="D164" s="5">
        <f t="shared" si="10"/>
        <v>0</v>
      </c>
      <c r="E164" s="6" t="str">
        <f t="shared" si="11"/>
        <v/>
      </c>
    </row>
    <row r="165" spans="1:5" x14ac:dyDescent="0.25">
      <c r="A165" s="3" t="s">
        <v>163</v>
      </c>
      <c r="B165" s="5">
        <f>100</f>
        <v>100</v>
      </c>
      <c r="C165" s="5">
        <f>13250</f>
        <v>13250</v>
      </c>
      <c r="D165" s="5">
        <f t="shared" si="10"/>
        <v>-13150</v>
      </c>
      <c r="E165" s="6">
        <f t="shared" si="11"/>
        <v>7.5471698113207548E-3</v>
      </c>
    </row>
    <row r="166" spans="1:5" x14ac:dyDescent="0.25">
      <c r="A166" s="3" t="s">
        <v>164</v>
      </c>
      <c r="B166" s="7">
        <f>(B164)+(B165)</f>
        <v>100</v>
      </c>
      <c r="C166" s="7">
        <f>(C164)+(C165)</f>
        <v>13250</v>
      </c>
      <c r="D166" s="7">
        <f t="shared" si="10"/>
        <v>-13150</v>
      </c>
      <c r="E166" s="8">
        <f t="shared" si="11"/>
        <v>7.5471698113207548E-3</v>
      </c>
    </row>
    <row r="167" spans="1:5" x14ac:dyDescent="0.25">
      <c r="A167" s="3" t="s">
        <v>165</v>
      </c>
      <c r="B167" s="5">
        <f>572.65</f>
        <v>572.65</v>
      </c>
      <c r="C167" s="5">
        <f>3250</f>
        <v>3250</v>
      </c>
      <c r="D167" s="5">
        <f t="shared" si="10"/>
        <v>-2677.35</v>
      </c>
      <c r="E167" s="6">
        <f t="shared" si="11"/>
        <v>0.1762</v>
      </c>
    </row>
    <row r="168" spans="1:5" x14ac:dyDescent="0.25">
      <c r="A168" s="3" t="s">
        <v>166</v>
      </c>
      <c r="B168" s="5">
        <f>101.25</f>
        <v>101.25</v>
      </c>
      <c r="C168" s="4"/>
      <c r="D168" s="5">
        <f t="shared" si="10"/>
        <v>101.25</v>
      </c>
      <c r="E168" s="6" t="str">
        <f t="shared" si="11"/>
        <v/>
      </c>
    </row>
    <row r="169" spans="1:5" x14ac:dyDescent="0.25">
      <c r="A169" s="3" t="s">
        <v>167</v>
      </c>
      <c r="B169" s="4"/>
      <c r="C169" s="4"/>
      <c r="D169" s="5">
        <f t="shared" si="10"/>
        <v>0</v>
      </c>
      <c r="E169" s="6" t="str">
        <f t="shared" si="11"/>
        <v/>
      </c>
    </row>
    <row r="170" spans="1:5" x14ac:dyDescent="0.25">
      <c r="A170" s="3" t="s">
        <v>168</v>
      </c>
      <c r="B170" s="5">
        <f>21.98</f>
        <v>21.98</v>
      </c>
      <c r="C170" s="5">
        <f>1500</f>
        <v>1500</v>
      </c>
      <c r="D170" s="5">
        <f t="shared" si="10"/>
        <v>-1478.02</v>
      </c>
      <c r="E170" s="6">
        <f t="shared" si="11"/>
        <v>1.4653333333333334E-2</v>
      </c>
    </row>
    <row r="171" spans="1:5" x14ac:dyDescent="0.25">
      <c r="A171" s="3" t="s">
        <v>169</v>
      </c>
      <c r="B171" s="5">
        <f>1879.22</f>
        <v>1879.22</v>
      </c>
      <c r="C171" s="5">
        <f>5000</f>
        <v>5000</v>
      </c>
      <c r="D171" s="5">
        <f t="shared" si="10"/>
        <v>-3120.7799999999997</v>
      </c>
      <c r="E171" s="6">
        <f t="shared" si="11"/>
        <v>0.37584400000000001</v>
      </c>
    </row>
    <row r="172" spans="1:5" x14ac:dyDescent="0.25">
      <c r="A172" s="3" t="s">
        <v>170</v>
      </c>
      <c r="B172" s="7">
        <f>((B169)+(B170))+(B171)</f>
        <v>1901.2</v>
      </c>
      <c r="C172" s="7">
        <f>((C169)+(C170))+(C171)</f>
        <v>6500</v>
      </c>
      <c r="D172" s="7">
        <f t="shared" si="10"/>
        <v>-4598.8</v>
      </c>
      <c r="E172" s="8">
        <f t="shared" si="11"/>
        <v>0.29249230769230772</v>
      </c>
    </row>
    <row r="173" spans="1:5" x14ac:dyDescent="0.25">
      <c r="A173" s="3" t="s">
        <v>171</v>
      </c>
      <c r="B173" s="7">
        <f>((((((((((((((((((((((((((((B101)+(B102))+(B103))+(B104))+(B105))+(B109))+(B112))+(B117))+(B122))+(B123))+(B127))+(B128))+(B129))+(B136))+(B140))+(B141))+(B149))+(B150))+(B151))+(B152))+(B156))+(B160))+(B161))+(B162))+(B163))+(B166))+(B167))+(B168))+(B172)</f>
        <v>340675.55</v>
      </c>
      <c r="C173" s="7">
        <f>((((((((((((((((((((((((((((C101)+(C102))+(C103))+(C104))+(C105))+(C109))+(C112))+(C117))+(C122))+(C123))+(C127))+(C128))+(C129))+(C136))+(C140))+(C141))+(C149))+(C150))+(C151))+(C152))+(C156))+(C160))+(C161))+(C162))+(C163))+(C166))+(C167))+(C168))+(C172)</f>
        <v>784381.53</v>
      </c>
      <c r="D173" s="7">
        <f t="shared" si="10"/>
        <v>-443705.98000000004</v>
      </c>
      <c r="E173" s="8">
        <f t="shared" si="11"/>
        <v>0.43432377863359428</v>
      </c>
    </row>
    <row r="174" spans="1:5" x14ac:dyDescent="0.25">
      <c r="A174" s="3" t="s">
        <v>172</v>
      </c>
      <c r="B174" s="7">
        <f>(B97)-(B173)</f>
        <v>122372.20000000001</v>
      </c>
      <c r="C174" s="7">
        <f>(C97)-(C173)</f>
        <v>0</v>
      </c>
      <c r="D174" s="7">
        <f t="shared" si="10"/>
        <v>122372.20000000001</v>
      </c>
      <c r="E174" s="8" t="str">
        <f t="shared" si="11"/>
        <v/>
      </c>
    </row>
    <row r="175" spans="1:5" x14ac:dyDescent="0.25">
      <c r="A175" s="3" t="s">
        <v>173</v>
      </c>
      <c r="B175" s="9">
        <f>(B174)+(0)</f>
        <v>122372.20000000001</v>
      </c>
      <c r="C175" s="9">
        <f>(C174)+(0)</f>
        <v>0</v>
      </c>
      <c r="D175" s="9">
        <f t="shared" si="10"/>
        <v>122372.20000000001</v>
      </c>
      <c r="E175" s="10" t="str">
        <f t="shared" si="11"/>
        <v/>
      </c>
    </row>
    <row r="176" spans="1:5" x14ac:dyDescent="0.25">
      <c r="A176" s="3"/>
      <c r="B176" s="4"/>
      <c r="C176" s="4"/>
      <c r="D176" s="4"/>
      <c r="E176" s="4"/>
    </row>
    <row r="179" spans="1:5" x14ac:dyDescent="0.25">
      <c r="A179" s="20" t="s">
        <v>174</v>
      </c>
      <c r="B179" s="21"/>
      <c r="C179" s="21"/>
      <c r="D179" s="21"/>
      <c r="E179" s="21"/>
    </row>
  </sheetData>
  <mergeCells count="5">
    <mergeCell ref="B5:E5"/>
    <mergeCell ref="A179:E179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C5A0-72A8-4BEC-847F-99A0A418B31B}">
  <sheetPr>
    <tabColor rgb="FFFF0000"/>
  </sheetPr>
  <dimension ref="A1:J55"/>
  <sheetViews>
    <sheetView zoomScale="115" zoomScaleNormal="115" workbookViewId="0">
      <selection activeCell="J33" sqref="H30:J33"/>
    </sheetView>
  </sheetViews>
  <sheetFormatPr defaultRowHeight="15" x14ac:dyDescent="0.25"/>
  <cols>
    <col min="1" max="1" width="30.140625" customWidth="1"/>
    <col min="2" max="5" width="18" customWidth="1"/>
    <col min="8" max="8" width="18.28515625" bestFit="1" customWidth="1"/>
    <col min="9" max="10" width="12.7109375" bestFit="1" customWidth="1"/>
  </cols>
  <sheetData>
    <row r="1" spans="1:10" ht="18" x14ac:dyDescent="0.25">
      <c r="A1" s="22" t="s">
        <v>175</v>
      </c>
      <c r="B1" s="21"/>
      <c r="C1" s="21"/>
      <c r="D1" s="21"/>
      <c r="E1" s="21"/>
    </row>
    <row r="2" spans="1:10" ht="18" x14ac:dyDescent="0.25">
      <c r="A2" s="22" t="s">
        <v>176</v>
      </c>
      <c r="B2" s="21"/>
      <c r="C2" s="21"/>
      <c r="D2" s="21"/>
      <c r="E2" s="21"/>
    </row>
    <row r="3" spans="1:10" x14ac:dyDescent="0.25">
      <c r="A3" s="23" t="s">
        <v>177</v>
      </c>
      <c r="B3" s="21"/>
      <c r="C3" s="21"/>
      <c r="D3" s="21"/>
      <c r="E3" s="21"/>
    </row>
    <row r="5" spans="1:10" x14ac:dyDescent="0.25">
      <c r="A5" s="1"/>
      <c r="B5" s="18" t="s">
        <v>0</v>
      </c>
      <c r="C5" s="19"/>
      <c r="D5" s="19"/>
      <c r="E5" s="19"/>
    </row>
    <row r="6" spans="1:10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10" x14ac:dyDescent="0.25">
      <c r="A7" s="3" t="s">
        <v>5</v>
      </c>
      <c r="B7" s="4"/>
      <c r="C7" s="4"/>
      <c r="D7" s="4"/>
      <c r="E7" s="4"/>
    </row>
    <row r="8" spans="1:10" x14ac:dyDescent="0.25">
      <c r="A8" s="3" t="s">
        <v>6</v>
      </c>
      <c r="B8" s="5">
        <f>409491.25</f>
        <v>409491.25</v>
      </c>
      <c r="C8" s="5">
        <f>543500</f>
        <v>543500</v>
      </c>
      <c r="D8" s="5">
        <f t="shared" ref="D8:D13" si="0">(B8)-(C8)</f>
        <v>-134008.75</v>
      </c>
      <c r="E8" s="6">
        <f t="shared" ref="E8:E13" si="1">IF(C8=0,"",(B8)/(C8))</f>
        <v>0.75343376264949402</v>
      </c>
      <c r="I8" t="s">
        <v>1</v>
      </c>
      <c r="J8" t="s">
        <v>2</v>
      </c>
    </row>
    <row r="9" spans="1:10" x14ac:dyDescent="0.25">
      <c r="A9" s="3" t="s">
        <v>11</v>
      </c>
      <c r="B9" s="5">
        <f>10941.75</f>
        <v>10941.75</v>
      </c>
      <c r="C9" s="5">
        <f>70700</f>
        <v>70700</v>
      </c>
      <c r="D9" s="5">
        <f t="shared" si="0"/>
        <v>-59758.25</v>
      </c>
      <c r="E9" s="6">
        <f t="shared" si="1"/>
        <v>0.15476308345120227</v>
      </c>
      <c r="H9" t="s">
        <v>364</v>
      </c>
      <c r="I9" s="14">
        <f>B9</f>
        <v>10941.75</v>
      </c>
      <c r="J9" s="14">
        <f>C9</f>
        <v>70700</v>
      </c>
    </row>
    <row r="10" spans="1:10" x14ac:dyDescent="0.25">
      <c r="A10" s="3" t="s">
        <v>25</v>
      </c>
      <c r="B10" s="5">
        <f>1216.03</f>
        <v>1216.03</v>
      </c>
      <c r="C10" s="5">
        <f>3000</f>
        <v>3000</v>
      </c>
      <c r="D10" s="5">
        <f t="shared" si="0"/>
        <v>-1783.97</v>
      </c>
      <c r="E10" s="6">
        <f t="shared" si="1"/>
        <v>0.40534333333333333</v>
      </c>
      <c r="H10" t="s">
        <v>363</v>
      </c>
      <c r="I10" s="14">
        <f>B11</f>
        <v>46656.1</v>
      </c>
      <c r="J10" s="14">
        <f>C11</f>
        <v>196881.53</v>
      </c>
    </row>
    <row r="11" spans="1:10" x14ac:dyDescent="0.25">
      <c r="A11" s="3" t="s">
        <v>26</v>
      </c>
      <c r="B11" s="5">
        <f>46656.1</f>
        <v>46656.1</v>
      </c>
      <c r="C11" s="5">
        <f>196881.53</f>
        <v>196881.53</v>
      </c>
      <c r="D11" s="5">
        <f t="shared" si="0"/>
        <v>-150225.43</v>
      </c>
      <c r="E11" s="6">
        <f t="shared" si="1"/>
        <v>0.23697550501563047</v>
      </c>
      <c r="H11" t="s">
        <v>362</v>
      </c>
      <c r="I11" s="14">
        <f>B8</f>
        <v>409491.25</v>
      </c>
      <c r="J11" s="14">
        <f>C8</f>
        <v>543500</v>
      </c>
    </row>
    <row r="12" spans="1:10" x14ac:dyDescent="0.25">
      <c r="A12" s="3" t="s">
        <v>89</v>
      </c>
      <c r="B12" s="5">
        <f>184.51</f>
        <v>184.51</v>
      </c>
      <c r="C12" s="5">
        <f>300</f>
        <v>300</v>
      </c>
      <c r="D12" s="5">
        <f t="shared" si="0"/>
        <v>-115.49000000000001</v>
      </c>
      <c r="E12" s="6">
        <f t="shared" si="1"/>
        <v>0.61503333333333332</v>
      </c>
    </row>
    <row r="13" spans="1:10" x14ac:dyDescent="0.25">
      <c r="A13" s="3" t="s">
        <v>90</v>
      </c>
      <c r="B13" s="9">
        <f>((((B8)+(B9))+(B10))+(B11))+(B12)</f>
        <v>468489.64</v>
      </c>
      <c r="C13" s="9">
        <f>((((C8)+(C9))+(C10))+(C11))+(C12)</f>
        <v>814381.53</v>
      </c>
      <c r="D13" s="9">
        <f t="shared" si="0"/>
        <v>-345891.89</v>
      </c>
      <c r="E13" s="10">
        <f t="shared" si="1"/>
        <v>0.57527046321887976</v>
      </c>
    </row>
    <row r="14" spans="1:10" x14ac:dyDescent="0.25">
      <c r="A14" s="3" t="s">
        <v>91</v>
      </c>
      <c r="B14" s="4"/>
      <c r="C14" s="4"/>
      <c r="D14" s="4"/>
      <c r="E14" s="4"/>
    </row>
    <row r="15" spans="1:10" x14ac:dyDescent="0.25">
      <c r="A15" s="3" t="s">
        <v>92</v>
      </c>
      <c r="B15" s="5">
        <f>4260.18</f>
        <v>4260.18</v>
      </c>
      <c r="C15" s="5">
        <f>25000</f>
        <v>25000</v>
      </c>
      <c r="D15" s="5">
        <f>(B15)-(C15)</f>
        <v>-20739.82</v>
      </c>
      <c r="E15" s="6">
        <f>IF(C15=0,"",(B15)/(C15))</f>
        <v>0.17040720000000001</v>
      </c>
    </row>
    <row r="16" spans="1:10" x14ac:dyDescent="0.25">
      <c r="A16" s="3" t="s">
        <v>93</v>
      </c>
      <c r="B16" s="5">
        <f>1181.71</f>
        <v>1181.71</v>
      </c>
      <c r="C16" s="5">
        <f>5000</f>
        <v>5000</v>
      </c>
      <c r="D16" s="5">
        <f>(B16)-(C16)</f>
        <v>-3818.29</v>
      </c>
      <c r="E16" s="6">
        <f>IF(C16=0,"",(B16)/(C16))</f>
        <v>0.236342</v>
      </c>
    </row>
    <row r="17" spans="1:10" x14ac:dyDescent="0.25">
      <c r="A17" s="3" t="s">
        <v>94</v>
      </c>
      <c r="B17" s="9">
        <f>(B15)+(B16)</f>
        <v>5441.89</v>
      </c>
      <c r="C17" s="9">
        <f>(C15)+(C16)</f>
        <v>30000</v>
      </c>
      <c r="D17" s="9">
        <f>(B17)-(C17)</f>
        <v>-24558.11</v>
      </c>
      <c r="E17" s="10">
        <f>IF(C17=0,"",(B17)/(C17))</f>
        <v>0.18139633333333335</v>
      </c>
    </row>
    <row r="18" spans="1:10" x14ac:dyDescent="0.25">
      <c r="A18" s="3" t="s">
        <v>95</v>
      </c>
      <c r="B18" s="9">
        <f>(B13)-(B17)</f>
        <v>463047.75</v>
      </c>
      <c r="C18" s="9">
        <f>(C13)-(C17)</f>
        <v>784381.53</v>
      </c>
      <c r="D18" s="9">
        <f>(B18)-(C18)</f>
        <v>-321333.78000000003</v>
      </c>
      <c r="E18" s="10">
        <f>IF(C18=0,"",(B18)/(C18))</f>
        <v>0.59033484635978106</v>
      </c>
    </row>
    <row r="19" spans="1:10" x14ac:dyDescent="0.25">
      <c r="A19" s="3" t="s">
        <v>96</v>
      </c>
      <c r="B19" s="4"/>
      <c r="C19" s="4"/>
      <c r="D19" s="4"/>
      <c r="E19" s="4"/>
    </row>
    <row r="20" spans="1:10" x14ac:dyDescent="0.25">
      <c r="A20" s="3" t="s">
        <v>97</v>
      </c>
      <c r="B20" s="5">
        <f>32572</f>
        <v>32572</v>
      </c>
      <c r="C20" s="5">
        <f>33500</f>
        <v>33500</v>
      </c>
      <c r="D20" s="5">
        <f t="shared" ref="D20:D51" si="2">(B20)-(C20)</f>
        <v>-928</v>
      </c>
      <c r="E20" s="6">
        <f t="shared" ref="E20:E51" si="3">IF(C20=0,"",(B20)/(C20))</f>
        <v>0.97229850746268653</v>
      </c>
    </row>
    <row r="21" spans="1:10" x14ac:dyDescent="0.25">
      <c r="A21" s="3" t="s">
        <v>100</v>
      </c>
      <c r="B21" s="5">
        <f>950</f>
        <v>950</v>
      </c>
      <c r="C21" s="5">
        <f>13000</f>
        <v>13000</v>
      </c>
      <c r="D21" s="5">
        <f t="shared" si="2"/>
        <v>-12050</v>
      </c>
      <c r="E21" s="6">
        <f t="shared" si="3"/>
        <v>7.3076923076923081E-2</v>
      </c>
    </row>
    <row r="22" spans="1:10" x14ac:dyDescent="0.25">
      <c r="A22" s="3" t="s">
        <v>101</v>
      </c>
      <c r="B22" s="5">
        <f>551.69</f>
        <v>551.69000000000005</v>
      </c>
      <c r="C22" s="5">
        <f>2500</f>
        <v>2500</v>
      </c>
      <c r="D22" s="5">
        <f t="shared" si="2"/>
        <v>-1948.31</v>
      </c>
      <c r="E22" s="6">
        <f t="shared" si="3"/>
        <v>0.22067600000000001</v>
      </c>
    </row>
    <row r="23" spans="1:10" x14ac:dyDescent="0.25">
      <c r="A23" s="3" t="s">
        <v>102</v>
      </c>
      <c r="B23" s="5">
        <f>5930.82</f>
        <v>5930.82</v>
      </c>
      <c r="C23" s="5">
        <f>15250</f>
        <v>15250</v>
      </c>
      <c r="D23" s="5">
        <f t="shared" si="2"/>
        <v>-9319.18</v>
      </c>
      <c r="E23" s="6">
        <f t="shared" si="3"/>
        <v>0.3889062295081967</v>
      </c>
    </row>
    <row r="24" spans="1:10" x14ac:dyDescent="0.25">
      <c r="A24" s="3" t="s">
        <v>103</v>
      </c>
      <c r="B24" s="5">
        <f>46.76</f>
        <v>46.76</v>
      </c>
      <c r="C24" s="5">
        <f>1500</f>
        <v>1500</v>
      </c>
      <c r="D24" s="5">
        <f t="shared" si="2"/>
        <v>-1453.24</v>
      </c>
      <c r="E24" s="6">
        <f t="shared" si="3"/>
        <v>3.1173333333333331E-2</v>
      </c>
    </row>
    <row r="25" spans="1:10" x14ac:dyDescent="0.25">
      <c r="A25" s="3" t="s">
        <v>104</v>
      </c>
      <c r="B25" s="4"/>
      <c r="C25" s="5">
        <f>1650</f>
        <v>1650</v>
      </c>
      <c r="D25" s="5">
        <f t="shared" si="2"/>
        <v>-1650</v>
      </c>
      <c r="E25" s="6">
        <f t="shared" si="3"/>
        <v>0</v>
      </c>
    </row>
    <row r="26" spans="1:10" x14ac:dyDescent="0.25">
      <c r="A26" s="3" t="s">
        <v>108</v>
      </c>
      <c r="B26" s="5">
        <f>7606.02</f>
        <v>7606.02</v>
      </c>
      <c r="C26" s="5">
        <f>15250</f>
        <v>15250</v>
      </c>
      <c r="D26" s="5">
        <f t="shared" si="2"/>
        <v>-7643.98</v>
      </c>
      <c r="E26" s="6">
        <f t="shared" si="3"/>
        <v>0.49875540983606559</v>
      </c>
    </row>
    <row r="27" spans="1:10" x14ac:dyDescent="0.25">
      <c r="A27" s="3" t="s">
        <v>111</v>
      </c>
      <c r="B27" s="15">
        <f>28812.46</f>
        <v>28812.46</v>
      </c>
      <c r="C27" s="5">
        <f>64980</f>
        <v>64980</v>
      </c>
      <c r="D27" s="5">
        <f t="shared" si="2"/>
        <v>-36167.54</v>
      </c>
      <c r="E27" s="6">
        <f t="shared" si="3"/>
        <v>0.44340504770698674</v>
      </c>
    </row>
    <row r="28" spans="1:10" x14ac:dyDescent="0.25">
      <c r="A28" s="3" t="s">
        <v>116</v>
      </c>
      <c r="B28" s="5">
        <f>6484.56</f>
        <v>6484.56</v>
      </c>
      <c r="C28" s="5">
        <f>14750</f>
        <v>14750</v>
      </c>
      <c r="D28" s="5">
        <f t="shared" si="2"/>
        <v>-8265.4399999999987</v>
      </c>
      <c r="E28" s="6">
        <f t="shared" si="3"/>
        <v>0.439631186440678</v>
      </c>
    </row>
    <row r="29" spans="1:10" x14ac:dyDescent="0.25">
      <c r="A29" s="3" t="s">
        <v>121</v>
      </c>
      <c r="B29" s="5">
        <f>3397.85</f>
        <v>3397.85</v>
      </c>
      <c r="C29" s="5">
        <f>8000</f>
        <v>8000</v>
      </c>
      <c r="D29" s="5">
        <f t="shared" si="2"/>
        <v>-4602.1499999999996</v>
      </c>
      <c r="E29" s="6">
        <f t="shared" si="3"/>
        <v>0.42473125</v>
      </c>
    </row>
    <row r="30" spans="1:10" x14ac:dyDescent="0.25">
      <c r="A30" s="3" t="s">
        <v>122</v>
      </c>
      <c r="B30" s="5">
        <f>4304.04</f>
        <v>4304.04</v>
      </c>
      <c r="C30" s="5">
        <f>11500</f>
        <v>11500</v>
      </c>
      <c r="D30" s="5">
        <f t="shared" si="2"/>
        <v>-7195.96</v>
      </c>
      <c r="E30" s="6">
        <f t="shared" si="3"/>
        <v>0.37426434782608697</v>
      </c>
      <c r="I30" t="s">
        <v>1</v>
      </c>
      <c r="J30" t="s">
        <v>2</v>
      </c>
    </row>
    <row r="31" spans="1:10" x14ac:dyDescent="0.25">
      <c r="A31" s="3" t="s">
        <v>126</v>
      </c>
      <c r="B31" s="5">
        <f>964.58</f>
        <v>964.58</v>
      </c>
      <c r="C31" s="5">
        <f>3000</f>
        <v>3000</v>
      </c>
      <c r="D31" s="5">
        <f t="shared" si="2"/>
        <v>-2035.42</v>
      </c>
      <c r="E31" s="6">
        <f t="shared" si="3"/>
        <v>0.32152666666666668</v>
      </c>
      <c r="H31" t="s">
        <v>366</v>
      </c>
      <c r="I31" s="14">
        <f>B27</f>
        <v>28812.46</v>
      </c>
      <c r="J31" s="14">
        <f>C27</f>
        <v>64980</v>
      </c>
    </row>
    <row r="32" spans="1:10" x14ac:dyDescent="0.25">
      <c r="A32" s="3" t="s">
        <v>127</v>
      </c>
      <c r="B32" s="4"/>
      <c r="C32" s="5">
        <f>841.67</f>
        <v>841.67</v>
      </c>
      <c r="D32" s="5">
        <f t="shared" si="2"/>
        <v>-841.67</v>
      </c>
      <c r="E32" s="6">
        <f t="shared" si="3"/>
        <v>0</v>
      </c>
      <c r="H32" t="s">
        <v>367</v>
      </c>
      <c r="I32" s="14">
        <f>B34</f>
        <v>15800</v>
      </c>
      <c r="J32" s="14">
        <f>C34</f>
        <v>18400</v>
      </c>
    </row>
    <row r="33" spans="1:10" x14ac:dyDescent="0.25">
      <c r="A33" s="3" t="s">
        <v>128</v>
      </c>
      <c r="B33" s="15">
        <f>207956.48</f>
        <v>207956.48000000001</v>
      </c>
      <c r="C33" s="5">
        <f>510899.86</f>
        <v>510899.86</v>
      </c>
      <c r="D33" s="5">
        <f t="shared" si="2"/>
        <v>-302943.38</v>
      </c>
      <c r="E33" s="6">
        <f t="shared" si="3"/>
        <v>0.40703961046299764</v>
      </c>
      <c r="H33" t="s">
        <v>365</v>
      </c>
      <c r="I33" s="14">
        <f>B33</f>
        <v>207956.48000000001</v>
      </c>
      <c r="J33" s="14">
        <f>C33</f>
        <v>510899.86</v>
      </c>
    </row>
    <row r="34" spans="1:10" x14ac:dyDescent="0.25">
      <c r="A34" s="3" t="s">
        <v>135</v>
      </c>
      <c r="B34" s="15">
        <f>15800</f>
        <v>15800</v>
      </c>
      <c r="C34" s="5">
        <f>18400</f>
        <v>18400</v>
      </c>
      <c r="D34" s="5">
        <f t="shared" si="2"/>
        <v>-2600</v>
      </c>
      <c r="E34" s="6">
        <f t="shared" si="3"/>
        <v>0.85869565217391308</v>
      </c>
    </row>
    <row r="35" spans="1:10" x14ac:dyDescent="0.25">
      <c r="A35" s="3" t="s">
        <v>139</v>
      </c>
      <c r="B35" s="4"/>
      <c r="C35" s="5">
        <f>2500</f>
        <v>2500</v>
      </c>
      <c r="D35" s="5">
        <f t="shared" si="2"/>
        <v>-2500</v>
      </c>
      <c r="E35" s="6">
        <f t="shared" si="3"/>
        <v>0</v>
      </c>
    </row>
    <row r="36" spans="1:10" x14ac:dyDescent="0.25">
      <c r="A36" s="3" t="s">
        <v>140</v>
      </c>
      <c r="B36" s="5">
        <f>3490.73</f>
        <v>3490.73</v>
      </c>
      <c r="C36" s="5">
        <f>7725</f>
        <v>7725</v>
      </c>
      <c r="D36" s="5">
        <f t="shared" si="2"/>
        <v>-4234.2700000000004</v>
      </c>
      <c r="E36" s="6">
        <f t="shared" si="3"/>
        <v>0.45187443365695795</v>
      </c>
    </row>
    <row r="37" spans="1:10" x14ac:dyDescent="0.25">
      <c r="A37" s="3" t="s">
        <v>148</v>
      </c>
      <c r="B37" s="5">
        <f>445.32</f>
        <v>445.32</v>
      </c>
      <c r="C37" s="5">
        <f>2250</f>
        <v>2250</v>
      </c>
      <c r="D37" s="5">
        <f t="shared" si="2"/>
        <v>-1804.68</v>
      </c>
      <c r="E37" s="6">
        <f t="shared" si="3"/>
        <v>0.19791999999999998</v>
      </c>
    </row>
    <row r="38" spans="1:10" x14ac:dyDescent="0.25">
      <c r="A38" s="3" t="s">
        <v>149</v>
      </c>
      <c r="B38" s="5">
        <f>6454.25</f>
        <v>6454.25</v>
      </c>
      <c r="C38" s="5">
        <f>11500</f>
        <v>11500</v>
      </c>
      <c r="D38" s="5">
        <f t="shared" si="2"/>
        <v>-5045.75</v>
      </c>
      <c r="E38" s="6">
        <f t="shared" si="3"/>
        <v>0.56123913043478257</v>
      </c>
    </row>
    <row r="39" spans="1:10" x14ac:dyDescent="0.25">
      <c r="A39" s="3" t="s">
        <v>150</v>
      </c>
      <c r="B39" s="5">
        <f>2707.67</f>
        <v>2707.67</v>
      </c>
      <c r="C39" s="5">
        <f>6000</f>
        <v>6000</v>
      </c>
      <c r="D39" s="5">
        <f t="shared" si="2"/>
        <v>-3292.33</v>
      </c>
      <c r="E39" s="6">
        <f t="shared" si="3"/>
        <v>0.45127833333333334</v>
      </c>
    </row>
    <row r="40" spans="1:10" x14ac:dyDescent="0.25">
      <c r="A40" s="3" t="s">
        <v>151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1</v>
      </c>
    </row>
    <row r="41" spans="1:10" x14ac:dyDescent="0.25">
      <c r="A41" s="3" t="s">
        <v>155</v>
      </c>
      <c r="B41" s="5">
        <f>2126.37</f>
        <v>2126.37</v>
      </c>
      <c r="C41" s="5">
        <f>6500</f>
        <v>6500</v>
      </c>
      <c r="D41" s="5">
        <f t="shared" si="2"/>
        <v>-4373.63</v>
      </c>
      <c r="E41" s="6">
        <f t="shared" si="3"/>
        <v>0.32713384615384616</v>
      </c>
    </row>
    <row r="42" spans="1:10" x14ac:dyDescent="0.25">
      <c r="A42" s="3" t="s">
        <v>159</v>
      </c>
      <c r="B42" s="5">
        <f>130</f>
        <v>130</v>
      </c>
      <c r="C42" s="5">
        <f>175</f>
        <v>175</v>
      </c>
      <c r="D42" s="5">
        <f t="shared" si="2"/>
        <v>-45</v>
      </c>
      <c r="E42" s="6">
        <f t="shared" si="3"/>
        <v>0.74285714285714288</v>
      </c>
    </row>
    <row r="43" spans="1:10" x14ac:dyDescent="0.25">
      <c r="A43" s="3" t="s">
        <v>160</v>
      </c>
      <c r="B43" s="5">
        <f>6023.85</f>
        <v>6023.85</v>
      </c>
      <c r="C43" s="5">
        <f>7750</f>
        <v>7750</v>
      </c>
      <c r="D43" s="5">
        <f t="shared" si="2"/>
        <v>-1726.1499999999996</v>
      </c>
      <c r="E43" s="6">
        <f t="shared" si="3"/>
        <v>0.77727096774193549</v>
      </c>
    </row>
    <row r="44" spans="1:10" x14ac:dyDescent="0.25">
      <c r="A44" s="3" t="s">
        <v>161</v>
      </c>
      <c r="B44" s="5">
        <f>35</f>
        <v>35</v>
      </c>
      <c r="C44" s="5">
        <f>750</f>
        <v>750</v>
      </c>
      <c r="D44" s="5">
        <f t="shared" si="2"/>
        <v>-715</v>
      </c>
      <c r="E44" s="6">
        <f t="shared" si="3"/>
        <v>4.6666666666666669E-2</v>
      </c>
    </row>
    <row r="45" spans="1:10" x14ac:dyDescent="0.25">
      <c r="A45" s="3" t="s">
        <v>162</v>
      </c>
      <c r="B45" s="5">
        <f>100</f>
        <v>100</v>
      </c>
      <c r="C45" s="5">
        <f>13250</f>
        <v>13250</v>
      </c>
      <c r="D45" s="5">
        <f t="shared" si="2"/>
        <v>-13150</v>
      </c>
      <c r="E45" s="6">
        <f t="shared" si="3"/>
        <v>7.5471698113207548E-3</v>
      </c>
    </row>
    <row r="46" spans="1:10" x14ac:dyDescent="0.25">
      <c r="A46" s="3" t="s">
        <v>165</v>
      </c>
      <c r="B46" s="5">
        <f>572.65</f>
        <v>572.65</v>
      </c>
      <c r="C46" s="5">
        <f>3250</f>
        <v>3250</v>
      </c>
      <c r="D46" s="5">
        <f t="shared" si="2"/>
        <v>-2677.35</v>
      </c>
      <c r="E46" s="6">
        <f t="shared" si="3"/>
        <v>0.1762</v>
      </c>
    </row>
    <row r="47" spans="1:10" x14ac:dyDescent="0.25">
      <c r="A47" s="3" t="s">
        <v>166</v>
      </c>
      <c r="B47" s="5">
        <f>101.25</f>
        <v>101.25</v>
      </c>
      <c r="C47" s="4"/>
      <c r="D47" s="5">
        <f t="shared" si="2"/>
        <v>101.25</v>
      </c>
      <c r="E47" s="6" t="str">
        <f t="shared" si="3"/>
        <v/>
      </c>
    </row>
    <row r="48" spans="1:10" x14ac:dyDescent="0.25">
      <c r="A48" s="3" t="s">
        <v>167</v>
      </c>
      <c r="B48" s="5">
        <f>1901.2</f>
        <v>1901.2</v>
      </c>
      <c r="C48" s="5">
        <f>6500</f>
        <v>6500</v>
      </c>
      <c r="D48" s="5">
        <f t="shared" si="2"/>
        <v>-4598.8</v>
      </c>
      <c r="E48" s="6">
        <f t="shared" si="3"/>
        <v>0.29249230769230772</v>
      </c>
    </row>
    <row r="49" spans="1:5" x14ac:dyDescent="0.25">
      <c r="A49" s="3" t="s">
        <v>171</v>
      </c>
      <c r="B49" s="9">
        <f>((((((((((((((((((((((((((((B20)+(B21))+(B22))+(B23))+(B24))+(B25))+(B26))+(B27))+(B28))+(B29))+(B30))+(B31))+(B32))+(B33))+(B34))+(B35))+(B36))+(B37))+(B38))+(B39))+(B40))+(B41))+(B42))+(B43))+(B44))+(B45))+(B46))+(B47))+(B48)</f>
        <v>340675.55</v>
      </c>
      <c r="C49" s="9">
        <f>((((((((((((((((((((((((((((C20)+(C21))+(C22))+(C23))+(C24))+(C25))+(C26))+(C27))+(C28))+(C29))+(C30))+(C31))+(C32))+(C33))+(C34))+(C35))+(C36))+(C37))+(C38))+(C39))+(C40))+(C41))+(C42))+(C43))+(C44))+(C45))+(C46))+(C47))+(C48)</f>
        <v>784381.53</v>
      </c>
      <c r="D49" s="9">
        <f t="shared" si="2"/>
        <v>-443705.98000000004</v>
      </c>
      <c r="E49" s="10">
        <f t="shared" si="3"/>
        <v>0.43432377863359428</v>
      </c>
    </row>
    <row r="50" spans="1:5" x14ac:dyDescent="0.25">
      <c r="A50" s="3" t="s">
        <v>172</v>
      </c>
      <c r="B50" s="9">
        <f>(B18)-(B49)</f>
        <v>122372.20000000001</v>
      </c>
      <c r="C50" s="9">
        <f>(C18)-(C49)</f>
        <v>0</v>
      </c>
      <c r="D50" s="9">
        <f t="shared" si="2"/>
        <v>122372.20000000001</v>
      </c>
      <c r="E50" s="10" t="str">
        <f t="shared" si="3"/>
        <v/>
      </c>
    </row>
    <row r="51" spans="1:5" x14ac:dyDescent="0.25">
      <c r="A51" s="3" t="s">
        <v>173</v>
      </c>
      <c r="B51" s="9">
        <f>(B50)+(0)</f>
        <v>122372.20000000001</v>
      </c>
      <c r="C51" s="9">
        <f>(C50)+(0)</f>
        <v>0</v>
      </c>
      <c r="D51" s="9">
        <f t="shared" si="2"/>
        <v>122372.20000000001</v>
      </c>
      <c r="E51" s="10" t="str">
        <f t="shared" si="3"/>
        <v/>
      </c>
    </row>
    <row r="52" spans="1:5" x14ac:dyDescent="0.25">
      <c r="A52" s="3"/>
      <c r="B52" s="4"/>
      <c r="C52" s="4"/>
      <c r="D52" s="4"/>
      <c r="E52" s="4"/>
    </row>
    <row r="55" spans="1:5" x14ac:dyDescent="0.25">
      <c r="A55" s="20" t="s">
        <v>178</v>
      </c>
      <c r="B55" s="21"/>
      <c r="C55" s="21"/>
      <c r="D55" s="21"/>
      <c r="E55" s="21"/>
    </row>
  </sheetData>
  <mergeCells count="5">
    <mergeCell ref="A1:E1"/>
    <mergeCell ref="A2:E2"/>
    <mergeCell ref="A3:E3"/>
    <mergeCell ref="B5:E5"/>
    <mergeCell ref="A55:E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DC94-2A86-4042-87A5-127605969EBE}">
  <dimension ref="A1:E179"/>
  <sheetViews>
    <sheetView topLeftCell="A75" workbookViewId="0">
      <selection sqref="A1:E179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22" t="s">
        <v>175</v>
      </c>
      <c r="B1" s="21"/>
      <c r="C1" s="21"/>
      <c r="D1" s="21"/>
      <c r="E1" s="21"/>
    </row>
    <row r="2" spans="1:5" ht="18" x14ac:dyDescent="0.25">
      <c r="A2" s="22" t="s">
        <v>179</v>
      </c>
      <c r="B2" s="21"/>
      <c r="C2" s="21"/>
      <c r="D2" s="21"/>
      <c r="E2" s="21"/>
    </row>
    <row r="3" spans="1:5" x14ac:dyDescent="0.25">
      <c r="A3" s="23" t="s">
        <v>180</v>
      </c>
      <c r="B3" s="21"/>
      <c r="C3" s="21"/>
      <c r="D3" s="21"/>
      <c r="E3" s="21"/>
    </row>
    <row r="5" spans="1:5" x14ac:dyDescent="0.25">
      <c r="A5" s="1"/>
      <c r="B5" s="18" t="s">
        <v>0</v>
      </c>
      <c r="C5" s="19"/>
      <c r="D5" s="19"/>
      <c r="E5" s="19"/>
    </row>
    <row r="6" spans="1:5" x14ac:dyDescent="0.25">
      <c r="A6" s="1"/>
      <c r="B6" s="2" t="s">
        <v>181</v>
      </c>
      <c r="C6" s="2" t="s">
        <v>182</v>
      </c>
      <c r="D6" s="2" t="s">
        <v>183</v>
      </c>
      <c r="E6" s="2" t="s">
        <v>184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71" si="0">(B8)-(C8)</f>
        <v>0</v>
      </c>
      <c r="E8" s="6" t="str">
        <f t="shared" ref="E8:E71" si="1">IF(ABS((C8))=0,"",((B8)-(C8))/(ABS((C8))))</f>
        <v/>
      </c>
    </row>
    <row r="9" spans="1:5" x14ac:dyDescent="0.25">
      <c r="A9" s="3" t="s">
        <v>7</v>
      </c>
      <c r="B9" s="4"/>
      <c r="C9" s="5">
        <f>32400</f>
        <v>32400</v>
      </c>
      <c r="D9" s="5">
        <f t="shared" si="0"/>
        <v>-32400</v>
      </c>
      <c r="E9" s="6">
        <f t="shared" si="1"/>
        <v>-1</v>
      </c>
    </row>
    <row r="10" spans="1:5" x14ac:dyDescent="0.25">
      <c r="A10" s="3" t="s">
        <v>8</v>
      </c>
      <c r="B10" s="5">
        <f>267500</f>
        <v>267500</v>
      </c>
      <c r="C10" s="5">
        <f>245000</f>
        <v>245000</v>
      </c>
      <c r="D10" s="5">
        <f t="shared" si="0"/>
        <v>22500</v>
      </c>
      <c r="E10" s="6">
        <f t="shared" si="1"/>
        <v>9.1836734693877556E-2</v>
      </c>
    </row>
    <row r="11" spans="1:5" x14ac:dyDescent="0.25">
      <c r="A11" s="3" t="s">
        <v>9</v>
      </c>
      <c r="B11" s="5">
        <f>8241.25</f>
        <v>8241.25</v>
      </c>
      <c r="C11" s="5">
        <f>2000</f>
        <v>2000</v>
      </c>
      <c r="D11" s="5">
        <f t="shared" si="0"/>
        <v>6241.25</v>
      </c>
      <c r="E11" s="6">
        <f t="shared" si="1"/>
        <v>3.120625</v>
      </c>
    </row>
    <row r="12" spans="1:5" x14ac:dyDescent="0.25">
      <c r="A12" s="3" t="s">
        <v>10</v>
      </c>
      <c r="B12" s="9">
        <f>(((B8)+(B9))+(B10))+(B11)</f>
        <v>275741.25</v>
      </c>
      <c r="C12" s="9">
        <f>(((C8)+(C9))+(C10))+(C11)</f>
        <v>279400</v>
      </c>
      <c r="D12" s="9">
        <f t="shared" si="0"/>
        <v>-3658.75</v>
      </c>
      <c r="E12" s="10">
        <f t="shared" si="1"/>
        <v>-1.3095025053686472E-2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185</v>
      </c>
      <c r="B15" s="4"/>
      <c r="C15" s="5">
        <f>5000</f>
        <v>5000</v>
      </c>
      <c r="D15" s="5">
        <f t="shared" si="0"/>
        <v>-5000</v>
      </c>
      <c r="E15" s="6">
        <f t="shared" si="1"/>
        <v>-1</v>
      </c>
    </row>
    <row r="16" spans="1:5" x14ac:dyDescent="0.25">
      <c r="A16" s="3" t="s">
        <v>13</v>
      </c>
      <c r="B16" s="5">
        <f>761.75</f>
        <v>761.75</v>
      </c>
      <c r="C16" s="5">
        <f>2006.95</f>
        <v>2006.95</v>
      </c>
      <c r="D16" s="5">
        <f t="shared" si="0"/>
        <v>-1245.2</v>
      </c>
      <c r="E16" s="6">
        <f t="shared" si="1"/>
        <v>-0.62044395724856127</v>
      </c>
    </row>
    <row r="17" spans="1:5" x14ac:dyDescent="0.25">
      <c r="A17" s="3" t="s">
        <v>14</v>
      </c>
      <c r="B17" s="5">
        <f>100</f>
        <v>100</v>
      </c>
      <c r="C17" s="4"/>
      <c r="D17" s="5">
        <f t="shared" si="0"/>
        <v>100</v>
      </c>
      <c r="E17" s="6" t="str">
        <f t="shared" si="1"/>
        <v/>
      </c>
    </row>
    <row r="18" spans="1:5" x14ac:dyDescent="0.25">
      <c r="A18" s="3" t="s">
        <v>15</v>
      </c>
      <c r="B18" s="9">
        <f>(((B14)+(B15))+(B16))+(B17)</f>
        <v>861.75</v>
      </c>
      <c r="C18" s="9">
        <f>(((C14)+(C15))+(C16))+(C17)</f>
        <v>7006.95</v>
      </c>
      <c r="D18" s="9">
        <f t="shared" si="0"/>
        <v>-6145.2</v>
      </c>
      <c r="E18" s="10">
        <f t="shared" si="1"/>
        <v>-0.87701496371459764</v>
      </c>
    </row>
    <row r="19" spans="1:5" x14ac:dyDescent="0.25">
      <c r="A19" s="3" t="s">
        <v>16</v>
      </c>
      <c r="B19" s="5">
        <f>1200</f>
        <v>1200</v>
      </c>
      <c r="C19" s="5">
        <f>1200</f>
        <v>1200</v>
      </c>
      <c r="D19" s="5">
        <f t="shared" si="0"/>
        <v>0</v>
      </c>
      <c r="E19" s="6">
        <f t="shared" si="1"/>
        <v>0</v>
      </c>
    </row>
    <row r="20" spans="1:5" x14ac:dyDescent="0.25">
      <c r="A20" s="3" t="s">
        <v>17</v>
      </c>
      <c r="B20" s="5">
        <f>3825</f>
        <v>3825</v>
      </c>
      <c r="C20" s="5">
        <f>3743.03</f>
        <v>3743.03</v>
      </c>
      <c r="D20" s="5">
        <f t="shared" si="0"/>
        <v>81.9699999999998</v>
      </c>
      <c r="E20" s="6">
        <f t="shared" si="1"/>
        <v>2.1899370296257256E-2</v>
      </c>
    </row>
    <row r="21" spans="1:5" x14ac:dyDescent="0.25">
      <c r="A21" s="3" t="s">
        <v>20</v>
      </c>
      <c r="B21" s="5">
        <f>4935</f>
        <v>4935</v>
      </c>
      <c r="C21" s="5">
        <f>6145</f>
        <v>6145</v>
      </c>
      <c r="D21" s="5">
        <f t="shared" si="0"/>
        <v>-1210</v>
      </c>
      <c r="E21" s="6">
        <f t="shared" si="1"/>
        <v>-0.1969080553295362</v>
      </c>
    </row>
    <row r="22" spans="1:5" x14ac:dyDescent="0.25">
      <c r="A22" s="3" t="s">
        <v>21</v>
      </c>
      <c r="B22" s="4"/>
      <c r="C22" s="4"/>
      <c r="D22" s="5">
        <f t="shared" si="0"/>
        <v>0</v>
      </c>
      <c r="E22" s="6" t="str">
        <f t="shared" si="1"/>
        <v/>
      </c>
    </row>
    <row r="23" spans="1:5" x14ac:dyDescent="0.25">
      <c r="A23" s="3" t="s">
        <v>22</v>
      </c>
      <c r="B23" s="5">
        <f>25</f>
        <v>25</v>
      </c>
      <c r="C23" s="4"/>
      <c r="D23" s="5">
        <f t="shared" si="0"/>
        <v>25</v>
      </c>
      <c r="E23" s="6" t="str">
        <f t="shared" si="1"/>
        <v/>
      </c>
    </row>
    <row r="24" spans="1:5" x14ac:dyDescent="0.25">
      <c r="A24" s="3" t="s">
        <v>23</v>
      </c>
      <c r="B24" s="9">
        <f>(B22)+(B23)</f>
        <v>25</v>
      </c>
      <c r="C24" s="9">
        <f>(C22)+(C23)</f>
        <v>0</v>
      </c>
      <c r="D24" s="9">
        <f t="shared" si="0"/>
        <v>25</v>
      </c>
      <c r="E24" s="10" t="str">
        <f t="shared" si="1"/>
        <v/>
      </c>
    </row>
    <row r="25" spans="1:5" x14ac:dyDescent="0.25">
      <c r="A25" s="3" t="s">
        <v>24</v>
      </c>
      <c r="B25" s="9">
        <f>(((((B13)+(B18))+(B19))+(B20))+(B21))+(B24)</f>
        <v>10846.75</v>
      </c>
      <c r="C25" s="9">
        <f>(((((C13)+(C18))+(C19))+(C20))+(C21))+(C24)</f>
        <v>18094.980000000003</v>
      </c>
      <c r="D25" s="9">
        <f t="shared" si="0"/>
        <v>-7248.2300000000032</v>
      </c>
      <c r="E25" s="10">
        <f t="shared" si="1"/>
        <v>-0.40056579228051103</v>
      </c>
    </row>
    <row r="26" spans="1:5" x14ac:dyDescent="0.25">
      <c r="A26" s="3" t="s">
        <v>186</v>
      </c>
      <c r="B26" s="4"/>
      <c r="C26" s="5">
        <f>0</f>
        <v>0</v>
      </c>
      <c r="D26" s="5">
        <f t="shared" si="0"/>
        <v>0</v>
      </c>
      <c r="E26" s="6" t="str">
        <f t="shared" si="1"/>
        <v/>
      </c>
    </row>
    <row r="27" spans="1:5" x14ac:dyDescent="0.25">
      <c r="A27" s="3" t="s">
        <v>25</v>
      </c>
      <c r="B27" s="5">
        <f>1216.03</f>
        <v>1216.03</v>
      </c>
      <c r="C27" s="5">
        <f>1767.86</f>
        <v>1767.86</v>
      </c>
      <c r="D27" s="5">
        <f t="shared" si="0"/>
        <v>-551.82999999999993</v>
      </c>
      <c r="E27" s="6">
        <f t="shared" si="1"/>
        <v>-0.31214575814826961</v>
      </c>
    </row>
    <row r="28" spans="1:5" x14ac:dyDescent="0.25">
      <c r="A28" s="3" t="s">
        <v>26</v>
      </c>
      <c r="B28" s="4"/>
      <c r="C28" s="4"/>
      <c r="D28" s="5">
        <f t="shared" si="0"/>
        <v>0</v>
      </c>
      <c r="E28" s="6" t="str">
        <f t="shared" si="1"/>
        <v/>
      </c>
    </row>
    <row r="29" spans="1:5" x14ac:dyDescent="0.25">
      <c r="A29" s="3" t="s">
        <v>27</v>
      </c>
      <c r="B29" s="5">
        <f>10</f>
        <v>10</v>
      </c>
      <c r="C29" s="5">
        <f>30.45</f>
        <v>30.45</v>
      </c>
      <c r="D29" s="5">
        <f t="shared" si="0"/>
        <v>-20.45</v>
      </c>
      <c r="E29" s="6">
        <f t="shared" si="1"/>
        <v>-0.67159277504105086</v>
      </c>
    </row>
    <row r="30" spans="1:5" x14ac:dyDescent="0.25">
      <c r="A30" s="3" t="s">
        <v>28</v>
      </c>
      <c r="B30" s="4"/>
      <c r="C30" s="4"/>
      <c r="D30" s="5">
        <f t="shared" si="0"/>
        <v>0</v>
      </c>
      <c r="E30" s="6" t="str">
        <f t="shared" si="1"/>
        <v/>
      </c>
    </row>
    <row r="31" spans="1:5" x14ac:dyDescent="0.25">
      <c r="A31" s="3" t="s">
        <v>29</v>
      </c>
      <c r="B31" s="5">
        <f>2350</f>
        <v>2350</v>
      </c>
      <c r="C31" s="5">
        <f>2250</f>
        <v>2250</v>
      </c>
      <c r="D31" s="5">
        <f t="shared" si="0"/>
        <v>100</v>
      </c>
      <c r="E31" s="6">
        <f t="shared" si="1"/>
        <v>4.4444444444444446E-2</v>
      </c>
    </row>
    <row r="32" spans="1:5" x14ac:dyDescent="0.25">
      <c r="A32" s="3" t="s">
        <v>30</v>
      </c>
      <c r="B32" s="5">
        <f>2940</f>
        <v>2940</v>
      </c>
      <c r="C32" s="5">
        <f>5346</f>
        <v>5346</v>
      </c>
      <c r="D32" s="5">
        <f t="shared" si="0"/>
        <v>-2406</v>
      </c>
      <c r="E32" s="6">
        <f t="shared" si="1"/>
        <v>-0.45005611672278339</v>
      </c>
    </row>
    <row r="33" spans="1:5" x14ac:dyDescent="0.25">
      <c r="A33" s="3" t="s">
        <v>31</v>
      </c>
      <c r="B33" s="5">
        <f>1725</f>
        <v>1725</v>
      </c>
      <c r="C33" s="5">
        <f>645</f>
        <v>645</v>
      </c>
      <c r="D33" s="5">
        <f t="shared" si="0"/>
        <v>1080</v>
      </c>
      <c r="E33" s="6">
        <f t="shared" si="1"/>
        <v>1.6744186046511629</v>
      </c>
    </row>
    <row r="34" spans="1:5" x14ac:dyDescent="0.25">
      <c r="A34" s="3" t="s">
        <v>32</v>
      </c>
      <c r="B34" s="5">
        <f>18836</f>
        <v>18836</v>
      </c>
      <c r="C34" s="5">
        <f>6473</f>
        <v>6473</v>
      </c>
      <c r="D34" s="5">
        <f t="shared" si="0"/>
        <v>12363</v>
      </c>
      <c r="E34" s="6">
        <f t="shared" si="1"/>
        <v>1.9099335702147382</v>
      </c>
    </row>
    <row r="35" spans="1:5" x14ac:dyDescent="0.25">
      <c r="A35" s="3" t="s">
        <v>33</v>
      </c>
      <c r="B35" s="5">
        <f>750</f>
        <v>750</v>
      </c>
      <c r="C35" s="5">
        <f>300</f>
        <v>300</v>
      </c>
      <c r="D35" s="5">
        <f t="shared" si="0"/>
        <v>450</v>
      </c>
      <c r="E35" s="6">
        <f t="shared" si="1"/>
        <v>1.5</v>
      </c>
    </row>
    <row r="36" spans="1:5" x14ac:dyDescent="0.25">
      <c r="A36" s="3" t="s">
        <v>34</v>
      </c>
      <c r="B36" s="9">
        <f>(((((B30)+(B31))+(B32))+(B33))+(B34))+(B35)</f>
        <v>26601</v>
      </c>
      <c r="C36" s="9">
        <f>(((((C30)+(C31))+(C32))+(C33))+(C34))+(C35)</f>
        <v>15014</v>
      </c>
      <c r="D36" s="9">
        <f t="shared" si="0"/>
        <v>11587</v>
      </c>
      <c r="E36" s="10">
        <f t="shared" si="1"/>
        <v>0.77174637005461566</v>
      </c>
    </row>
    <row r="37" spans="1:5" x14ac:dyDescent="0.25">
      <c r="A37" s="3" t="s">
        <v>35</v>
      </c>
      <c r="B37" s="4"/>
      <c r="C37" s="4"/>
      <c r="D37" s="5">
        <f t="shared" si="0"/>
        <v>0</v>
      </c>
      <c r="E37" s="6" t="str">
        <f t="shared" si="1"/>
        <v/>
      </c>
    </row>
    <row r="38" spans="1:5" x14ac:dyDescent="0.25">
      <c r="A38" s="3" t="s">
        <v>36</v>
      </c>
      <c r="B38" s="5">
        <f>10</f>
        <v>10</v>
      </c>
      <c r="C38" s="4"/>
      <c r="D38" s="5">
        <f t="shared" si="0"/>
        <v>10</v>
      </c>
      <c r="E38" s="6" t="str">
        <f t="shared" si="1"/>
        <v/>
      </c>
    </row>
    <row r="39" spans="1:5" x14ac:dyDescent="0.25">
      <c r="A39" s="3" t="s">
        <v>187</v>
      </c>
      <c r="B39" s="4"/>
      <c r="C39" s="5">
        <f>0</f>
        <v>0</v>
      </c>
      <c r="D39" s="5">
        <f t="shared" si="0"/>
        <v>0</v>
      </c>
      <c r="E39" s="6" t="str">
        <f t="shared" si="1"/>
        <v/>
      </c>
    </row>
    <row r="40" spans="1:5" x14ac:dyDescent="0.25">
      <c r="A40" s="3" t="s">
        <v>37</v>
      </c>
      <c r="B40" s="5">
        <f>88.85</f>
        <v>88.85</v>
      </c>
      <c r="C40" s="5">
        <f>15</f>
        <v>15</v>
      </c>
      <c r="D40" s="5">
        <f t="shared" si="0"/>
        <v>73.849999999999994</v>
      </c>
      <c r="E40" s="6">
        <f t="shared" si="1"/>
        <v>4.9233333333333329</v>
      </c>
    </row>
    <row r="41" spans="1:5" x14ac:dyDescent="0.25">
      <c r="A41" s="3" t="s">
        <v>38</v>
      </c>
      <c r="B41" s="9">
        <f>(((B37)+(B38))+(B39))+(B40)</f>
        <v>98.85</v>
      </c>
      <c r="C41" s="9">
        <f>(((C37)+(C38))+(C39))+(C40)</f>
        <v>15</v>
      </c>
      <c r="D41" s="9">
        <f t="shared" si="0"/>
        <v>83.85</v>
      </c>
      <c r="E41" s="10">
        <f t="shared" si="1"/>
        <v>5.59</v>
      </c>
    </row>
    <row r="42" spans="1:5" x14ac:dyDescent="0.25">
      <c r="A42" s="3" t="s">
        <v>39</v>
      </c>
      <c r="B42" s="5">
        <f>19</f>
        <v>19</v>
      </c>
      <c r="C42" s="5">
        <f>90</f>
        <v>90</v>
      </c>
      <c r="D42" s="5">
        <f t="shared" si="0"/>
        <v>-71</v>
      </c>
      <c r="E42" s="6">
        <f t="shared" si="1"/>
        <v>-0.78888888888888886</v>
      </c>
    </row>
    <row r="43" spans="1:5" x14ac:dyDescent="0.25">
      <c r="A43" s="3" t="s">
        <v>40</v>
      </c>
      <c r="B43" s="5">
        <f>425</f>
        <v>425</v>
      </c>
      <c r="C43" s="5">
        <f>260</f>
        <v>260</v>
      </c>
      <c r="D43" s="5">
        <f t="shared" si="0"/>
        <v>165</v>
      </c>
      <c r="E43" s="6">
        <f t="shared" si="1"/>
        <v>0.63461538461538458</v>
      </c>
    </row>
    <row r="44" spans="1:5" x14ac:dyDescent="0.25">
      <c r="A44" s="3" t="s">
        <v>41</v>
      </c>
      <c r="B44" s="9">
        <f>(B42)+(B43)</f>
        <v>444</v>
      </c>
      <c r="C44" s="9">
        <f>(C42)+(C43)</f>
        <v>350</v>
      </c>
      <c r="D44" s="9">
        <f t="shared" si="0"/>
        <v>94</v>
      </c>
      <c r="E44" s="10">
        <f t="shared" si="1"/>
        <v>0.26857142857142857</v>
      </c>
    </row>
    <row r="45" spans="1:5" x14ac:dyDescent="0.25">
      <c r="A45" s="3" t="s">
        <v>42</v>
      </c>
      <c r="B45" s="4"/>
      <c r="C45" s="5">
        <f>-97.89</f>
        <v>-97.89</v>
      </c>
      <c r="D45" s="5">
        <f t="shared" si="0"/>
        <v>97.89</v>
      </c>
      <c r="E45" s="6">
        <f t="shared" si="1"/>
        <v>1</v>
      </c>
    </row>
    <row r="46" spans="1:5" x14ac:dyDescent="0.25">
      <c r="A46" s="3" t="s">
        <v>43</v>
      </c>
      <c r="B46" s="5">
        <f>7.95</f>
        <v>7.95</v>
      </c>
      <c r="C46" s="5">
        <f>59.2</f>
        <v>59.2</v>
      </c>
      <c r="D46" s="5">
        <f t="shared" si="0"/>
        <v>-51.25</v>
      </c>
      <c r="E46" s="6">
        <f t="shared" si="1"/>
        <v>-0.86570945945945943</v>
      </c>
    </row>
    <row r="47" spans="1:5" x14ac:dyDescent="0.25">
      <c r="A47" s="3" t="s">
        <v>44</v>
      </c>
      <c r="B47" s="5">
        <f>1216.09</f>
        <v>1216.0899999999999</v>
      </c>
      <c r="C47" s="5">
        <f>1611.41</f>
        <v>1611.41</v>
      </c>
      <c r="D47" s="5">
        <f t="shared" si="0"/>
        <v>-395.32000000000016</v>
      </c>
      <c r="E47" s="6">
        <f t="shared" si="1"/>
        <v>-0.24532552236860894</v>
      </c>
    </row>
    <row r="48" spans="1:5" x14ac:dyDescent="0.25">
      <c r="A48" s="3" t="s">
        <v>45</v>
      </c>
      <c r="B48" s="5">
        <f>231.65</f>
        <v>231.65</v>
      </c>
      <c r="C48" s="5">
        <f>445.48</f>
        <v>445.48</v>
      </c>
      <c r="D48" s="5">
        <f t="shared" si="0"/>
        <v>-213.83</v>
      </c>
      <c r="E48" s="6">
        <f t="shared" si="1"/>
        <v>-0.47999910209212537</v>
      </c>
    </row>
    <row r="49" spans="1:5" x14ac:dyDescent="0.25">
      <c r="A49" s="3" t="s">
        <v>46</v>
      </c>
      <c r="B49" s="5">
        <f>1828.33</f>
        <v>1828.33</v>
      </c>
      <c r="C49" s="5">
        <f>1735.64</f>
        <v>1735.64</v>
      </c>
      <c r="D49" s="5">
        <f t="shared" si="0"/>
        <v>92.689999999999827</v>
      </c>
      <c r="E49" s="6">
        <f t="shared" si="1"/>
        <v>5.3403931690903544E-2</v>
      </c>
    </row>
    <row r="50" spans="1:5" x14ac:dyDescent="0.25">
      <c r="A50" s="3" t="s">
        <v>47</v>
      </c>
      <c r="B50" s="5">
        <f>78.5</f>
        <v>78.5</v>
      </c>
      <c r="C50" s="5">
        <f>56.25</f>
        <v>56.25</v>
      </c>
      <c r="D50" s="5">
        <f t="shared" si="0"/>
        <v>22.25</v>
      </c>
      <c r="E50" s="6">
        <f t="shared" si="1"/>
        <v>0.39555555555555555</v>
      </c>
    </row>
    <row r="51" spans="1:5" x14ac:dyDescent="0.25">
      <c r="A51" s="3" t="s">
        <v>48</v>
      </c>
      <c r="B51" s="5">
        <f>70</f>
        <v>70</v>
      </c>
      <c r="C51" s="5">
        <f>1070</f>
        <v>1070</v>
      </c>
      <c r="D51" s="5">
        <f t="shared" si="0"/>
        <v>-1000</v>
      </c>
      <c r="E51" s="6">
        <f t="shared" si="1"/>
        <v>-0.93457943925233644</v>
      </c>
    </row>
    <row r="52" spans="1:5" x14ac:dyDescent="0.25">
      <c r="A52" s="3" t="s">
        <v>49</v>
      </c>
      <c r="B52" s="5">
        <f>10</f>
        <v>10</v>
      </c>
      <c r="C52" s="5">
        <f>1</f>
        <v>1</v>
      </c>
      <c r="D52" s="5">
        <f t="shared" si="0"/>
        <v>9</v>
      </c>
      <c r="E52" s="6">
        <f t="shared" si="1"/>
        <v>9</v>
      </c>
    </row>
    <row r="53" spans="1:5" x14ac:dyDescent="0.25">
      <c r="A53" s="3" t="s">
        <v>50</v>
      </c>
      <c r="B53" s="5">
        <f>10.95</f>
        <v>10.95</v>
      </c>
      <c r="C53" s="4"/>
      <c r="D53" s="5">
        <f t="shared" si="0"/>
        <v>10.95</v>
      </c>
      <c r="E53" s="6" t="str">
        <f t="shared" si="1"/>
        <v/>
      </c>
    </row>
    <row r="54" spans="1:5" x14ac:dyDescent="0.25">
      <c r="A54" s="3" t="s">
        <v>51</v>
      </c>
      <c r="B54" s="5">
        <f>143</f>
        <v>143</v>
      </c>
      <c r="C54" s="5">
        <f>261.85</f>
        <v>261.85000000000002</v>
      </c>
      <c r="D54" s="5">
        <f t="shared" si="0"/>
        <v>-118.85000000000002</v>
      </c>
      <c r="E54" s="6">
        <f t="shared" si="1"/>
        <v>-0.45388581248806575</v>
      </c>
    </row>
    <row r="55" spans="1:5" x14ac:dyDescent="0.25">
      <c r="A55" s="3" t="s">
        <v>52</v>
      </c>
      <c r="B55" s="5">
        <f>159.6</f>
        <v>159.6</v>
      </c>
      <c r="C55" s="5">
        <f>266.45</f>
        <v>266.45</v>
      </c>
      <c r="D55" s="5">
        <f t="shared" si="0"/>
        <v>-106.85</v>
      </c>
      <c r="E55" s="6">
        <f t="shared" si="1"/>
        <v>-0.40101332332520173</v>
      </c>
    </row>
    <row r="56" spans="1:5" x14ac:dyDescent="0.25">
      <c r="A56" s="3" t="s">
        <v>53</v>
      </c>
      <c r="B56" s="5">
        <f>55</f>
        <v>55</v>
      </c>
      <c r="C56" s="5">
        <f>7.25</f>
        <v>7.25</v>
      </c>
      <c r="D56" s="5">
        <f t="shared" si="0"/>
        <v>47.75</v>
      </c>
      <c r="E56" s="6">
        <f t="shared" si="1"/>
        <v>6.5862068965517242</v>
      </c>
    </row>
    <row r="57" spans="1:5" x14ac:dyDescent="0.25">
      <c r="A57" s="3" t="s">
        <v>54</v>
      </c>
      <c r="B57" s="5">
        <f>670</f>
        <v>670</v>
      </c>
      <c r="C57" s="5">
        <f>487</f>
        <v>487</v>
      </c>
      <c r="D57" s="5">
        <f t="shared" si="0"/>
        <v>183</v>
      </c>
      <c r="E57" s="6">
        <f t="shared" si="1"/>
        <v>0.37577002053388092</v>
      </c>
    </row>
    <row r="58" spans="1:5" x14ac:dyDescent="0.25">
      <c r="A58" s="3" t="s">
        <v>55</v>
      </c>
      <c r="B58" s="5">
        <f>70</f>
        <v>70</v>
      </c>
      <c r="C58" s="5">
        <f>47</f>
        <v>47</v>
      </c>
      <c r="D58" s="5">
        <f t="shared" si="0"/>
        <v>23</v>
      </c>
      <c r="E58" s="6">
        <f t="shared" si="1"/>
        <v>0.48936170212765956</v>
      </c>
    </row>
    <row r="59" spans="1:5" x14ac:dyDescent="0.25">
      <c r="A59" s="3" t="s">
        <v>56</v>
      </c>
      <c r="B59" s="5">
        <f>77.6</f>
        <v>77.599999999999994</v>
      </c>
      <c r="C59" s="5">
        <f>222.8</f>
        <v>222.8</v>
      </c>
      <c r="D59" s="5">
        <f t="shared" si="0"/>
        <v>-145.20000000000002</v>
      </c>
      <c r="E59" s="6">
        <f t="shared" si="1"/>
        <v>-0.651705565529623</v>
      </c>
    </row>
    <row r="60" spans="1:5" x14ac:dyDescent="0.25">
      <c r="A60" s="3" t="s">
        <v>57</v>
      </c>
      <c r="B60" s="5">
        <f>219.5</f>
        <v>219.5</v>
      </c>
      <c r="C60" s="5">
        <f>88</f>
        <v>88</v>
      </c>
      <c r="D60" s="5">
        <f t="shared" si="0"/>
        <v>131.5</v>
      </c>
      <c r="E60" s="6">
        <f t="shared" si="1"/>
        <v>1.4943181818181819</v>
      </c>
    </row>
    <row r="61" spans="1:5" x14ac:dyDescent="0.25">
      <c r="A61" s="3" t="s">
        <v>58</v>
      </c>
      <c r="B61" s="4"/>
      <c r="C61" s="5">
        <f>13.5</f>
        <v>13.5</v>
      </c>
      <c r="D61" s="5">
        <f t="shared" si="0"/>
        <v>-13.5</v>
      </c>
      <c r="E61" s="6">
        <f t="shared" si="1"/>
        <v>-1</v>
      </c>
    </row>
    <row r="62" spans="1:5" x14ac:dyDescent="0.25">
      <c r="A62" s="3" t="s">
        <v>59</v>
      </c>
      <c r="B62" s="5">
        <f>209.95</f>
        <v>209.95</v>
      </c>
      <c r="C62" s="5">
        <f>257.2</f>
        <v>257.2</v>
      </c>
      <c r="D62" s="5">
        <f t="shared" si="0"/>
        <v>-47.25</v>
      </c>
      <c r="E62" s="6">
        <f t="shared" si="1"/>
        <v>-0.18370917573872472</v>
      </c>
    </row>
    <row r="63" spans="1:5" x14ac:dyDescent="0.25">
      <c r="A63" s="3" t="s">
        <v>60</v>
      </c>
      <c r="B63" s="5">
        <f>695.66</f>
        <v>695.66</v>
      </c>
      <c r="C63" s="5">
        <f>415.5</f>
        <v>415.5</v>
      </c>
      <c r="D63" s="5">
        <f t="shared" si="0"/>
        <v>280.15999999999997</v>
      </c>
      <c r="E63" s="6">
        <f t="shared" si="1"/>
        <v>0.67427196149217805</v>
      </c>
    </row>
    <row r="64" spans="1:5" x14ac:dyDescent="0.25">
      <c r="A64" s="3" t="s">
        <v>61</v>
      </c>
      <c r="B64" s="5">
        <f>115.9</f>
        <v>115.9</v>
      </c>
      <c r="C64" s="5">
        <f>101</f>
        <v>101</v>
      </c>
      <c r="D64" s="5">
        <f t="shared" si="0"/>
        <v>14.900000000000006</v>
      </c>
      <c r="E64" s="6">
        <f t="shared" si="1"/>
        <v>0.14752475247524757</v>
      </c>
    </row>
    <row r="65" spans="1:5" x14ac:dyDescent="0.25">
      <c r="A65" s="3" t="s">
        <v>62</v>
      </c>
      <c r="B65" s="5">
        <f>-87.72</f>
        <v>-87.72</v>
      </c>
      <c r="C65" s="5">
        <f>-303.38</f>
        <v>-303.38</v>
      </c>
      <c r="D65" s="5">
        <f t="shared" si="0"/>
        <v>215.66</v>
      </c>
      <c r="E65" s="6">
        <f t="shared" si="1"/>
        <v>0.71085767024853319</v>
      </c>
    </row>
    <row r="66" spans="1:5" x14ac:dyDescent="0.25">
      <c r="A66" s="3" t="s">
        <v>63</v>
      </c>
      <c r="B66" s="4"/>
      <c r="C66" s="5">
        <f>23</f>
        <v>23</v>
      </c>
      <c r="D66" s="5">
        <f t="shared" si="0"/>
        <v>-23</v>
      </c>
      <c r="E66" s="6">
        <f t="shared" si="1"/>
        <v>-1</v>
      </c>
    </row>
    <row r="67" spans="1:5" x14ac:dyDescent="0.25">
      <c r="A67" s="3" t="s">
        <v>64</v>
      </c>
      <c r="B67" s="4"/>
      <c r="C67" s="5">
        <f>68</f>
        <v>68</v>
      </c>
      <c r="D67" s="5">
        <f t="shared" si="0"/>
        <v>-68</v>
      </c>
      <c r="E67" s="6">
        <f t="shared" si="1"/>
        <v>-1</v>
      </c>
    </row>
    <row r="68" spans="1:5" x14ac:dyDescent="0.25">
      <c r="A68" s="3" t="s">
        <v>65</v>
      </c>
      <c r="B68" s="5">
        <f>325</f>
        <v>325</v>
      </c>
      <c r="C68" s="5">
        <f>554</f>
        <v>554</v>
      </c>
      <c r="D68" s="5">
        <f t="shared" si="0"/>
        <v>-229</v>
      </c>
      <c r="E68" s="6">
        <f t="shared" si="1"/>
        <v>-0.41335740072202165</v>
      </c>
    </row>
    <row r="69" spans="1:5" x14ac:dyDescent="0.25">
      <c r="A69" s="3" t="s">
        <v>66</v>
      </c>
      <c r="B69" s="4"/>
      <c r="C69" s="5">
        <f>99</f>
        <v>99</v>
      </c>
      <c r="D69" s="5">
        <f t="shared" si="0"/>
        <v>-99</v>
      </c>
      <c r="E69" s="6">
        <f t="shared" si="1"/>
        <v>-1</v>
      </c>
    </row>
    <row r="70" spans="1:5" x14ac:dyDescent="0.25">
      <c r="A70" s="3" t="s">
        <v>67</v>
      </c>
      <c r="B70" s="5">
        <f>878</f>
        <v>878</v>
      </c>
      <c r="C70" s="5">
        <f>1200</f>
        <v>1200</v>
      </c>
      <c r="D70" s="5">
        <f t="shared" si="0"/>
        <v>-322</v>
      </c>
      <c r="E70" s="6">
        <f t="shared" si="1"/>
        <v>-0.26833333333333331</v>
      </c>
    </row>
    <row r="71" spans="1:5" x14ac:dyDescent="0.25">
      <c r="A71" s="3" t="s">
        <v>68</v>
      </c>
      <c r="B71" s="5">
        <f>40.5</f>
        <v>40.5</v>
      </c>
      <c r="C71" s="5">
        <f>34.5</f>
        <v>34.5</v>
      </c>
      <c r="D71" s="5">
        <f t="shared" si="0"/>
        <v>6</v>
      </c>
      <c r="E71" s="6">
        <f t="shared" si="1"/>
        <v>0.17391304347826086</v>
      </c>
    </row>
    <row r="72" spans="1:5" x14ac:dyDescent="0.25">
      <c r="A72" s="3" t="s">
        <v>69</v>
      </c>
      <c r="B72" s="5">
        <f>265</f>
        <v>265</v>
      </c>
      <c r="C72" s="5">
        <f>230</f>
        <v>230</v>
      </c>
      <c r="D72" s="5">
        <f t="shared" ref="D72:D92" si="2">(B72)-(C72)</f>
        <v>35</v>
      </c>
      <c r="E72" s="6">
        <f t="shared" ref="E72:E92" si="3">IF(ABS((C72))=0,"",((B72)-(C72))/(ABS((C72))))</f>
        <v>0.15217391304347827</v>
      </c>
    </row>
    <row r="73" spans="1:5" x14ac:dyDescent="0.25">
      <c r="A73" s="3" t="s">
        <v>70</v>
      </c>
      <c r="B73" s="5">
        <f>329.5</f>
        <v>329.5</v>
      </c>
      <c r="C73" s="5">
        <f>40</f>
        <v>40</v>
      </c>
      <c r="D73" s="5">
        <f t="shared" si="2"/>
        <v>289.5</v>
      </c>
      <c r="E73" s="6">
        <f t="shared" si="3"/>
        <v>7.2374999999999998</v>
      </c>
    </row>
    <row r="74" spans="1:5" x14ac:dyDescent="0.25">
      <c r="A74" s="3" t="s">
        <v>71</v>
      </c>
      <c r="B74" s="5">
        <f>30</f>
        <v>30</v>
      </c>
      <c r="C74" s="5">
        <f>15</f>
        <v>15</v>
      </c>
      <c r="D74" s="5">
        <f t="shared" si="2"/>
        <v>15</v>
      </c>
      <c r="E74" s="6">
        <f t="shared" si="3"/>
        <v>1</v>
      </c>
    </row>
    <row r="75" spans="1:5" x14ac:dyDescent="0.25">
      <c r="A75" s="3" t="s">
        <v>72</v>
      </c>
      <c r="B75" s="5">
        <f>96</f>
        <v>96</v>
      </c>
      <c r="C75" s="5">
        <f>112</f>
        <v>112</v>
      </c>
      <c r="D75" s="5">
        <f t="shared" si="2"/>
        <v>-16</v>
      </c>
      <c r="E75" s="6">
        <f t="shared" si="3"/>
        <v>-0.14285714285714285</v>
      </c>
    </row>
    <row r="76" spans="1:5" x14ac:dyDescent="0.25">
      <c r="A76" s="3" t="s">
        <v>73</v>
      </c>
      <c r="B76" s="4"/>
      <c r="C76" s="5">
        <f>12</f>
        <v>12</v>
      </c>
      <c r="D76" s="5">
        <f t="shared" si="2"/>
        <v>-12</v>
      </c>
      <c r="E76" s="6">
        <f t="shared" si="3"/>
        <v>-1</v>
      </c>
    </row>
    <row r="77" spans="1:5" x14ac:dyDescent="0.25">
      <c r="A77" s="3" t="s">
        <v>74</v>
      </c>
      <c r="B77" s="5">
        <f>78</f>
        <v>78</v>
      </c>
      <c r="C77" s="5">
        <f>110</f>
        <v>110</v>
      </c>
      <c r="D77" s="5">
        <f t="shared" si="2"/>
        <v>-32</v>
      </c>
      <c r="E77" s="6">
        <f t="shared" si="3"/>
        <v>-0.29090909090909089</v>
      </c>
    </row>
    <row r="78" spans="1:5" x14ac:dyDescent="0.25">
      <c r="A78" s="3" t="s">
        <v>75</v>
      </c>
      <c r="B78" s="5">
        <f>54</f>
        <v>54</v>
      </c>
      <c r="C78" s="5">
        <f>12</f>
        <v>12</v>
      </c>
      <c r="D78" s="5">
        <f t="shared" si="2"/>
        <v>42</v>
      </c>
      <c r="E78" s="6">
        <f t="shared" si="3"/>
        <v>3.5</v>
      </c>
    </row>
    <row r="79" spans="1:5" x14ac:dyDescent="0.25">
      <c r="A79" s="3" t="s">
        <v>76</v>
      </c>
      <c r="B79" s="4"/>
      <c r="C79" s="5">
        <f>120</f>
        <v>120</v>
      </c>
      <c r="D79" s="5">
        <f t="shared" si="2"/>
        <v>-120</v>
      </c>
      <c r="E79" s="6">
        <f t="shared" si="3"/>
        <v>-1</v>
      </c>
    </row>
    <row r="80" spans="1:5" x14ac:dyDescent="0.25">
      <c r="A80" s="3" t="s">
        <v>78</v>
      </c>
      <c r="B80" s="5">
        <f>517.94</f>
        <v>517.94000000000005</v>
      </c>
      <c r="C80" s="5">
        <f>582.43</f>
        <v>582.42999999999995</v>
      </c>
      <c r="D80" s="5">
        <f t="shared" si="2"/>
        <v>-64.489999999999895</v>
      </c>
      <c r="E80" s="6">
        <f t="shared" si="3"/>
        <v>-0.11072575245093814</v>
      </c>
    </row>
    <row r="81" spans="1:5" x14ac:dyDescent="0.25">
      <c r="A81" s="3" t="s">
        <v>80</v>
      </c>
      <c r="B81" s="5">
        <f>129</f>
        <v>129</v>
      </c>
      <c r="C81" s="5">
        <f>66</f>
        <v>66</v>
      </c>
      <c r="D81" s="5">
        <f t="shared" si="2"/>
        <v>63</v>
      </c>
      <c r="E81" s="6">
        <f t="shared" si="3"/>
        <v>0.95454545454545459</v>
      </c>
    </row>
    <row r="82" spans="1:5" x14ac:dyDescent="0.25">
      <c r="A82" s="3" t="s">
        <v>81</v>
      </c>
      <c r="B82" s="5">
        <f>196.5</f>
        <v>196.5</v>
      </c>
      <c r="C82" s="5">
        <f>81</f>
        <v>81</v>
      </c>
      <c r="D82" s="5">
        <f t="shared" si="2"/>
        <v>115.5</v>
      </c>
      <c r="E82" s="6">
        <f t="shared" si="3"/>
        <v>1.4259259259259258</v>
      </c>
    </row>
    <row r="83" spans="1:5" x14ac:dyDescent="0.25">
      <c r="A83" s="3" t="s">
        <v>82</v>
      </c>
      <c r="B83" s="4"/>
      <c r="C83" s="5">
        <f>50</f>
        <v>50</v>
      </c>
      <c r="D83" s="5">
        <f t="shared" si="2"/>
        <v>-50</v>
      </c>
      <c r="E83" s="6">
        <f t="shared" si="3"/>
        <v>-1</v>
      </c>
    </row>
    <row r="84" spans="1:5" x14ac:dyDescent="0.25">
      <c r="A84" s="3" t="s">
        <v>83</v>
      </c>
      <c r="B84" s="5">
        <f>60</f>
        <v>60</v>
      </c>
      <c r="C84" s="5">
        <f>30</f>
        <v>30</v>
      </c>
      <c r="D84" s="5">
        <f t="shared" si="2"/>
        <v>30</v>
      </c>
      <c r="E84" s="6">
        <f t="shared" si="3"/>
        <v>1</v>
      </c>
    </row>
    <row r="85" spans="1:5" x14ac:dyDescent="0.25">
      <c r="A85" s="3" t="s">
        <v>84</v>
      </c>
      <c r="B85" s="5">
        <f>192</f>
        <v>192</v>
      </c>
      <c r="C85" s="5">
        <f>168</f>
        <v>168</v>
      </c>
      <c r="D85" s="5">
        <f t="shared" si="2"/>
        <v>24</v>
      </c>
      <c r="E85" s="6">
        <f t="shared" si="3"/>
        <v>0.14285714285714285</v>
      </c>
    </row>
    <row r="86" spans="1:5" x14ac:dyDescent="0.25">
      <c r="A86" s="3" t="s">
        <v>86</v>
      </c>
      <c r="B86" s="5">
        <f>338</f>
        <v>338</v>
      </c>
      <c r="C86" s="5">
        <f>308</f>
        <v>308</v>
      </c>
      <c r="D86" s="5">
        <f t="shared" si="2"/>
        <v>30</v>
      </c>
      <c r="E86" s="6">
        <f t="shared" si="3"/>
        <v>9.7402597402597407E-2</v>
      </c>
    </row>
    <row r="87" spans="1:5" x14ac:dyDescent="0.25">
      <c r="A87" s="3" t="s">
        <v>87</v>
      </c>
      <c r="B87" s="9">
        <f>(((((((((((((((((((((((((((((((((((((((((B45)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</f>
        <v>9311.4</v>
      </c>
      <c r="C87" s="9">
        <f>(((((((((((((((((((((((((((((((((((((((((C45)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</f>
        <v>10660.19</v>
      </c>
      <c r="D87" s="9">
        <f t="shared" si="2"/>
        <v>-1348.7900000000009</v>
      </c>
      <c r="E87" s="10">
        <f t="shared" si="3"/>
        <v>-0.12652588743727841</v>
      </c>
    </row>
    <row r="88" spans="1:5" x14ac:dyDescent="0.25">
      <c r="A88" s="3" t="s">
        <v>88</v>
      </c>
      <c r="B88" s="9">
        <f>(((((B28)+(B29))+(B36))+(B41))+(B44))+(B87)</f>
        <v>36465.25</v>
      </c>
      <c r="C88" s="9">
        <f>(((((C28)+(C29))+(C36))+(C41))+(C44))+(C87)</f>
        <v>26069.64</v>
      </c>
      <c r="D88" s="9">
        <f t="shared" si="2"/>
        <v>10395.61</v>
      </c>
      <c r="E88" s="10">
        <f t="shared" si="3"/>
        <v>0.39876308226734242</v>
      </c>
    </row>
    <row r="89" spans="1:5" x14ac:dyDescent="0.25">
      <c r="A89" s="3" t="s">
        <v>89</v>
      </c>
      <c r="B89" s="5">
        <f>184.51</f>
        <v>184.51</v>
      </c>
      <c r="C89" s="5">
        <f>4.63</f>
        <v>4.63</v>
      </c>
      <c r="D89" s="5">
        <f t="shared" si="2"/>
        <v>179.88</v>
      </c>
      <c r="E89" s="6">
        <f t="shared" si="3"/>
        <v>38.850971922246224</v>
      </c>
    </row>
    <row r="90" spans="1:5" x14ac:dyDescent="0.25">
      <c r="A90" s="3" t="s">
        <v>188</v>
      </c>
      <c r="B90" s="4"/>
      <c r="C90" s="5">
        <f>273.82</f>
        <v>273.82</v>
      </c>
      <c r="D90" s="5">
        <f t="shared" si="2"/>
        <v>-273.82</v>
      </c>
      <c r="E90" s="6">
        <f t="shared" si="3"/>
        <v>-1</v>
      </c>
    </row>
    <row r="91" spans="1:5" x14ac:dyDescent="0.25">
      <c r="A91" s="3" t="s">
        <v>189</v>
      </c>
      <c r="B91" s="9">
        <f>(B89)+(B90)</f>
        <v>184.51</v>
      </c>
      <c r="C91" s="9">
        <f>(C89)+(C90)</f>
        <v>278.45</v>
      </c>
      <c r="D91" s="9">
        <f t="shared" si="2"/>
        <v>-93.94</v>
      </c>
      <c r="E91" s="10">
        <f t="shared" si="3"/>
        <v>-0.33736757047943977</v>
      </c>
    </row>
    <row r="92" spans="1:5" x14ac:dyDescent="0.25">
      <c r="A92" s="3" t="s">
        <v>90</v>
      </c>
      <c r="B92" s="9">
        <f>(((((B12)+(B25))+(B26))+(B27))+(B88))+(B91)</f>
        <v>324453.79000000004</v>
      </c>
      <c r="C92" s="9">
        <f>(((((C12)+(C25))+(C26))+(C27))+(C88))+(C91)</f>
        <v>325610.93</v>
      </c>
      <c r="D92" s="9">
        <f t="shared" si="2"/>
        <v>-1157.1399999999558</v>
      </c>
      <c r="E92" s="10">
        <f t="shared" si="3"/>
        <v>-3.5537504837443749E-3</v>
      </c>
    </row>
    <row r="93" spans="1:5" x14ac:dyDescent="0.25">
      <c r="A93" s="3" t="s">
        <v>91</v>
      </c>
      <c r="B93" s="4"/>
      <c r="C93" s="4"/>
      <c r="D93" s="4"/>
      <c r="E93" s="4"/>
    </row>
    <row r="94" spans="1:5" x14ac:dyDescent="0.25">
      <c r="A94" s="3" t="s">
        <v>92</v>
      </c>
      <c r="B94" s="5">
        <f>4230.23</f>
        <v>4230.2299999999996</v>
      </c>
      <c r="C94" s="5">
        <f>7360.91</f>
        <v>7360.91</v>
      </c>
      <c r="D94" s="5">
        <f>(B94)-(C94)</f>
        <v>-3130.6800000000003</v>
      </c>
      <c r="E94" s="6">
        <f>IF(ABS((C94))=0,"",((B94)-(C94))/(ABS((C94))))</f>
        <v>-0.42531154436068369</v>
      </c>
    </row>
    <row r="95" spans="1:5" x14ac:dyDescent="0.25">
      <c r="A95" s="3" t="s">
        <v>93</v>
      </c>
      <c r="B95" s="5">
        <f>1038.1</f>
        <v>1038.0999999999999</v>
      </c>
      <c r="C95" s="5">
        <f>1205.49</f>
        <v>1205.49</v>
      </c>
      <c r="D95" s="5">
        <f>(B95)-(C95)</f>
        <v>-167.3900000000001</v>
      </c>
      <c r="E95" s="6">
        <f>IF(ABS((C95))=0,"",((B95)-(C95))/(ABS((C95))))</f>
        <v>-0.13885639864287561</v>
      </c>
    </row>
    <row r="96" spans="1:5" x14ac:dyDescent="0.25">
      <c r="A96" s="3" t="s">
        <v>94</v>
      </c>
      <c r="B96" s="9">
        <f>(B94)+(B95)</f>
        <v>5268.33</v>
      </c>
      <c r="C96" s="9">
        <f>(C94)+(C95)</f>
        <v>8566.4</v>
      </c>
      <c r="D96" s="9">
        <f>(B96)-(C96)</f>
        <v>-3298.0699999999997</v>
      </c>
      <c r="E96" s="10">
        <f>IF(ABS((C96))=0,"",((B96)-(C96))/(ABS((C96))))</f>
        <v>-0.38500070041090773</v>
      </c>
    </row>
    <row r="97" spans="1:5" x14ac:dyDescent="0.25">
      <c r="A97" s="3" t="s">
        <v>95</v>
      </c>
      <c r="B97" s="9">
        <f>(B92)-(B96)</f>
        <v>319185.46000000002</v>
      </c>
      <c r="C97" s="9">
        <f>(C92)-(C96)</f>
        <v>317044.52999999997</v>
      </c>
      <c r="D97" s="9">
        <f>(B97)-(C97)</f>
        <v>2140.9300000000512</v>
      </c>
      <c r="E97" s="10">
        <f>IF(ABS((C97))=0,"",((B97)-(C97))/(ABS((C97))))</f>
        <v>6.7527738138237281E-3</v>
      </c>
    </row>
    <row r="98" spans="1:5" x14ac:dyDescent="0.25">
      <c r="A98" s="3" t="s">
        <v>96</v>
      </c>
      <c r="B98" s="4"/>
      <c r="C98" s="4"/>
      <c r="D98" s="4"/>
      <c r="E98" s="4"/>
    </row>
    <row r="99" spans="1:5" x14ac:dyDescent="0.25">
      <c r="A99" s="3" t="s">
        <v>97</v>
      </c>
      <c r="B99" s="4"/>
      <c r="C99" s="4"/>
      <c r="D99" s="5">
        <f t="shared" ref="D99:D162" si="4">(B99)-(C99)</f>
        <v>0</v>
      </c>
      <c r="E99" s="6" t="str">
        <f t="shared" ref="E99:E162" si="5">IF(ABS((C99))=0,"",((B99)-(C99))/(ABS((C99))))</f>
        <v/>
      </c>
    </row>
    <row r="100" spans="1:5" x14ac:dyDescent="0.25">
      <c r="A100" s="3" t="s">
        <v>98</v>
      </c>
      <c r="B100" s="5">
        <f>32572</f>
        <v>32572</v>
      </c>
      <c r="C100" s="5">
        <f>26378</f>
        <v>26378</v>
      </c>
      <c r="D100" s="5">
        <f t="shared" si="4"/>
        <v>6194</v>
      </c>
      <c r="E100" s="6">
        <f t="shared" si="5"/>
        <v>0.2348168928652665</v>
      </c>
    </row>
    <row r="101" spans="1:5" x14ac:dyDescent="0.25">
      <c r="A101" s="3" t="s">
        <v>99</v>
      </c>
      <c r="B101" s="9">
        <f>(B99)+(B100)</f>
        <v>32572</v>
      </c>
      <c r="C101" s="9">
        <f>(C99)+(C100)</f>
        <v>26378</v>
      </c>
      <c r="D101" s="9">
        <f t="shared" si="4"/>
        <v>6194</v>
      </c>
      <c r="E101" s="10">
        <f t="shared" si="5"/>
        <v>0.2348168928652665</v>
      </c>
    </row>
    <row r="102" spans="1:5" x14ac:dyDescent="0.25">
      <c r="A102" s="3" t="s">
        <v>100</v>
      </c>
      <c r="B102" s="5">
        <f>950</f>
        <v>950</v>
      </c>
      <c r="C102" s="5">
        <f>3528.95</f>
        <v>3528.95</v>
      </c>
      <c r="D102" s="5">
        <f t="shared" si="4"/>
        <v>-2578.9499999999998</v>
      </c>
      <c r="E102" s="6">
        <f t="shared" si="5"/>
        <v>-0.73079811275308515</v>
      </c>
    </row>
    <row r="103" spans="1:5" x14ac:dyDescent="0.25">
      <c r="A103" s="3" t="s">
        <v>101</v>
      </c>
      <c r="B103" s="5">
        <f>551.69</f>
        <v>551.69000000000005</v>
      </c>
      <c r="C103" s="5">
        <f>759</f>
        <v>759</v>
      </c>
      <c r="D103" s="5">
        <f t="shared" si="4"/>
        <v>-207.30999999999995</v>
      </c>
      <c r="E103" s="6">
        <f t="shared" si="5"/>
        <v>-0.27313570487483524</v>
      </c>
    </row>
    <row r="104" spans="1:5" x14ac:dyDescent="0.25">
      <c r="A104" s="3" t="s">
        <v>102</v>
      </c>
      <c r="B104" s="5">
        <f>5801.82</f>
        <v>5801.82</v>
      </c>
      <c r="C104" s="5">
        <f>8221.87</f>
        <v>8221.8700000000008</v>
      </c>
      <c r="D104" s="5">
        <f t="shared" si="4"/>
        <v>-2420.0500000000011</v>
      </c>
      <c r="E104" s="6">
        <f t="shared" si="5"/>
        <v>-0.29434301442372607</v>
      </c>
    </row>
    <row r="105" spans="1:5" x14ac:dyDescent="0.25">
      <c r="A105" s="3" t="s">
        <v>103</v>
      </c>
      <c r="B105" s="5">
        <f>46.76</f>
        <v>46.76</v>
      </c>
      <c r="C105" s="5">
        <f>453.16</f>
        <v>453.16</v>
      </c>
      <c r="D105" s="5">
        <f t="shared" si="4"/>
        <v>-406.40000000000003</v>
      </c>
      <c r="E105" s="6">
        <f t="shared" si="5"/>
        <v>-0.89681348750993028</v>
      </c>
    </row>
    <row r="106" spans="1:5" x14ac:dyDescent="0.25">
      <c r="A106" s="3" t="s">
        <v>104</v>
      </c>
      <c r="B106" s="4"/>
      <c r="C106" s="4"/>
      <c r="D106" s="5">
        <f t="shared" si="4"/>
        <v>0</v>
      </c>
      <c r="E106" s="6" t="str">
        <f t="shared" si="5"/>
        <v/>
      </c>
    </row>
    <row r="107" spans="1:5" x14ac:dyDescent="0.25">
      <c r="A107" s="3" t="s">
        <v>105</v>
      </c>
      <c r="B107" s="4"/>
      <c r="C107" s="5">
        <f>178.95</f>
        <v>178.95</v>
      </c>
      <c r="D107" s="5">
        <f t="shared" si="4"/>
        <v>-178.95</v>
      </c>
      <c r="E107" s="6">
        <f t="shared" si="5"/>
        <v>-1</v>
      </c>
    </row>
    <row r="108" spans="1:5" x14ac:dyDescent="0.25">
      <c r="A108" s="3" t="s">
        <v>190</v>
      </c>
      <c r="B108" s="4"/>
      <c r="C108" s="5">
        <f>3200</f>
        <v>3200</v>
      </c>
      <c r="D108" s="5">
        <f t="shared" si="4"/>
        <v>-3200</v>
      </c>
      <c r="E108" s="6">
        <f t="shared" si="5"/>
        <v>-1</v>
      </c>
    </row>
    <row r="109" spans="1:5" x14ac:dyDescent="0.25">
      <c r="A109" s="3" t="s">
        <v>107</v>
      </c>
      <c r="B109" s="9">
        <f>((B106)+(B107))+(B108)</f>
        <v>0</v>
      </c>
      <c r="C109" s="9">
        <f>((C106)+(C107))+(C108)</f>
        <v>3378.95</v>
      </c>
      <c r="D109" s="9">
        <f t="shared" si="4"/>
        <v>-3378.95</v>
      </c>
      <c r="E109" s="10">
        <f t="shared" si="5"/>
        <v>-1</v>
      </c>
    </row>
    <row r="110" spans="1:5" x14ac:dyDescent="0.25">
      <c r="A110" s="3" t="s">
        <v>108</v>
      </c>
      <c r="B110" s="4"/>
      <c r="C110" s="4"/>
      <c r="D110" s="5">
        <f t="shared" si="4"/>
        <v>0</v>
      </c>
      <c r="E110" s="6" t="str">
        <f t="shared" si="5"/>
        <v/>
      </c>
    </row>
    <row r="111" spans="1:5" x14ac:dyDescent="0.25">
      <c r="A111" s="3" t="s">
        <v>109</v>
      </c>
      <c r="B111" s="5">
        <f>5070.68</f>
        <v>5070.68</v>
      </c>
      <c r="C111" s="5">
        <f>5789</f>
        <v>5789</v>
      </c>
      <c r="D111" s="5">
        <f t="shared" si="4"/>
        <v>-718.31999999999971</v>
      </c>
      <c r="E111" s="6">
        <f t="shared" si="5"/>
        <v>-0.12408360684055963</v>
      </c>
    </row>
    <row r="112" spans="1:5" x14ac:dyDescent="0.25">
      <c r="A112" s="3" t="s">
        <v>110</v>
      </c>
      <c r="B112" s="9">
        <f>(B110)+(B111)</f>
        <v>5070.68</v>
      </c>
      <c r="C112" s="9">
        <f>(C110)+(C111)</f>
        <v>5789</v>
      </c>
      <c r="D112" s="9">
        <f t="shared" si="4"/>
        <v>-718.31999999999971</v>
      </c>
      <c r="E112" s="10">
        <f t="shared" si="5"/>
        <v>-0.12408360684055963</v>
      </c>
    </row>
    <row r="113" spans="1:5" x14ac:dyDescent="0.25">
      <c r="A113" s="3" t="s">
        <v>111</v>
      </c>
      <c r="B113" s="4"/>
      <c r="C113" s="4"/>
      <c r="D113" s="5">
        <f t="shared" si="4"/>
        <v>0</v>
      </c>
      <c r="E113" s="6" t="str">
        <f t="shared" si="5"/>
        <v/>
      </c>
    </row>
    <row r="114" spans="1:5" x14ac:dyDescent="0.25">
      <c r="A114" s="3" t="s">
        <v>112</v>
      </c>
      <c r="B114" s="5">
        <f>16400.3</f>
        <v>16400.3</v>
      </c>
      <c r="C114" s="5">
        <f>25762.94</f>
        <v>25762.94</v>
      </c>
      <c r="D114" s="5">
        <f t="shared" si="4"/>
        <v>-9362.64</v>
      </c>
      <c r="E114" s="6">
        <f t="shared" si="5"/>
        <v>-0.36341504502203553</v>
      </c>
    </row>
    <row r="115" spans="1:5" x14ac:dyDescent="0.25">
      <c r="A115" s="3" t="s">
        <v>113</v>
      </c>
      <c r="B115" s="5">
        <f>11491.65</f>
        <v>11491.65</v>
      </c>
      <c r="C115" s="5">
        <f>11223.93</f>
        <v>11223.93</v>
      </c>
      <c r="D115" s="5">
        <f t="shared" si="4"/>
        <v>267.71999999999935</v>
      </c>
      <c r="E115" s="6">
        <f t="shared" si="5"/>
        <v>2.3852607776420499E-2</v>
      </c>
    </row>
    <row r="116" spans="1:5" x14ac:dyDescent="0.25">
      <c r="A116" s="3" t="s">
        <v>114</v>
      </c>
      <c r="B116" s="5">
        <f>138.72</f>
        <v>138.72</v>
      </c>
      <c r="C116" s="5">
        <f>69.36</f>
        <v>69.36</v>
      </c>
      <c r="D116" s="5">
        <f t="shared" si="4"/>
        <v>69.36</v>
      </c>
      <c r="E116" s="6">
        <f t="shared" si="5"/>
        <v>1</v>
      </c>
    </row>
    <row r="117" spans="1:5" x14ac:dyDescent="0.25">
      <c r="A117" s="3" t="s">
        <v>115</v>
      </c>
      <c r="B117" s="9">
        <f>(((B113)+(B114))+(B115))+(B116)</f>
        <v>28030.67</v>
      </c>
      <c r="C117" s="9">
        <f>(((C113)+(C114))+(C115))+(C116)</f>
        <v>37056.229999999996</v>
      </c>
      <c r="D117" s="9">
        <f t="shared" si="4"/>
        <v>-9025.5599999999977</v>
      </c>
      <c r="E117" s="10">
        <f t="shared" si="5"/>
        <v>-0.2435639027499559</v>
      </c>
    </row>
    <row r="118" spans="1:5" x14ac:dyDescent="0.25">
      <c r="A118" s="3" t="s">
        <v>116</v>
      </c>
      <c r="B118" s="4"/>
      <c r="C118" s="4"/>
      <c r="D118" s="5">
        <f t="shared" si="4"/>
        <v>0</v>
      </c>
      <c r="E118" s="6" t="str">
        <f t="shared" si="5"/>
        <v/>
      </c>
    </row>
    <row r="119" spans="1:5" x14ac:dyDescent="0.25">
      <c r="A119" s="3" t="s">
        <v>117</v>
      </c>
      <c r="B119" s="5">
        <f>1139.17</f>
        <v>1139.17</v>
      </c>
      <c r="C119" s="5">
        <f>3029.24</f>
        <v>3029.24</v>
      </c>
      <c r="D119" s="5">
        <f t="shared" si="4"/>
        <v>-1890.0699999999997</v>
      </c>
      <c r="E119" s="6">
        <f t="shared" si="5"/>
        <v>-0.62394197884617919</v>
      </c>
    </row>
    <row r="120" spans="1:5" x14ac:dyDescent="0.25">
      <c r="A120" s="3" t="s">
        <v>118</v>
      </c>
      <c r="B120" s="5">
        <f>863.03</f>
        <v>863.03</v>
      </c>
      <c r="C120" s="5">
        <f>957.95</f>
        <v>957.95</v>
      </c>
      <c r="D120" s="5">
        <f t="shared" si="4"/>
        <v>-94.920000000000073</v>
      </c>
      <c r="E120" s="6">
        <f t="shared" si="5"/>
        <v>-9.9086591158202481E-2</v>
      </c>
    </row>
    <row r="121" spans="1:5" x14ac:dyDescent="0.25">
      <c r="A121" s="3" t="s">
        <v>119</v>
      </c>
      <c r="B121" s="5">
        <f>3009.54</f>
        <v>3009.54</v>
      </c>
      <c r="C121" s="5">
        <f>3495.77</f>
        <v>3495.77</v>
      </c>
      <c r="D121" s="5">
        <f t="shared" si="4"/>
        <v>-486.23</v>
      </c>
      <c r="E121" s="6">
        <f t="shared" si="5"/>
        <v>-0.1390909585012744</v>
      </c>
    </row>
    <row r="122" spans="1:5" x14ac:dyDescent="0.25">
      <c r="A122" s="3" t="s">
        <v>120</v>
      </c>
      <c r="B122" s="9">
        <f>(((B118)+(B119))+(B120))+(B121)</f>
        <v>5011.74</v>
      </c>
      <c r="C122" s="9">
        <f>(((C118)+(C119))+(C120))+(C121)</f>
        <v>7482.9599999999991</v>
      </c>
      <c r="D122" s="9">
        <f t="shared" si="4"/>
        <v>-2471.2199999999993</v>
      </c>
      <c r="E122" s="10">
        <f t="shared" si="5"/>
        <v>-0.33024631963821799</v>
      </c>
    </row>
    <row r="123" spans="1:5" x14ac:dyDescent="0.25">
      <c r="A123" s="3" t="s">
        <v>121</v>
      </c>
      <c r="B123" s="5">
        <f>3397.85</f>
        <v>3397.85</v>
      </c>
      <c r="C123" s="5">
        <f>2191.27</f>
        <v>2191.27</v>
      </c>
      <c r="D123" s="5">
        <f t="shared" si="4"/>
        <v>1206.58</v>
      </c>
      <c r="E123" s="6">
        <f t="shared" si="5"/>
        <v>0.55063045631072394</v>
      </c>
    </row>
    <row r="124" spans="1:5" x14ac:dyDescent="0.25">
      <c r="A124" s="3" t="s">
        <v>122</v>
      </c>
      <c r="B124" s="5">
        <f>1303.44</f>
        <v>1303.44</v>
      </c>
      <c r="C124" s="4"/>
      <c r="D124" s="5">
        <f t="shared" si="4"/>
        <v>1303.44</v>
      </c>
      <c r="E124" s="6" t="str">
        <f t="shared" si="5"/>
        <v/>
      </c>
    </row>
    <row r="125" spans="1:5" x14ac:dyDescent="0.25">
      <c r="A125" s="3" t="s">
        <v>123</v>
      </c>
      <c r="B125" s="5">
        <f>272.12</f>
        <v>272.12</v>
      </c>
      <c r="C125" s="4"/>
      <c r="D125" s="5">
        <f t="shared" si="4"/>
        <v>272.12</v>
      </c>
      <c r="E125" s="6" t="str">
        <f t="shared" si="5"/>
        <v/>
      </c>
    </row>
    <row r="126" spans="1:5" x14ac:dyDescent="0.25">
      <c r="A126" s="3" t="s">
        <v>124</v>
      </c>
      <c r="B126" s="5">
        <f>2728.48</f>
        <v>2728.48</v>
      </c>
      <c r="C126" s="5">
        <f>1049.52</f>
        <v>1049.52</v>
      </c>
      <c r="D126" s="5">
        <f t="shared" si="4"/>
        <v>1678.96</v>
      </c>
      <c r="E126" s="6">
        <f t="shared" si="5"/>
        <v>1.5997408339050234</v>
      </c>
    </row>
    <row r="127" spans="1:5" x14ac:dyDescent="0.25">
      <c r="A127" s="3" t="s">
        <v>125</v>
      </c>
      <c r="B127" s="9">
        <f>((B124)+(B125))+(B126)</f>
        <v>4304.04</v>
      </c>
      <c r="C127" s="9">
        <f>((C124)+(C125))+(C126)</f>
        <v>1049.52</v>
      </c>
      <c r="D127" s="9">
        <f t="shared" si="4"/>
        <v>3254.52</v>
      </c>
      <c r="E127" s="10">
        <f t="shared" si="5"/>
        <v>3.1009604390578551</v>
      </c>
    </row>
    <row r="128" spans="1:5" x14ac:dyDescent="0.25">
      <c r="A128" s="3" t="s">
        <v>126</v>
      </c>
      <c r="B128" s="5">
        <f>964.58</f>
        <v>964.58</v>
      </c>
      <c r="C128" s="5">
        <f>457.1</f>
        <v>457.1</v>
      </c>
      <c r="D128" s="5">
        <f t="shared" si="4"/>
        <v>507.48</v>
      </c>
      <c r="E128" s="6">
        <f t="shared" si="5"/>
        <v>1.110216582804638</v>
      </c>
    </row>
    <row r="129" spans="1:5" x14ac:dyDescent="0.25">
      <c r="A129" s="3" t="s">
        <v>128</v>
      </c>
      <c r="B129" s="4"/>
      <c r="C129" s="4"/>
      <c r="D129" s="5">
        <f t="shared" si="4"/>
        <v>0</v>
      </c>
      <c r="E129" s="6" t="str">
        <f t="shared" si="5"/>
        <v/>
      </c>
    </row>
    <row r="130" spans="1:5" x14ac:dyDescent="0.25">
      <c r="A130" s="3" t="s">
        <v>129</v>
      </c>
      <c r="B130" s="5">
        <f>125936.99</f>
        <v>125936.99</v>
      </c>
      <c r="C130" s="5">
        <f>130420.07</f>
        <v>130420.07</v>
      </c>
      <c r="D130" s="5">
        <f t="shared" si="4"/>
        <v>-4483.0800000000017</v>
      </c>
      <c r="E130" s="6">
        <f t="shared" si="5"/>
        <v>-3.4374157290361841E-2</v>
      </c>
    </row>
    <row r="131" spans="1:5" x14ac:dyDescent="0.25">
      <c r="A131" s="3" t="s">
        <v>131</v>
      </c>
      <c r="B131" s="5">
        <f>11503.93</f>
        <v>11503.93</v>
      </c>
      <c r="C131" s="5">
        <f>12158.7</f>
        <v>12158.7</v>
      </c>
      <c r="D131" s="5">
        <f t="shared" si="4"/>
        <v>-654.77000000000044</v>
      </c>
      <c r="E131" s="6">
        <f t="shared" si="5"/>
        <v>-5.3851974306463719E-2</v>
      </c>
    </row>
    <row r="132" spans="1:5" x14ac:dyDescent="0.25">
      <c r="A132" s="3" t="s">
        <v>132</v>
      </c>
      <c r="B132" s="5">
        <f>4468.45</f>
        <v>4468.45</v>
      </c>
      <c r="C132" s="5">
        <f>5867.1</f>
        <v>5867.1</v>
      </c>
      <c r="D132" s="5">
        <f t="shared" si="4"/>
        <v>-1398.6500000000005</v>
      </c>
      <c r="E132" s="6">
        <f t="shared" si="5"/>
        <v>-0.23838864174805277</v>
      </c>
    </row>
    <row r="133" spans="1:5" x14ac:dyDescent="0.25">
      <c r="A133" s="3" t="s">
        <v>133</v>
      </c>
      <c r="B133" s="5">
        <f>46948.32</f>
        <v>46948.32</v>
      </c>
      <c r="C133" s="5">
        <f>46744.2</f>
        <v>46744.2</v>
      </c>
      <c r="D133" s="5">
        <f t="shared" si="4"/>
        <v>204.12000000000262</v>
      </c>
      <c r="E133" s="6">
        <f t="shared" si="5"/>
        <v>4.3667449651508131E-3</v>
      </c>
    </row>
    <row r="134" spans="1:5" x14ac:dyDescent="0.25">
      <c r="A134" s="3" t="s">
        <v>134</v>
      </c>
      <c r="B134" s="9">
        <f>((((B129)+(B130))+(B131))+(B132))+(B133)</f>
        <v>188857.69000000003</v>
      </c>
      <c r="C134" s="9">
        <f>((((C129)+(C130))+(C131))+(C132))+(C133)</f>
        <v>195190.07</v>
      </c>
      <c r="D134" s="9">
        <f t="shared" si="4"/>
        <v>-6332.3799999999756</v>
      </c>
      <c r="E134" s="10">
        <f t="shared" si="5"/>
        <v>-3.2442121671455805E-2</v>
      </c>
    </row>
    <row r="135" spans="1:5" x14ac:dyDescent="0.25">
      <c r="A135" s="3" t="s">
        <v>135</v>
      </c>
      <c r="B135" s="4"/>
      <c r="C135" s="4"/>
      <c r="D135" s="5">
        <f t="shared" si="4"/>
        <v>0</v>
      </c>
      <c r="E135" s="6" t="str">
        <f t="shared" si="5"/>
        <v/>
      </c>
    </row>
    <row r="136" spans="1:5" x14ac:dyDescent="0.25">
      <c r="A136" s="3" t="s">
        <v>136</v>
      </c>
      <c r="B136" s="5">
        <f>10000</f>
        <v>10000</v>
      </c>
      <c r="C136" s="5">
        <f>14000</f>
        <v>14000</v>
      </c>
      <c r="D136" s="5">
        <f t="shared" si="4"/>
        <v>-4000</v>
      </c>
      <c r="E136" s="6">
        <f t="shared" si="5"/>
        <v>-0.2857142857142857</v>
      </c>
    </row>
    <row r="137" spans="1:5" x14ac:dyDescent="0.25">
      <c r="A137" s="3" t="s">
        <v>138</v>
      </c>
      <c r="B137" s="9">
        <f>(B135)+(B136)</f>
        <v>10000</v>
      </c>
      <c r="C137" s="9">
        <f>(C135)+(C136)</f>
        <v>14000</v>
      </c>
      <c r="D137" s="9">
        <f t="shared" si="4"/>
        <v>-4000</v>
      </c>
      <c r="E137" s="10">
        <f t="shared" si="5"/>
        <v>-0.2857142857142857</v>
      </c>
    </row>
    <row r="138" spans="1:5" x14ac:dyDescent="0.25">
      <c r="A138" s="3" t="s">
        <v>139</v>
      </c>
      <c r="B138" s="4"/>
      <c r="C138" s="5">
        <f>69.43</f>
        <v>69.430000000000007</v>
      </c>
      <c r="D138" s="5">
        <f t="shared" si="4"/>
        <v>-69.430000000000007</v>
      </c>
      <c r="E138" s="6">
        <f t="shared" si="5"/>
        <v>-1</v>
      </c>
    </row>
    <row r="139" spans="1:5" x14ac:dyDescent="0.25">
      <c r="A139" s="3" t="s">
        <v>140</v>
      </c>
      <c r="B139" s="4"/>
      <c r="C139" s="4"/>
      <c r="D139" s="5">
        <f t="shared" si="4"/>
        <v>0</v>
      </c>
      <c r="E139" s="6" t="str">
        <f t="shared" si="5"/>
        <v/>
      </c>
    </row>
    <row r="140" spans="1:5" x14ac:dyDescent="0.25">
      <c r="A140" s="3" t="s">
        <v>141</v>
      </c>
      <c r="B140" s="4"/>
      <c r="C140" s="5">
        <f>39.5</f>
        <v>39.5</v>
      </c>
      <c r="D140" s="5">
        <f t="shared" si="4"/>
        <v>-39.5</v>
      </c>
      <c r="E140" s="6">
        <f t="shared" si="5"/>
        <v>-1</v>
      </c>
    </row>
    <row r="141" spans="1:5" x14ac:dyDescent="0.25">
      <c r="A141" s="3" t="s">
        <v>142</v>
      </c>
      <c r="B141" s="5">
        <f>1073.1</f>
        <v>1073.0999999999999</v>
      </c>
      <c r="C141" s="5">
        <f>1112.6</f>
        <v>1112.5999999999999</v>
      </c>
      <c r="D141" s="5">
        <f t="shared" si="4"/>
        <v>-39.5</v>
      </c>
      <c r="E141" s="6">
        <f t="shared" si="5"/>
        <v>-3.550242674815747E-2</v>
      </c>
    </row>
    <row r="142" spans="1:5" x14ac:dyDescent="0.25">
      <c r="A142" s="3" t="s">
        <v>143</v>
      </c>
      <c r="B142" s="5">
        <f>1420.65</f>
        <v>1420.65</v>
      </c>
      <c r="C142" s="5">
        <f>1339.73</f>
        <v>1339.73</v>
      </c>
      <c r="D142" s="5">
        <f t="shared" si="4"/>
        <v>80.920000000000073</v>
      </c>
      <c r="E142" s="6">
        <f t="shared" si="5"/>
        <v>6.0400229897068863E-2</v>
      </c>
    </row>
    <row r="143" spans="1:5" x14ac:dyDescent="0.25">
      <c r="A143" s="3" t="s">
        <v>144</v>
      </c>
      <c r="B143" s="5">
        <f>0</f>
        <v>0</v>
      </c>
      <c r="C143" s="5">
        <f>3.51</f>
        <v>3.51</v>
      </c>
      <c r="D143" s="5">
        <f t="shared" si="4"/>
        <v>-3.51</v>
      </c>
      <c r="E143" s="6">
        <f t="shared" si="5"/>
        <v>-1</v>
      </c>
    </row>
    <row r="144" spans="1:5" x14ac:dyDescent="0.25">
      <c r="A144" s="3" t="s">
        <v>146</v>
      </c>
      <c r="B144" s="5">
        <f>498.23</f>
        <v>498.23</v>
      </c>
      <c r="C144" s="5">
        <f>389.96</f>
        <v>389.96</v>
      </c>
      <c r="D144" s="5">
        <f t="shared" si="4"/>
        <v>108.27000000000004</v>
      </c>
      <c r="E144" s="6">
        <f t="shared" si="5"/>
        <v>0.27764386090881127</v>
      </c>
    </row>
    <row r="145" spans="1:5" x14ac:dyDescent="0.25">
      <c r="A145" s="3" t="s">
        <v>147</v>
      </c>
      <c r="B145" s="9">
        <f>(((((B139)+(B140))+(B141))+(B142))+(B143))+(B144)</f>
        <v>2991.98</v>
      </c>
      <c r="C145" s="9">
        <f>(((((C139)+(C140))+(C141))+(C142))+(C143))+(C144)</f>
        <v>2885.3</v>
      </c>
      <c r="D145" s="9">
        <f t="shared" si="4"/>
        <v>106.67999999999984</v>
      </c>
      <c r="E145" s="10">
        <f t="shared" si="5"/>
        <v>3.6973624926350757E-2</v>
      </c>
    </row>
    <row r="146" spans="1:5" x14ac:dyDescent="0.25">
      <c r="A146" s="3" t="s">
        <v>148</v>
      </c>
      <c r="B146" s="5">
        <f>445.32</f>
        <v>445.32</v>
      </c>
      <c r="C146" s="5">
        <f>376.73</f>
        <v>376.73</v>
      </c>
      <c r="D146" s="5">
        <f t="shared" si="4"/>
        <v>68.589999999999975</v>
      </c>
      <c r="E146" s="6">
        <f t="shared" si="5"/>
        <v>0.18206673214238306</v>
      </c>
    </row>
    <row r="147" spans="1:5" x14ac:dyDescent="0.25">
      <c r="A147" s="3" t="s">
        <v>149</v>
      </c>
      <c r="B147" s="5">
        <f>6019.26</f>
        <v>6019.26</v>
      </c>
      <c r="C147" s="5">
        <f>4885.25</f>
        <v>4885.25</v>
      </c>
      <c r="D147" s="5">
        <f t="shared" si="4"/>
        <v>1134.0100000000002</v>
      </c>
      <c r="E147" s="6">
        <f t="shared" si="5"/>
        <v>0.23212936901898576</v>
      </c>
    </row>
    <row r="148" spans="1:5" x14ac:dyDescent="0.25">
      <c r="A148" s="3" t="s">
        <v>150</v>
      </c>
      <c r="B148" s="5">
        <f>2707.67</f>
        <v>2707.67</v>
      </c>
      <c r="C148" s="5">
        <f>2549.09</f>
        <v>2549.09</v>
      </c>
      <c r="D148" s="5">
        <f t="shared" si="4"/>
        <v>158.57999999999993</v>
      </c>
      <c r="E148" s="6">
        <f t="shared" si="5"/>
        <v>6.2210435881039867E-2</v>
      </c>
    </row>
    <row r="149" spans="1:5" x14ac:dyDescent="0.25">
      <c r="A149" s="3" t="s">
        <v>151</v>
      </c>
      <c r="B149" s="4"/>
      <c r="C149" s="4"/>
      <c r="D149" s="5">
        <f t="shared" si="4"/>
        <v>0</v>
      </c>
      <c r="E149" s="6" t="str">
        <f t="shared" si="5"/>
        <v/>
      </c>
    </row>
    <row r="150" spans="1:5" x14ac:dyDescent="0.25">
      <c r="A150" s="3" t="s">
        <v>152</v>
      </c>
      <c r="B150" s="5">
        <f>10</f>
        <v>10</v>
      </c>
      <c r="C150" s="5">
        <f>10</f>
        <v>10</v>
      </c>
      <c r="D150" s="5">
        <f t="shared" si="4"/>
        <v>0</v>
      </c>
      <c r="E150" s="6">
        <f t="shared" si="5"/>
        <v>0</v>
      </c>
    </row>
    <row r="151" spans="1:5" x14ac:dyDescent="0.25">
      <c r="A151" s="3" t="s">
        <v>153</v>
      </c>
      <c r="B151" s="5">
        <f>1200</f>
        <v>1200</v>
      </c>
      <c r="C151" s="5">
        <f>1200</f>
        <v>1200</v>
      </c>
      <c r="D151" s="5">
        <f t="shared" si="4"/>
        <v>0</v>
      </c>
      <c r="E151" s="6">
        <f t="shared" si="5"/>
        <v>0</v>
      </c>
    </row>
    <row r="152" spans="1:5" x14ac:dyDescent="0.25">
      <c r="A152" s="3" t="s">
        <v>154</v>
      </c>
      <c r="B152" s="9">
        <f>((B149)+(B150))+(B151)</f>
        <v>1210</v>
      </c>
      <c r="C152" s="9">
        <f>((C149)+(C150))+(C151)</f>
        <v>1210</v>
      </c>
      <c r="D152" s="9">
        <f t="shared" si="4"/>
        <v>0</v>
      </c>
      <c r="E152" s="10">
        <f t="shared" si="5"/>
        <v>0</v>
      </c>
    </row>
    <row r="153" spans="1:5" x14ac:dyDescent="0.25">
      <c r="A153" s="3" t="s">
        <v>155</v>
      </c>
      <c r="B153" s="5">
        <f>1208.82</f>
        <v>1208.82</v>
      </c>
      <c r="C153" s="5">
        <f>1504.97</f>
        <v>1504.97</v>
      </c>
      <c r="D153" s="5">
        <f t="shared" si="4"/>
        <v>-296.15000000000009</v>
      </c>
      <c r="E153" s="6">
        <f t="shared" si="5"/>
        <v>-0.19678133118932609</v>
      </c>
    </row>
    <row r="154" spans="1:5" x14ac:dyDescent="0.25">
      <c r="A154" s="3" t="s">
        <v>156</v>
      </c>
      <c r="B154" s="5">
        <f>25.87</f>
        <v>25.87</v>
      </c>
      <c r="C154" s="5">
        <f>22.78</f>
        <v>22.78</v>
      </c>
      <c r="D154" s="5">
        <f t="shared" si="4"/>
        <v>3.09</v>
      </c>
      <c r="E154" s="6">
        <f t="shared" si="5"/>
        <v>0.1356453028972783</v>
      </c>
    </row>
    <row r="155" spans="1:5" x14ac:dyDescent="0.25">
      <c r="A155" s="3" t="s">
        <v>157</v>
      </c>
      <c r="B155" s="5">
        <f>578.25</f>
        <v>578.25</v>
      </c>
      <c r="C155" s="5">
        <f>416.42</f>
        <v>416.42</v>
      </c>
      <c r="D155" s="5">
        <f t="shared" si="4"/>
        <v>161.82999999999998</v>
      </c>
      <c r="E155" s="6">
        <f t="shared" si="5"/>
        <v>0.3886220642620431</v>
      </c>
    </row>
    <row r="156" spans="1:5" x14ac:dyDescent="0.25">
      <c r="A156" s="3" t="s">
        <v>158</v>
      </c>
      <c r="B156" s="9">
        <f>((B153)+(B154))+(B155)</f>
        <v>1812.9399999999998</v>
      </c>
      <c r="C156" s="9">
        <f>((C153)+(C154))+(C155)</f>
        <v>1944.17</v>
      </c>
      <c r="D156" s="9">
        <f t="shared" si="4"/>
        <v>-131.23000000000025</v>
      </c>
      <c r="E156" s="10">
        <f t="shared" si="5"/>
        <v>-6.7499241321489503E-2</v>
      </c>
    </row>
    <row r="157" spans="1:5" x14ac:dyDescent="0.25">
      <c r="A157" s="3" t="s">
        <v>159</v>
      </c>
      <c r="B157" s="5">
        <f>130</f>
        <v>130</v>
      </c>
      <c r="C157" s="5">
        <f>45</f>
        <v>45</v>
      </c>
      <c r="D157" s="5">
        <f t="shared" si="4"/>
        <v>85</v>
      </c>
      <c r="E157" s="6">
        <f t="shared" si="5"/>
        <v>1.8888888888888888</v>
      </c>
    </row>
    <row r="158" spans="1:5" x14ac:dyDescent="0.25">
      <c r="A158" s="3" t="s">
        <v>160</v>
      </c>
      <c r="B158" s="5">
        <f>6023.85</f>
        <v>6023.85</v>
      </c>
      <c r="C158" s="4"/>
      <c r="D158" s="5">
        <f t="shared" si="4"/>
        <v>6023.85</v>
      </c>
      <c r="E158" s="6" t="str">
        <f t="shared" si="5"/>
        <v/>
      </c>
    </row>
    <row r="159" spans="1:5" x14ac:dyDescent="0.25">
      <c r="A159" s="3" t="s">
        <v>161</v>
      </c>
      <c r="B159" s="5">
        <f>35</f>
        <v>35</v>
      </c>
      <c r="C159" s="5">
        <f>25</f>
        <v>25</v>
      </c>
      <c r="D159" s="5">
        <f t="shared" si="4"/>
        <v>10</v>
      </c>
      <c r="E159" s="6">
        <f t="shared" si="5"/>
        <v>0.4</v>
      </c>
    </row>
    <row r="160" spans="1:5" x14ac:dyDescent="0.25">
      <c r="A160" s="3" t="s">
        <v>162</v>
      </c>
      <c r="B160" s="4"/>
      <c r="C160" s="4"/>
      <c r="D160" s="5">
        <f t="shared" si="4"/>
        <v>0</v>
      </c>
      <c r="E160" s="6" t="str">
        <f t="shared" si="5"/>
        <v/>
      </c>
    </row>
    <row r="161" spans="1:5" x14ac:dyDescent="0.25">
      <c r="A161" s="3" t="s">
        <v>163</v>
      </c>
      <c r="B161" s="5">
        <f>100</f>
        <v>100</v>
      </c>
      <c r="C161" s="4"/>
      <c r="D161" s="5">
        <f t="shared" si="4"/>
        <v>100</v>
      </c>
      <c r="E161" s="6" t="str">
        <f t="shared" si="5"/>
        <v/>
      </c>
    </row>
    <row r="162" spans="1:5" x14ac:dyDescent="0.25">
      <c r="A162" s="3" t="s">
        <v>164</v>
      </c>
      <c r="B162" s="9">
        <f>(B160)+(B161)</f>
        <v>100</v>
      </c>
      <c r="C162" s="9">
        <f>(C160)+(C161)</f>
        <v>0</v>
      </c>
      <c r="D162" s="9">
        <f t="shared" si="4"/>
        <v>100</v>
      </c>
      <c r="E162" s="10" t="str">
        <f t="shared" si="5"/>
        <v/>
      </c>
    </row>
    <row r="163" spans="1:5" x14ac:dyDescent="0.25">
      <c r="A163" s="3" t="s">
        <v>165</v>
      </c>
      <c r="B163" s="5">
        <f>511.65</f>
        <v>511.65</v>
      </c>
      <c r="C163" s="5">
        <f>654.61</f>
        <v>654.61</v>
      </c>
      <c r="D163" s="5">
        <f t="shared" ref="D163:D170" si="6">(B163)-(C163)</f>
        <v>-142.96000000000004</v>
      </c>
      <c r="E163" s="6">
        <f t="shared" ref="E163:E170" si="7">IF(ABS((C163))=0,"",((B163)-(C163))/(ABS((C163))))</f>
        <v>-0.21838957547241875</v>
      </c>
    </row>
    <row r="164" spans="1:5" x14ac:dyDescent="0.25">
      <c r="A164" s="3" t="s">
        <v>166</v>
      </c>
      <c r="B164" s="5">
        <f>101.25</f>
        <v>101.25</v>
      </c>
      <c r="C164" s="4"/>
      <c r="D164" s="5">
        <f t="shared" si="6"/>
        <v>101.25</v>
      </c>
      <c r="E164" s="6" t="str">
        <f t="shared" si="7"/>
        <v/>
      </c>
    </row>
    <row r="165" spans="1:5" x14ac:dyDescent="0.25">
      <c r="A165" s="3" t="s">
        <v>167</v>
      </c>
      <c r="B165" s="4"/>
      <c r="C165" s="4"/>
      <c r="D165" s="5">
        <f t="shared" si="6"/>
        <v>0</v>
      </c>
      <c r="E165" s="6" t="str">
        <f t="shared" si="7"/>
        <v/>
      </c>
    </row>
    <row r="166" spans="1:5" x14ac:dyDescent="0.25">
      <c r="A166" s="3" t="s">
        <v>168</v>
      </c>
      <c r="B166" s="5">
        <f>13.49</f>
        <v>13.49</v>
      </c>
      <c r="C166" s="5">
        <f>563.72</f>
        <v>563.72</v>
      </c>
      <c r="D166" s="5">
        <f t="shared" si="6"/>
        <v>-550.23</v>
      </c>
      <c r="E166" s="6">
        <f t="shared" si="7"/>
        <v>-0.97606967998297023</v>
      </c>
    </row>
    <row r="167" spans="1:5" x14ac:dyDescent="0.25">
      <c r="A167" s="3" t="s">
        <v>169</v>
      </c>
      <c r="B167" s="5">
        <f>1879.22</f>
        <v>1879.22</v>
      </c>
      <c r="C167" s="5">
        <f>4213.18</f>
        <v>4213.18</v>
      </c>
      <c r="D167" s="5">
        <f t="shared" si="6"/>
        <v>-2333.96</v>
      </c>
      <c r="E167" s="6">
        <f t="shared" si="7"/>
        <v>-0.5539663626999084</v>
      </c>
    </row>
    <row r="168" spans="1:5" x14ac:dyDescent="0.25">
      <c r="A168" s="3" t="s">
        <v>170</v>
      </c>
      <c r="B168" s="9">
        <f>((B165)+(B166))+(B167)</f>
        <v>1892.71</v>
      </c>
      <c r="C168" s="9">
        <f>((C165)+(C166))+(C167)</f>
        <v>4776.9000000000005</v>
      </c>
      <c r="D168" s="9">
        <f t="shared" si="6"/>
        <v>-2884.1900000000005</v>
      </c>
      <c r="E168" s="10">
        <f t="shared" si="7"/>
        <v>-0.60377860118486892</v>
      </c>
    </row>
    <row r="169" spans="1:5" x14ac:dyDescent="0.25">
      <c r="A169" s="3" t="s">
        <v>171</v>
      </c>
      <c r="B169" s="9">
        <f>(((((((((((((((((((((((((((B101)+(B102))+(B103))+(B104))+(B105))+(B109))+(B112))+(B117))+(B122))+(B123))+(B127))+(B128))+(B134))+(B137))+(B138))+(B145))+(B146))+(B147))+(B148))+(B152))+(B156))+(B157))+(B158))+(B159))+(B162))+(B163))+(B164))+(B168)</f>
        <v>309541.15000000002</v>
      </c>
      <c r="C169" s="9">
        <f>(((((((((((((((((((((((((((C101)+(C102))+(C103))+(C104))+(C105))+(C109))+(C112))+(C117))+(C122))+(C123))+(C127))+(C128))+(C134))+(C137))+(C138))+(C145))+(C146))+(C147))+(C148))+(C152))+(C156))+(C157))+(C158))+(C159))+(C162))+(C163))+(C164))+(C168)</f>
        <v>325357.56</v>
      </c>
      <c r="D169" s="9">
        <f t="shared" si="6"/>
        <v>-15816.409999999974</v>
      </c>
      <c r="E169" s="10">
        <f t="shared" si="7"/>
        <v>-4.8612394314734762E-2</v>
      </c>
    </row>
    <row r="170" spans="1:5" x14ac:dyDescent="0.25">
      <c r="A170" s="3" t="s">
        <v>172</v>
      </c>
      <c r="B170" s="9">
        <f>(B97)-(B169)</f>
        <v>9644.3099999999977</v>
      </c>
      <c r="C170" s="9">
        <f>(C97)-(C169)</f>
        <v>-8313.0300000000279</v>
      </c>
      <c r="D170" s="9">
        <f t="shared" si="6"/>
        <v>17957.340000000026</v>
      </c>
      <c r="E170" s="10">
        <f t="shared" si="7"/>
        <v>2.1601437742916803</v>
      </c>
    </row>
    <row r="171" spans="1:5" x14ac:dyDescent="0.25">
      <c r="A171" s="3" t="s">
        <v>191</v>
      </c>
      <c r="B171" s="4"/>
      <c r="C171" s="4"/>
      <c r="D171" s="4"/>
      <c r="E171" s="4"/>
    </row>
    <row r="172" spans="1:5" x14ac:dyDescent="0.25">
      <c r="A172" s="3" t="s">
        <v>192</v>
      </c>
      <c r="B172" s="4"/>
      <c r="C172" s="5">
        <f>0</f>
        <v>0</v>
      </c>
      <c r="D172" s="5">
        <f>(B172)-(C172)</f>
        <v>0</v>
      </c>
      <c r="E172" s="6" t="str">
        <f>IF(ABS((C172))=0,"",((B172)-(C172))/(ABS((C172))))</f>
        <v/>
      </c>
    </row>
    <row r="173" spans="1:5" x14ac:dyDescent="0.25">
      <c r="A173" s="3" t="s">
        <v>193</v>
      </c>
      <c r="B173" s="9">
        <f>B172</f>
        <v>0</v>
      </c>
      <c r="C173" s="9">
        <f>C172</f>
        <v>0</v>
      </c>
      <c r="D173" s="9">
        <f>(B173)-(C173)</f>
        <v>0</v>
      </c>
      <c r="E173" s="10" t="str">
        <f>IF(ABS((C173))=0,"",((B173)-(C173))/(ABS((C173))))</f>
        <v/>
      </c>
    </row>
    <row r="174" spans="1:5" x14ac:dyDescent="0.25">
      <c r="A174" s="3" t="s">
        <v>194</v>
      </c>
      <c r="B174" s="9">
        <f>(0)-(B173)</f>
        <v>0</v>
      </c>
      <c r="C174" s="9">
        <f>(0)-(C173)</f>
        <v>0</v>
      </c>
      <c r="D174" s="9">
        <f>(B174)-(C174)</f>
        <v>0</v>
      </c>
      <c r="E174" s="10" t="str">
        <f>IF(ABS((C174))=0,"",((B174)-(C174))/(ABS((C174))))</f>
        <v/>
      </c>
    </row>
    <row r="175" spans="1:5" x14ac:dyDescent="0.25">
      <c r="A175" s="3" t="s">
        <v>173</v>
      </c>
      <c r="B175" s="9">
        <f>(B170)+(B174)</f>
        <v>9644.3099999999977</v>
      </c>
      <c r="C175" s="9">
        <f>(C170)+(C174)</f>
        <v>-8313.0300000000279</v>
      </c>
      <c r="D175" s="9">
        <f>(B175)-(C175)</f>
        <v>17957.340000000026</v>
      </c>
      <c r="E175" s="10">
        <f>IF(ABS((C175))=0,"",((B175)-(C175))/(ABS((C175))))</f>
        <v>2.1601437742916803</v>
      </c>
    </row>
    <row r="176" spans="1:5" x14ac:dyDescent="0.25">
      <c r="A176" s="3"/>
      <c r="B176" s="4"/>
      <c r="C176" s="4"/>
      <c r="D176" s="4"/>
      <c r="E176" s="4"/>
    </row>
    <row r="179" spans="1:5" x14ac:dyDescent="0.25">
      <c r="A179" s="20" t="s">
        <v>195</v>
      </c>
      <c r="B179" s="21"/>
      <c r="C179" s="21"/>
      <c r="D179" s="21"/>
      <c r="E179" s="21"/>
    </row>
  </sheetData>
  <mergeCells count="5">
    <mergeCell ref="A1:E1"/>
    <mergeCell ref="A2:E2"/>
    <mergeCell ref="A3:E3"/>
    <mergeCell ref="B5:E5"/>
    <mergeCell ref="A179:E1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15ED-FF03-43D0-AC47-3117F430A0BF}">
  <sheetPr>
    <tabColor rgb="FFFF0000"/>
  </sheetPr>
  <dimension ref="A1:K59"/>
  <sheetViews>
    <sheetView topLeftCell="A21" workbookViewId="0">
      <selection activeCell="K37" sqref="I33:K37"/>
    </sheetView>
  </sheetViews>
  <sheetFormatPr defaultRowHeight="15" x14ac:dyDescent="0.25"/>
  <cols>
    <col min="1" max="1" width="30.140625" customWidth="1"/>
    <col min="2" max="5" width="18" customWidth="1"/>
    <col min="9" max="9" width="18.28515625" bestFit="1" customWidth="1"/>
    <col min="10" max="11" width="11.5703125" bestFit="1" customWidth="1"/>
  </cols>
  <sheetData>
    <row r="1" spans="1:11" ht="18" x14ac:dyDescent="0.25">
      <c r="A1" s="22" t="s">
        <v>175</v>
      </c>
      <c r="B1" s="21"/>
      <c r="C1" s="21"/>
      <c r="D1" s="21"/>
      <c r="E1" s="21"/>
    </row>
    <row r="2" spans="1:11" ht="18" x14ac:dyDescent="0.25">
      <c r="A2" s="22" t="s">
        <v>179</v>
      </c>
      <c r="B2" s="21"/>
      <c r="C2" s="21"/>
      <c r="D2" s="21"/>
      <c r="E2" s="21"/>
    </row>
    <row r="3" spans="1:11" x14ac:dyDescent="0.25">
      <c r="A3" s="23" t="s">
        <v>180</v>
      </c>
      <c r="B3" s="21"/>
      <c r="C3" s="21"/>
      <c r="D3" s="21"/>
      <c r="E3" s="21"/>
    </row>
    <row r="5" spans="1:11" x14ac:dyDescent="0.25">
      <c r="A5" s="1"/>
      <c r="B5" s="18" t="s">
        <v>0</v>
      </c>
      <c r="C5" s="19"/>
      <c r="D5" s="19"/>
      <c r="E5" s="19"/>
    </row>
    <row r="6" spans="1:11" x14ac:dyDescent="0.25">
      <c r="A6" s="1"/>
      <c r="B6" s="2" t="s">
        <v>181</v>
      </c>
      <c r="C6" s="2" t="s">
        <v>182</v>
      </c>
      <c r="D6" s="2" t="s">
        <v>183</v>
      </c>
      <c r="E6" s="2" t="s">
        <v>184</v>
      </c>
    </row>
    <row r="7" spans="1:11" x14ac:dyDescent="0.25">
      <c r="A7" s="3" t="s">
        <v>5</v>
      </c>
      <c r="B7" s="4"/>
      <c r="C7" s="4"/>
      <c r="D7" s="4"/>
      <c r="E7" s="4"/>
      <c r="J7">
        <v>2023</v>
      </c>
      <c r="K7">
        <v>2022</v>
      </c>
    </row>
    <row r="8" spans="1:11" x14ac:dyDescent="0.25">
      <c r="A8" s="3" t="s">
        <v>6</v>
      </c>
      <c r="B8" s="5">
        <f>275741.25</f>
        <v>275741.25</v>
      </c>
      <c r="C8" s="5">
        <f>279400</f>
        <v>279400</v>
      </c>
      <c r="D8" s="5">
        <f t="shared" ref="D8:D14" si="0">(B8)-(C8)</f>
        <v>-3658.75</v>
      </c>
      <c r="E8" s="6">
        <f t="shared" ref="E8:E14" si="1">IF(ABS((C8))=0,"",((B8)-(C8))/(ABS((C8))))</f>
        <v>-1.3095025053686472E-2</v>
      </c>
      <c r="I8" t="s">
        <v>364</v>
      </c>
      <c r="J8" s="14">
        <f>B9</f>
        <v>10846.75</v>
      </c>
      <c r="K8" s="14">
        <f>C9</f>
        <v>18094.98</v>
      </c>
    </row>
    <row r="9" spans="1:11" x14ac:dyDescent="0.25">
      <c r="A9" s="3" t="s">
        <v>11</v>
      </c>
      <c r="B9" s="5">
        <f>10846.75</f>
        <v>10846.75</v>
      </c>
      <c r="C9" s="5">
        <f>18094.98</f>
        <v>18094.98</v>
      </c>
      <c r="D9" s="5">
        <f t="shared" si="0"/>
        <v>-7248.23</v>
      </c>
      <c r="E9" s="6">
        <f t="shared" si="1"/>
        <v>-0.40056579228051092</v>
      </c>
      <c r="I9" t="s">
        <v>363</v>
      </c>
      <c r="J9" s="14">
        <f>B12</f>
        <v>36465.25</v>
      </c>
      <c r="K9" s="14">
        <f>C12</f>
        <v>26069.64</v>
      </c>
    </row>
    <row r="10" spans="1:11" x14ac:dyDescent="0.25">
      <c r="A10" s="3" t="s">
        <v>186</v>
      </c>
      <c r="B10" s="4"/>
      <c r="C10" s="5">
        <f>0</f>
        <v>0</v>
      </c>
      <c r="D10" s="5">
        <f t="shared" si="0"/>
        <v>0</v>
      </c>
      <c r="E10" s="6" t="str">
        <f t="shared" si="1"/>
        <v/>
      </c>
      <c r="I10" t="s">
        <v>362</v>
      </c>
      <c r="J10" s="14">
        <f>B8</f>
        <v>275741.25</v>
      </c>
      <c r="K10" s="14">
        <f>C8</f>
        <v>279400</v>
      </c>
    </row>
    <row r="11" spans="1:11" x14ac:dyDescent="0.25">
      <c r="A11" s="3" t="s">
        <v>25</v>
      </c>
      <c r="B11" s="5">
        <f>1216.03</f>
        <v>1216.03</v>
      </c>
      <c r="C11" s="5">
        <f>1767.86</f>
        <v>1767.86</v>
      </c>
      <c r="D11" s="5">
        <f t="shared" si="0"/>
        <v>-551.82999999999993</v>
      </c>
      <c r="E11" s="6">
        <f t="shared" si="1"/>
        <v>-0.31214575814826961</v>
      </c>
    </row>
    <row r="12" spans="1:11" x14ac:dyDescent="0.25">
      <c r="A12" s="3" t="s">
        <v>26</v>
      </c>
      <c r="B12" s="5">
        <f>36465.25</f>
        <v>36465.25</v>
      </c>
      <c r="C12" s="5">
        <f>26069.64</f>
        <v>26069.64</v>
      </c>
      <c r="D12" s="5">
        <f t="shared" si="0"/>
        <v>10395.61</v>
      </c>
      <c r="E12" s="6">
        <f t="shared" si="1"/>
        <v>0.39876308226734242</v>
      </c>
    </row>
    <row r="13" spans="1:11" x14ac:dyDescent="0.25">
      <c r="A13" s="3" t="s">
        <v>89</v>
      </c>
      <c r="B13" s="5">
        <f>184.51</f>
        <v>184.51</v>
      </c>
      <c r="C13" s="5">
        <f>278.45</f>
        <v>278.45</v>
      </c>
      <c r="D13" s="5">
        <f t="shared" si="0"/>
        <v>-93.94</v>
      </c>
      <c r="E13" s="6">
        <f t="shared" si="1"/>
        <v>-0.33736757047943977</v>
      </c>
    </row>
    <row r="14" spans="1:11" x14ac:dyDescent="0.25">
      <c r="A14" s="3" t="s">
        <v>90</v>
      </c>
      <c r="B14" s="9">
        <f>(((((B8)+(B9))+(B10))+(B11))+(B12))+(B13)</f>
        <v>324453.79000000004</v>
      </c>
      <c r="C14" s="9">
        <f>(((((C8)+(C9))+(C10))+(C11))+(C12))+(C13)</f>
        <v>325610.93</v>
      </c>
      <c r="D14" s="9">
        <f t="shared" si="0"/>
        <v>-1157.1399999999558</v>
      </c>
      <c r="E14" s="10">
        <f t="shared" si="1"/>
        <v>-3.5537504837443749E-3</v>
      </c>
    </row>
    <row r="15" spans="1:11" x14ac:dyDescent="0.25">
      <c r="A15" s="3" t="s">
        <v>91</v>
      </c>
      <c r="B15" s="4"/>
      <c r="C15" s="4"/>
      <c r="D15" s="4"/>
      <c r="E15" s="4"/>
    </row>
    <row r="16" spans="1:11" x14ac:dyDescent="0.25">
      <c r="A16" s="3" t="s">
        <v>92</v>
      </c>
      <c r="B16" s="5">
        <f>4230.23</f>
        <v>4230.2299999999996</v>
      </c>
      <c r="C16" s="5">
        <f>7360.91</f>
        <v>7360.91</v>
      </c>
      <c r="D16" s="5">
        <f>(B16)-(C16)</f>
        <v>-3130.6800000000003</v>
      </c>
      <c r="E16" s="6">
        <f>IF(ABS((C16))=0,"",((B16)-(C16))/(ABS((C16))))</f>
        <v>-0.42531154436068369</v>
      </c>
    </row>
    <row r="17" spans="1:5" x14ac:dyDescent="0.25">
      <c r="A17" s="3" t="s">
        <v>93</v>
      </c>
      <c r="B17" s="5">
        <f>1038.1</f>
        <v>1038.0999999999999</v>
      </c>
      <c r="C17" s="5">
        <f>1205.49</f>
        <v>1205.49</v>
      </c>
      <c r="D17" s="5">
        <f>(B17)-(C17)</f>
        <v>-167.3900000000001</v>
      </c>
      <c r="E17" s="6">
        <f>IF(ABS((C17))=0,"",((B17)-(C17))/(ABS((C17))))</f>
        <v>-0.13885639864287561</v>
      </c>
    </row>
    <row r="18" spans="1:5" x14ac:dyDescent="0.25">
      <c r="A18" s="3" t="s">
        <v>94</v>
      </c>
      <c r="B18" s="9">
        <f>(B16)+(B17)</f>
        <v>5268.33</v>
      </c>
      <c r="C18" s="9">
        <f>(C16)+(C17)</f>
        <v>8566.4</v>
      </c>
      <c r="D18" s="9">
        <f>(B18)-(C18)</f>
        <v>-3298.0699999999997</v>
      </c>
      <c r="E18" s="10">
        <f>IF(ABS((C18))=0,"",((B18)-(C18))/(ABS((C18))))</f>
        <v>-0.38500070041090773</v>
      </c>
    </row>
    <row r="19" spans="1:5" x14ac:dyDescent="0.25">
      <c r="A19" s="3" t="s">
        <v>95</v>
      </c>
      <c r="B19" s="9">
        <f>(B14)-(B18)</f>
        <v>319185.46000000002</v>
      </c>
      <c r="C19" s="9">
        <f>(C14)-(C18)</f>
        <v>317044.52999999997</v>
      </c>
      <c r="D19" s="9">
        <f>(B19)-(C19)</f>
        <v>2140.9300000000512</v>
      </c>
      <c r="E19" s="10">
        <f>IF(ABS((C19))=0,"",((B19)-(C19))/(ABS((C19))))</f>
        <v>6.7527738138237281E-3</v>
      </c>
    </row>
    <row r="20" spans="1:5" x14ac:dyDescent="0.25">
      <c r="A20" s="3" t="s">
        <v>96</v>
      </c>
      <c r="B20" s="4"/>
      <c r="C20" s="4"/>
      <c r="D20" s="4"/>
      <c r="E20" s="4"/>
    </row>
    <row r="21" spans="1:5" x14ac:dyDescent="0.25">
      <c r="A21" s="3" t="s">
        <v>97</v>
      </c>
      <c r="B21" s="5">
        <f>32572</f>
        <v>32572</v>
      </c>
      <c r="C21" s="5">
        <f>26378</f>
        <v>26378</v>
      </c>
      <c r="D21" s="5">
        <f t="shared" ref="D21:D50" si="2">(B21)-(C21)</f>
        <v>6194</v>
      </c>
      <c r="E21" s="6">
        <f t="shared" ref="E21:E50" si="3">IF(ABS((C21))=0,"",((B21)-(C21))/(ABS((C21))))</f>
        <v>0.2348168928652665</v>
      </c>
    </row>
    <row r="22" spans="1:5" x14ac:dyDescent="0.25">
      <c r="A22" s="3" t="s">
        <v>100</v>
      </c>
      <c r="B22" s="5">
        <f>950</f>
        <v>950</v>
      </c>
      <c r="C22" s="5">
        <f>3528.95</f>
        <v>3528.95</v>
      </c>
      <c r="D22" s="5">
        <f t="shared" si="2"/>
        <v>-2578.9499999999998</v>
      </c>
      <c r="E22" s="6">
        <f t="shared" si="3"/>
        <v>-0.73079811275308515</v>
      </c>
    </row>
    <row r="23" spans="1:5" x14ac:dyDescent="0.25">
      <c r="A23" s="3" t="s">
        <v>101</v>
      </c>
      <c r="B23" s="5">
        <f>551.69</f>
        <v>551.69000000000005</v>
      </c>
      <c r="C23" s="5">
        <f>759</f>
        <v>759</v>
      </c>
      <c r="D23" s="5">
        <f t="shared" si="2"/>
        <v>-207.30999999999995</v>
      </c>
      <c r="E23" s="6">
        <f t="shared" si="3"/>
        <v>-0.27313570487483524</v>
      </c>
    </row>
    <row r="24" spans="1:5" x14ac:dyDescent="0.25">
      <c r="A24" s="3" t="s">
        <v>102</v>
      </c>
      <c r="B24" s="5">
        <f>5801.82</f>
        <v>5801.82</v>
      </c>
      <c r="C24" s="5">
        <f>8221.87</f>
        <v>8221.8700000000008</v>
      </c>
      <c r="D24" s="5">
        <f t="shared" si="2"/>
        <v>-2420.0500000000011</v>
      </c>
      <c r="E24" s="6">
        <f t="shared" si="3"/>
        <v>-0.29434301442372607</v>
      </c>
    </row>
    <row r="25" spans="1:5" x14ac:dyDescent="0.25">
      <c r="A25" s="3" t="s">
        <v>103</v>
      </c>
      <c r="B25" s="5">
        <f>46.76</f>
        <v>46.76</v>
      </c>
      <c r="C25" s="5">
        <f>453.16</f>
        <v>453.16</v>
      </c>
      <c r="D25" s="5">
        <f t="shared" si="2"/>
        <v>-406.40000000000003</v>
      </c>
      <c r="E25" s="6">
        <f t="shared" si="3"/>
        <v>-0.89681348750993028</v>
      </c>
    </row>
    <row r="26" spans="1:5" x14ac:dyDescent="0.25">
      <c r="A26" s="16" t="s">
        <v>104</v>
      </c>
      <c r="B26" s="4"/>
      <c r="C26" s="5">
        <f>3378.95</f>
        <v>3378.95</v>
      </c>
      <c r="D26" s="5">
        <f t="shared" si="2"/>
        <v>-3378.95</v>
      </c>
      <c r="E26" s="6">
        <f t="shared" si="3"/>
        <v>-1</v>
      </c>
    </row>
    <row r="27" spans="1:5" x14ac:dyDescent="0.25">
      <c r="A27" s="3" t="s">
        <v>108</v>
      </c>
      <c r="B27" s="5">
        <f>5070.68</f>
        <v>5070.68</v>
      </c>
      <c r="C27" s="5">
        <f>5789</f>
        <v>5789</v>
      </c>
      <c r="D27" s="5">
        <f t="shared" si="2"/>
        <v>-718.31999999999971</v>
      </c>
      <c r="E27" s="6">
        <f t="shared" si="3"/>
        <v>-0.12408360684055963</v>
      </c>
    </row>
    <row r="28" spans="1:5" x14ac:dyDescent="0.25">
      <c r="A28" s="16" t="s">
        <v>111</v>
      </c>
      <c r="B28" s="5">
        <f>28030.67</f>
        <v>28030.67</v>
      </c>
      <c r="C28" s="5">
        <f>37056.23</f>
        <v>37056.230000000003</v>
      </c>
      <c r="D28" s="5">
        <f t="shared" si="2"/>
        <v>-9025.5600000000049</v>
      </c>
      <c r="E28" s="6">
        <f t="shared" si="3"/>
        <v>-0.24356390274995607</v>
      </c>
    </row>
    <row r="29" spans="1:5" x14ac:dyDescent="0.25">
      <c r="A29" s="3" t="s">
        <v>116</v>
      </c>
      <c r="B29" s="5">
        <f>5011.74</f>
        <v>5011.74</v>
      </c>
      <c r="C29" s="5">
        <f>7482.96</f>
        <v>7482.96</v>
      </c>
      <c r="D29" s="5">
        <f t="shared" si="2"/>
        <v>-2471.2200000000003</v>
      </c>
      <c r="E29" s="6">
        <f t="shared" si="3"/>
        <v>-0.33024631963821804</v>
      </c>
    </row>
    <row r="30" spans="1:5" x14ac:dyDescent="0.25">
      <c r="A30" s="3" t="s">
        <v>121</v>
      </c>
      <c r="B30" s="5">
        <f>3397.85</f>
        <v>3397.85</v>
      </c>
      <c r="C30" s="5">
        <f>2191.27</f>
        <v>2191.27</v>
      </c>
      <c r="D30" s="5">
        <f t="shared" si="2"/>
        <v>1206.58</v>
      </c>
      <c r="E30" s="6">
        <f t="shared" si="3"/>
        <v>0.55063045631072394</v>
      </c>
    </row>
    <row r="31" spans="1:5" x14ac:dyDescent="0.25">
      <c r="A31" s="16" t="s">
        <v>122</v>
      </c>
      <c r="B31" s="5">
        <f>4304.04</f>
        <v>4304.04</v>
      </c>
      <c r="C31" s="5">
        <f>1049.52</f>
        <v>1049.52</v>
      </c>
      <c r="D31" s="5">
        <f t="shared" si="2"/>
        <v>3254.52</v>
      </c>
      <c r="E31" s="6">
        <f t="shared" si="3"/>
        <v>3.1009604390578551</v>
      </c>
    </row>
    <row r="32" spans="1:5" x14ac:dyDescent="0.25">
      <c r="A32" s="3" t="s">
        <v>126</v>
      </c>
      <c r="B32" s="5">
        <f>964.58</f>
        <v>964.58</v>
      </c>
      <c r="C32" s="5">
        <f>457.1</f>
        <v>457.1</v>
      </c>
      <c r="D32" s="5">
        <f t="shared" si="2"/>
        <v>507.48</v>
      </c>
      <c r="E32" s="6">
        <f t="shared" si="3"/>
        <v>1.110216582804638</v>
      </c>
    </row>
    <row r="33" spans="1:11" x14ac:dyDescent="0.25">
      <c r="A33" s="16" t="s">
        <v>128</v>
      </c>
      <c r="B33" s="5">
        <f>188857.69</f>
        <v>188857.69</v>
      </c>
      <c r="C33" s="5">
        <f>195190.07</f>
        <v>195190.07</v>
      </c>
      <c r="D33" s="5">
        <f t="shared" si="2"/>
        <v>-6332.3800000000047</v>
      </c>
      <c r="E33" s="6">
        <f t="shared" si="3"/>
        <v>-3.2442121671455951E-2</v>
      </c>
      <c r="J33">
        <v>2023</v>
      </c>
      <c r="K33">
        <v>2022</v>
      </c>
    </row>
    <row r="34" spans="1:11" x14ac:dyDescent="0.25">
      <c r="A34" s="3" t="s">
        <v>135</v>
      </c>
      <c r="B34" s="5">
        <f>10000</f>
        <v>10000</v>
      </c>
      <c r="C34" s="5">
        <f>14000</f>
        <v>14000</v>
      </c>
      <c r="D34" s="5">
        <f t="shared" si="2"/>
        <v>-4000</v>
      </c>
      <c r="E34" s="6">
        <f t="shared" si="3"/>
        <v>-0.2857142857142857</v>
      </c>
      <c r="I34" t="s">
        <v>369</v>
      </c>
      <c r="J34" s="14">
        <f>B31</f>
        <v>4304.04</v>
      </c>
      <c r="K34" s="14">
        <f>C31</f>
        <v>1049.52</v>
      </c>
    </row>
    <row r="35" spans="1:11" x14ac:dyDescent="0.25">
      <c r="A35" s="3" t="s">
        <v>139</v>
      </c>
      <c r="B35" s="4"/>
      <c r="C35" s="5">
        <f>69.43</f>
        <v>69.430000000000007</v>
      </c>
      <c r="D35" s="5">
        <f t="shared" si="2"/>
        <v>-69.430000000000007</v>
      </c>
      <c r="E35" s="6">
        <f t="shared" si="3"/>
        <v>-1</v>
      </c>
      <c r="I35" t="s">
        <v>365</v>
      </c>
      <c r="J35" s="14">
        <f>B33</f>
        <v>188857.69</v>
      </c>
      <c r="K35" s="14">
        <f>C33</f>
        <v>195190.07</v>
      </c>
    </row>
    <row r="36" spans="1:11" x14ac:dyDescent="0.25">
      <c r="A36" s="3" t="s">
        <v>140</v>
      </c>
      <c r="B36" s="5">
        <f>2991.98</f>
        <v>2991.98</v>
      </c>
      <c r="C36" s="5">
        <f>2885.3</f>
        <v>2885.3</v>
      </c>
      <c r="D36" s="5">
        <f t="shared" si="2"/>
        <v>106.67999999999984</v>
      </c>
      <c r="E36" s="6">
        <f t="shared" si="3"/>
        <v>3.6973624926350757E-2</v>
      </c>
      <c r="I36" t="s">
        <v>366</v>
      </c>
      <c r="J36" s="14">
        <f>B28</f>
        <v>28030.67</v>
      </c>
      <c r="K36" s="14">
        <f>C28</f>
        <v>37056.230000000003</v>
      </c>
    </row>
    <row r="37" spans="1:11" x14ac:dyDescent="0.25">
      <c r="A37" s="3" t="s">
        <v>148</v>
      </c>
      <c r="B37" s="5">
        <f>445.32</f>
        <v>445.32</v>
      </c>
      <c r="C37" s="5">
        <f>376.73</f>
        <v>376.73</v>
      </c>
      <c r="D37" s="5">
        <f t="shared" si="2"/>
        <v>68.589999999999975</v>
      </c>
      <c r="E37" s="6">
        <f t="shared" si="3"/>
        <v>0.18206673214238306</v>
      </c>
      <c r="I37" t="s">
        <v>368</v>
      </c>
      <c r="J37" s="14">
        <f>B26</f>
        <v>0</v>
      </c>
      <c r="K37" s="14">
        <f>C26</f>
        <v>3378.95</v>
      </c>
    </row>
    <row r="38" spans="1:11" x14ac:dyDescent="0.25">
      <c r="A38" s="3" t="s">
        <v>149</v>
      </c>
      <c r="B38" s="5">
        <f>6019.26</f>
        <v>6019.26</v>
      </c>
      <c r="C38" s="5">
        <f>4885.25</f>
        <v>4885.25</v>
      </c>
      <c r="D38" s="5">
        <f t="shared" si="2"/>
        <v>1134.0100000000002</v>
      </c>
      <c r="E38" s="6">
        <f t="shared" si="3"/>
        <v>0.23212936901898576</v>
      </c>
    </row>
    <row r="39" spans="1:11" x14ac:dyDescent="0.25">
      <c r="A39" s="3" t="s">
        <v>150</v>
      </c>
      <c r="B39" s="5">
        <f>2707.67</f>
        <v>2707.67</v>
      </c>
      <c r="C39" s="5">
        <f>2549.09</f>
        <v>2549.09</v>
      </c>
      <c r="D39" s="5">
        <f t="shared" si="2"/>
        <v>158.57999999999993</v>
      </c>
      <c r="E39" s="6">
        <f t="shared" si="3"/>
        <v>6.2210435881039867E-2</v>
      </c>
    </row>
    <row r="40" spans="1:11" x14ac:dyDescent="0.25">
      <c r="A40" s="3" t="s">
        <v>151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0</v>
      </c>
    </row>
    <row r="41" spans="1:11" x14ac:dyDescent="0.25">
      <c r="A41" s="3" t="s">
        <v>155</v>
      </c>
      <c r="B41" s="5">
        <f>1812.94</f>
        <v>1812.94</v>
      </c>
      <c r="C41" s="5">
        <f>1944.17</f>
        <v>1944.17</v>
      </c>
      <c r="D41" s="5">
        <f t="shared" si="2"/>
        <v>-131.23000000000002</v>
      </c>
      <c r="E41" s="6">
        <f t="shared" si="3"/>
        <v>-6.7499241321489378E-2</v>
      </c>
    </row>
    <row r="42" spans="1:11" x14ac:dyDescent="0.25">
      <c r="A42" s="3" t="s">
        <v>159</v>
      </c>
      <c r="B42" s="5">
        <f>130</f>
        <v>130</v>
      </c>
      <c r="C42" s="5">
        <f>45</f>
        <v>45</v>
      </c>
      <c r="D42" s="5">
        <f t="shared" si="2"/>
        <v>85</v>
      </c>
      <c r="E42" s="6">
        <f t="shared" si="3"/>
        <v>1.8888888888888888</v>
      </c>
    </row>
    <row r="43" spans="1:11" x14ac:dyDescent="0.25">
      <c r="A43" s="3" t="s">
        <v>160</v>
      </c>
      <c r="B43" s="5">
        <f>6023.85</f>
        <v>6023.85</v>
      </c>
      <c r="C43" s="4"/>
      <c r="D43" s="5">
        <f t="shared" si="2"/>
        <v>6023.85</v>
      </c>
      <c r="E43" s="6" t="str">
        <f t="shared" si="3"/>
        <v/>
      </c>
    </row>
    <row r="44" spans="1:11" x14ac:dyDescent="0.25">
      <c r="A44" s="3" t="s">
        <v>161</v>
      </c>
      <c r="B44" s="5">
        <f>35</f>
        <v>35</v>
      </c>
      <c r="C44" s="5">
        <f>25</f>
        <v>25</v>
      </c>
      <c r="D44" s="5">
        <f t="shared" si="2"/>
        <v>10</v>
      </c>
      <c r="E44" s="6">
        <f t="shared" si="3"/>
        <v>0.4</v>
      </c>
    </row>
    <row r="45" spans="1:11" x14ac:dyDescent="0.25">
      <c r="A45" s="3" t="s">
        <v>162</v>
      </c>
      <c r="B45" s="5">
        <f>100</f>
        <v>100</v>
      </c>
      <c r="C45" s="4"/>
      <c r="D45" s="5">
        <f t="shared" si="2"/>
        <v>100</v>
      </c>
      <c r="E45" s="6" t="str">
        <f t="shared" si="3"/>
        <v/>
      </c>
    </row>
    <row r="46" spans="1:11" x14ac:dyDescent="0.25">
      <c r="A46" s="3" t="s">
        <v>165</v>
      </c>
      <c r="B46" s="5">
        <f>511.65</f>
        <v>511.65</v>
      </c>
      <c r="C46" s="5">
        <f>654.61</f>
        <v>654.61</v>
      </c>
      <c r="D46" s="5">
        <f t="shared" si="2"/>
        <v>-142.96000000000004</v>
      </c>
      <c r="E46" s="6">
        <f t="shared" si="3"/>
        <v>-0.21838957547241875</v>
      </c>
    </row>
    <row r="47" spans="1:11" x14ac:dyDescent="0.25">
      <c r="A47" s="3" t="s">
        <v>166</v>
      </c>
      <c r="B47" s="5">
        <f>101.25</f>
        <v>101.25</v>
      </c>
      <c r="C47" s="4"/>
      <c r="D47" s="5">
        <f t="shared" si="2"/>
        <v>101.25</v>
      </c>
      <c r="E47" s="6" t="str">
        <f t="shared" si="3"/>
        <v/>
      </c>
    </row>
    <row r="48" spans="1:11" x14ac:dyDescent="0.25">
      <c r="A48" s="3" t="s">
        <v>167</v>
      </c>
      <c r="B48" s="5">
        <f>1892.71</f>
        <v>1892.71</v>
      </c>
      <c r="C48" s="5">
        <f>4776.9</f>
        <v>4776.8999999999996</v>
      </c>
      <c r="D48" s="5">
        <f t="shared" si="2"/>
        <v>-2884.1899999999996</v>
      </c>
      <c r="E48" s="6">
        <f t="shared" si="3"/>
        <v>-0.60377860118486881</v>
      </c>
    </row>
    <row r="49" spans="1:5" x14ac:dyDescent="0.25">
      <c r="A49" s="3" t="s">
        <v>171</v>
      </c>
      <c r="B49" s="9">
        <f>(((((((((((((((((((((((((((B21)+(B22))+(B23))+(B24))+(B25))+(B26))+(B27))+(B28))+(B29))+(B30))+(B31))+(B32))+(B33))+(B34))+(B35))+(B36))+(B37))+(B38))+(B39))+(B40))+(B41))+(B42))+(B43))+(B44))+(B45))+(B46))+(B47))+(B48)</f>
        <v>309541.15000000002</v>
      </c>
      <c r="C49" s="9">
        <f>(((((((((((((((((((((((((((C21)+(C22))+(C23))+(C24))+(C25))+(C26))+(C27))+(C28))+(C29))+(C30))+(C31))+(C32))+(C33))+(C34))+(C35))+(C36))+(C37))+(C38))+(C39))+(C40))+(C41))+(C42))+(C43))+(C44))+(C45))+(C46))+(C47))+(C48)</f>
        <v>325357.56</v>
      </c>
      <c r="D49" s="9">
        <f t="shared" si="2"/>
        <v>-15816.409999999974</v>
      </c>
      <c r="E49" s="10">
        <f t="shared" si="3"/>
        <v>-4.8612394314734762E-2</v>
      </c>
    </row>
    <row r="50" spans="1:5" x14ac:dyDescent="0.25">
      <c r="A50" s="3" t="s">
        <v>172</v>
      </c>
      <c r="B50" s="9">
        <f>(B19)-(B49)</f>
        <v>9644.3099999999977</v>
      </c>
      <c r="C50" s="9">
        <f>(C19)-(C49)</f>
        <v>-8313.0300000000279</v>
      </c>
      <c r="D50" s="9">
        <f t="shared" si="2"/>
        <v>17957.340000000026</v>
      </c>
      <c r="E50" s="10">
        <f t="shared" si="3"/>
        <v>2.1601437742916803</v>
      </c>
    </row>
    <row r="51" spans="1:5" x14ac:dyDescent="0.25">
      <c r="A51" s="3" t="s">
        <v>191</v>
      </c>
      <c r="B51" s="4"/>
      <c r="C51" s="4"/>
      <c r="D51" s="4"/>
      <c r="E51" s="4"/>
    </row>
    <row r="52" spans="1:5" x14ac:dyDescent="0.25">
      <c r="A52" s="3" t="s">
        <v>192</v>
      </c>
      <c r="B52" s="4"/>
      <c r="C52" s="5">
        <f>0</f>
        <v>0</v>
      </c>
      <c r="D52" s="5">
        <f>(B52)-(C52)</f>
        <v>0</v>
      </c>
      <c r="E52" s="6" t="str">
        <f>IF(ABS((C52))=0,"",((B52)-(C52))/(ABS((C52))))</f>
        <v/>
      </c>
    </row>
    <row r="53" spans="1:5" x14ac:dyDescent="0.25">
      <c r="A53" s="3" t="s">
        <v>193</v>
      </c>
      <c r="B53" s="9">
        <f>B52</f>
        <v>0</v>
      </c>
      <c r="C53" s="9">
        <f>C52</f>
        <v>0</v>
      </c>
      <c r="D53" s="9">
        <f>(B53)-(C53)</f>
        <v>0</v>
      </c>
      <c r="E53" s="10" t="str">
        <f>IF(ABS((C53))=0,"",((B53)-(C53))/(ABS((C53))))</f>
        <v/>
      </c>
    </row>
    <row r="54" spans="1:5" x14ac:dyDescent="0.25">
      <c r="A54" s="3" t="s">
        <v>194</v>
      </c>
      <c r="B54" s="9">
        <f>(0)-(B53)</f>
        <v>0</v>
      </c>
      <c r="C54" s="9">
        <f>(0)-(C53)</f>
        <v>0</v>
      </c>
      <c r="D54" s="9">
        <f>(B54)-(C54)</f>
        <v>0</v>
      </c>
      <c r="E54" s="10" t="str">
        <f>IF(ABS((C54))=0,"",((B54)-(C54))/(ABS((C54))))</f>
        <v/>
      </c>
    </row>
    <row r="55" spans="1:5" x14ac:dyDescent="0.25">
      <c r="A55" s="3" t="s">
        <v>173</v>
      </c>
      <c r="B55" s="9">
        <f>(B50)+(B54)</f>
        <v>9644.3099999999977</v>
      </c>
      <c r="C55" s="9">
        <f>(C50)+(C54)</f>
        <v>-8313.0300000000279</v>
      </c>
      <c r="D55" s="9">
        <f>(B55)-(C55)</f>
        <v>17957.340000000026</v>
      </c>
      <c r="E55" s="10">
        <f>IF(ABS((C55))=0,"",((B55)-(C55))/(ABS((C55))))</f>
        <v>2.1601437742916803</v>
      </c>
    </row>
    <row r="56" spans="1:5" x14ac:dyDescent="0.25">
      <c r="A56" s="3"/>
      <c r="B56" s="4"/>
      <c r="C56" s="4"/>
      <c r="D56" s="4"/>
      <c r="E56" s="4"/>
    </row>
    <row r="59" spans="1:5" x14ac:dyDescent="0.25">
      <c r="A59" s="20" t="s">
        <v>196</v>
      </c>
      <c r="B59" s="21"/>
      <c r="C59" s="21"/>
      <c r="D59" s="21"/>
      <c r="E59" s="21"/>
    </row>
  </sheetData>
  <mergeCells count="5">
    <mergeCell ref="A1:E1"/>
    <mergeCell ref="A2:E2"/>
    <mergeCell ref="A3:E3"/>
    <mergeCell ref="B5:E5"/>
    <mergeCell ref="A59:E5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A1E2-4000-4D38-803A-CB1CF77E50E6}">
  <sheetPr>
    <tabColor rgb="FFFF0000"/>
  </sheetPr>
  <dimension ref="A1:J72"/>
  <sheetViews>
    <sheetView tabSelected="1" topLeftCell="A41" workbookViewId="0">
      <selection activeCell="H43" sqref="H43:J46"/>
    </sheetView>
  </sheetViews>
  <sheetFormatPr defaultRowHeight="15" x14ac:dyDescent="0.25"/>
  <cols>
    <col min="1" max="1" width="41.28515625" customWidth="1"/>
    <col min="2" max="5" width="18" customWidth="1"/>
    <col min="8" max="8" width="20.140625" bestFit="1" customWidth="1"/>
    <col min="9" max="10" width="13.28515625" bestFit="1" customWidth="1"/>
  </cols>
  <sheetData>
    <row r="1" spans="1:10" ht="18" x14ac:dyDescent="0.25">
      <c r="A1" s="22" t="s">
        <v>175</v>
      </c>
      <c r="B1" s="21"/>
      <c r="C1" s="21"/>
      <c r="D1" s="21"/>
      <c r="E1" s="21"/>
    </row>
    <row r="2" spans="1:10" ht="18" x14ac:dyDescent="0.25">
      <c r="A2" s="22" t="s">
        <v>197</v>
      </c>
      <c r="B2" s="21"/>
      <c r="C2" s="21"/>
      <c r="D2" s="21"/>
      <c r="E2" s="21"/>
    </row>
    <row r="3" spans="1:10" x14ac:dyDescent="0.25">
      <c r="A3" s="23" t="s">
        <v>198</v>
      </c>
      <c r="B3" s="21"/>
      <c r="C3" s="21"/>
      <c r="D3" s="21"/>
      <c r="E3" s="21"/>
    </row>
    <row r="5" spans="1:10" x14ac:dyDescent="0.25">
      <c r="A5" s="1"/>
      <c r="B5" s="18" t="s">
        <v>0</v>
      </c>
      <c r="C5" s="19"/>
      <c r="D5" s="19"/>
      <c r="E5" s="19"/>
    </row>
    <row r="6" spans="1:10" ht="24.75" x14ac:dyDescent="0.25">
      <c r="A6" s="1"/>
      <c r="B6" s="2" t="s">
        <v>198</v>
      </c>
      <c r="C6" s="2" t="s">
        <v>199</v>
      </c>
      <c r="D6" s="2" t="s">
        <v>183</v>
      </c>
      <c r="E6" s="2" t="s">
        <v>184</v>
      </c>
    </row>
    <row r="7" spans="1:10" x14ac:dyDescent="0.25">
      <c r="A7" s="3" t="s">
        <v>200</v>
      </c>
      <c r="B7" s="4"/>
      <c r="C7" s="4"/>
      <c r="D7" s="4"/>
      <c r="E7" s="4"/>
    </row>
    <row r="8" spans="1:10" x14ac:dyDescent="0.25">
      <c r="A8" s="3" t="s">
        <v>201</v>
      </c>
      <c r="B8" s="4"/>
      <c r="C8" s="4"/>
      <c r="D8" s="4"/>
      <c r="E8" s="4"/>
    </row>
    <row r="9" spans="1:10" x14ac:dyDescent="0.25">
      <c r="A9" s="3" t="s">
        <v>202</v>
      </c>
      <c r="B9" s="4"/>
      <c r="C9" s="4"/>
      <c r="D9" s="4"/>
      <c r="E9" s="4"/>
    </row>
    <row r="10" spans="1:10" x14ac:dyDescent="0.25">
      <c r="A10" s="3" t="s">
        <v>203</v>
      </c>
      <c r="B10" s="5">
        <f>20746.63</f>
        <v>20746.63</v>
      </c>
      <c r="C10" s="5">
        <f>42258.01</f>
        <v>42258.01</v>
      </c>
      <c r="D10" s="5">
        <f t="shared" ref="D10:D16" si="0">(B10)-(C10)</f>
        <v>-21511.38</v>
      </c>
      <c r="E10" s="6">
        <f t="shared" ref="E10:E16" si="1">IF(ABS((C10))=0,"",((B10)-(C10))/(ABS((C10))))</f>
        <v>-0.50904858037564948</v>
      </c>
    </row>
    <row r="11" spans="1:10" x14ac:dyDescent="0.25">
      <c r="A11" s="3" t="s">
        <v>204</v>
      </c>
      <c r="B11" s="5">
        <f>68901.5</f>
        <v>68901.5</v>
      </c>
      <c r="C11" s="5">
        <f>68729.68</f>
        <v>68729.679999999993</v>
      </c>
      <c r="D11" s="5">
        <f t="shared" si="0"/>
        <v>171.82000000000698</v>
      </c>
      <c r="E11" s="6">
        <f t="shared" si="1"/>
        <v>2.4999388910294214E-3</v>
      </c>
    </row>
    <row r="12" spans="1:10" x14ac:dyDescent="0.25">
      <c r="A12" s="3" t="s">
        <v>205</v>
      </c>
      <c r="B12" s="5">
        <f>793.87</f>
        <v>793.87</v>
      </c>
      <c r="C12" s="5">
        <f>793.87</f>
        <v>793.87</v>
      </c>
      <c r="D12" s="5">
        <f t="shared" si="0"/>
        <v>0</v>
      </c>
      <c r="E12" s="6">
        <f t="shared" si="1"/>
        <v>0</v>
      </c>
      <c r="I12">
        <v>2023</v>
      </c>
      <c r="J12">
        <v>2022</v>
      </c>
    </row>
    <row r="13" spans="1:10" x14ac:dyDescent="0.25">
      <c r="A13" s="3" t="s">
        <v>206</v>
      </c>
      <c r="B13" s="5">
        <f>42671.75</f>
        <v>42671.75</v>
      </c>
      <c r="C13" s="5">
        <f>37637.54</f>
        <v>37637.54</v>
      </c>
      <c r="D13" s="5">
        <f t="shared" si="0"/>
        <v>5034.2099999999991</v>
      </c>
      <c r="E13" s="6">
        <f t="shared" si="1"/>
        <v>0.13375502224640609</v>
      </c>
      <c r="H13" t="s">
        <v>372</v>
      </c>
      <c r="I13" s="14">
        <f>B23</f>
        <v>1244821</v>
      </c>
      <c r="J13" s="14">
        <f>C23</f>
        <v>1300447</v>
      </c>
    </row>
    <row r="14" spans="1:10" x14ac:dyDescent="0.25">
      <c r="A14" s="3" t="s">
        <v>207</v>
      </c>
      <c r="B14" s="5">
        <f>175972.59</f>
        <v>175972.59</v>
      </c>
      <c r="C14" s="5">
        <f>126270.95</f>
        <v>126270.95</v>
      </c>
      <c r="D14" s="5">
        <f t="shared" si="0"/>
        <v>49701.64</v>
      </c>
      <c r="E14" s="6">
        <f t="shared" si="1"/>
        <v>0.3936110403857736</v>
      </c>
      <c r="H14" t="s">
        <v>371</v>
      </c>
      <c r="I14" s="17">
        <f>B20</f>
        <v>6593</v>
      </c>
      <c r="J14" s="17">
        <f>C20</f>
        <v>3076</v>
      </c>
    </row>
    <row r="15" spans="1:10" x14ac:dyDescent="0.25">
      <c r="A15" s="3" t="s">
        <v>208</v>
      </c>
      <c r="B15" s="5">
        <f>191.03</f>
        <v>191.03</v>
      </c>
      <c r="C15" s="5">
        <f>187.03</f>
        <v>187.03</v>
      </c>
      <c r="D15" s="5">
        <f t="shared" si="0"/>
        <v>4</v>
      </c>
      <c r="E15" s="6">
        <f t="shared" si="1"/>
        <v>2.1386943271132972E-2</v>
      </c>
      <c r="H15" t="s">
        <v>370</v>
      </c>
      <c r="I15" s="17">
        <f>B16</f>
        <v>309277.37</v>
      </c>
      <c r="J15" s="17">
        <f>C16</f>
        <v>275877.08</v>
      </c>
    </row>
    <row r="16" spans="1:10" x14ac:dyDescent="0.25">
      <c r="A16" s="3" t="s">
        <v>209</v>
      </c>
      <c r="B16" s="9">
        <f>(((((B10)+(B11))+(B12))+(B13))+(B14))+(B15)</f>
        <v>309277.37</v>
      </c>
      <c r="C16" s="9">
        <f>(((((C10)+(C11))+(C12))+(C13))+(C14))+(C15)</f>
        <v>275877.08</v>
      </c>
      <c r="D16" s="9">
        <f t="shared" si="0"/>
        <v>33400.289999999979</v>
      </c>
      <c r="E16" s="10">
        <f t="shared" si="1"/>
        <v>0.12106946325515688</v>
      </c>
    </row>
    <row r="17" spans="1:5" x14ac:dyDescent="0.25">
      <c r="A17" s="3" t="s">
        <v>210</v>
      </c>
      <c r="B17" s="4"/>
      <c r="C17" s="4"/>
      <c r="D17" s="4"/>
      <c r="E17" s="4"/>
    </row>
    <row r="18" spans="1:5" x14ac:dyDescent="0.25">
      <c r="A18" s="3" t="s">
        <v>211</v>
      </c>
      <c r="B18" s="5">
        <f>6694.25</f>
        <v>6694.25</v>
      </c>
      <c r="C18" s="5">
        <f>3076</f>
        <v>3076</v>
      </c>
      <c r="D18" s="5">
        <f>(B18)-(C18)</f>
        <v>3618.25</v>
      </c>
      <c r="E18" s="6">
        <f>IF(ABS((C18))=0,"",((B18)-(C18))/(ABS((C18))))</f>
        <v>1.1762841352405722</v>
      </c>
    </row>
    <row r="19" spans="1:5" x14ac:dyDescent="0.25">
      <c r="A19" s="3" t="s">
        <v>212</v>
      </c>
      <c r="B19" s="5">
        <f>-101.25</f>
        <v>-101.25</v>
      </c>
      <c r="C19" s="5">
        <f>0</f>
        <v>0</v>
      </c>
      <c r="D19" s="5">
        <f>(B19)-(C19)</f>
        <v>-101.25</v>
      </c>
      <c r="E19" s="6" t="str">
        <f>IF(ABS((C19))=0,"",((B19)-(C19))/(ABS((C19))))</f>
        <v/>
      </c>
    </row>
    <row r="20" spans="1:5" x14ac:dyDescent="0.25">
      <c r="A20" s="3" t="s">
        <v>213</v>
      </c>
      <c r="B20" s="9">
        <f>(B18)+(B19)</f>
        <v>6593</v>
      </c>
      <c r="C20" s="9">
        <f>(C18)+(C19)</f>
        <v>3076</v>
      </c>
      <c r="D20" s="9">
        <f>(B20)-(C20)</f>
        <v>3517</v>
      </c>
      <c r="E20" s="10">
        <f>IF(ABS((C20))=0,"",((B20)-(C20))/(ABS((C20))))</f>
        <v>1.143368010403121</v>
      </c>
    </row>
    <row r="21" spans="1:5" x14ac:dyDescent="0.25">
      <c r="A21" s="3" t="s">
        <v>214</v>
      </c>
      <c r="B21" s="4"/>
      <c r="C21" s="4"/>
      <c r="D21" s="4"/>
      <c r="E21" s="4"/>
    </row>
    <row r="22" spans="1:5" x14ac:dyDescent="0.25">
      <c r="A22" s="3" t="s">
        <v>215</v>
      </c>
      <c r="B22" s="5">
        <f>6817.97</f>
        <v>6817.97</v>
      </c>
      <c r="C22" s="5">
        <f>8745.99</f>
        <v>8745.99</v>
      </c>
      <c r="D22" s="5">
        <f t="shared" ref="D22:D30" si="2">(B22)-(C22)</f>
        <v>-1928.0199999999995</v>
      </c>
      <c r="E22" s="6">
        <f t="shared" ref="E22:E30" si="3">IF(ABS((C22))=0,"",((B22)-(C22))/(ABS((C22))))</f>
        <v>-0.22044617018770885</v>
      </c>
    </row>
    <row r="23" spans="1:5" x14ac:dyDescent="0.25">
      <c r="A23" s="3" t="s">
        <v>216</v>
      </c>
      <c r="B23" s="5">
        <f>1244821</f>
        <v>1244821</v>
      </c>
      <c r="C23" s="5">
        <f>1300447</f>
        <v>1300447</v>
      </c>
      <c r="D23" s="5">
        <f t="shared" si="2"/>
        <v>-55626</v>
      </c>
      <c r="E23" s="6">
        <f t="shared" si="3"/>
        <v>-4.2774522914044169E-2</v>
      </c>
    </row>
    <row r="24" spans="1:5" x14ac:dyDescent="0.25">
      <c r="A24" s="3" t="s">
        <v>217</v>
      </c>
      <c r="B24" s="5">
        <f>19637.42</f>
        <v>19637.419999999998</v>
      </c>
      <c r="C24" s="5">
        <f>19423.42</f>
        <v>19423.419999999998</v>
      </c>
      <c r="D24" s="5">
        <f t="shared" si="2"/>
        <v>214</v>
      </c>
      <c r="E24" s="6">
        <f t="shared" si="3"/>
        <v>1.1017627173793287E-2</v>
      </c>
    </row>
    <row r="25" spans="1:5" x14ac:dyDescent="0.25">
      <c r="A25" s="3" t="s">
        <v>218</v>
      </c>
      <c r="B25" s="5">
        <f>0</f>
        <v>0</v>
      </c>
      <c r="C25" s="5">
        <f>0</f>
        <v>0</v>
      </c>
      <c r="D25" s="5">
        <f t="shared" si="2"/>
        <v>0</v>
      </c>
      <c r="E25" s="6" t="str">
        <f t="shared" si="3"/>
        <v/>
      </c>
    </row>
    <row r="26" spans="1:5" x14ac:dyDescent="0.25">
      <c r="A26" s="3" t="s">
        <v>219</v>
      </c>
      <c r="B26" s="5">
        <f>600</f>
        <v>600</v>
      </c>
      <c r="C26" s="5">
        <f>600</f>
        <v>600</v>
      </c>
      <c r="D26" s="5">
        <f t="shared" si="2"/>
        <v>0</v>
      </c>
      <c r="E26" s="6">
        <f t="shared" si="3"/>
        <v>0</v>
      </c>
    </row>
    <row r="27" spans="1:5" x14ac:dyDescent="0.25">
      <c r="A27" s="3" t="s">
        <v>220</v>
      </c>
      <c r="B27" s="5">
        <f>9.31</f>
        <v>9.31</v>
      </c>
      <c r="C27" s="5">
        <f>9.31</f>
        <v>9.31</v>
      </c>
      <c r="D27" s="5">
        <f t="shared" si="2"/>
        <v>0</v>
      </c>
      <c r="E27" s="6">
        <f t="shared" si="3"/>
        <v>0</v>
      </c>
    </row>
    <row r="28" spans="1:5" x14ac:dyDescent="0.25">
      <c r="A28" s="3" t="s">
        <v>221</v>
      </c>
      <c r="B28" s="5">
        <f>0</f>
        <v>0</v>
      </c>
      <c r="C28" s="5">
        <f>0</f>
        <v>0</v>
      </c>
      <c r="D28" s="5">
        <f t="shared" si="2"/>
        <v>0</v>
      </c>
      <c r="E28" s="6" t="str">
        <f t="shared" si="3"/>
        <v/>
      </c>
    </row>
    <row r="29" spans="1:5" x14ac:dyDescent="0.25">
      <c r="A29" s="3" t="s">
        <v>222</v>
      </c>
      <c r="B29" s="9">
        <f>((((((B22)+(B23))+(B24))+(B25))+(B26))+(B27))+(B28)</f>
        <v>1271885.7</v>
      </c>
      <c r="C29" s="9">
        <f>((((((C22)+(C23))+(C24))+(C25))+(C26))+(C27))+(C28)</f>
        <v>1329225.72</v>
      </c>
      <c r="D29" s="9">
        <f t="shared" si="2"/>
        <v>-57340.020000000019</v>
      </c>
      <c r="E29" s="10">
        <f t="shared" si="3"/>
        <v>-4.3137910391923516E-2</v>
      </c>
    </row>
    <row r="30" spans="1:5" x14ac:dyDescent="0.25">
      <c r="A30" s="3" t="s">
        <v>223</v>
      </c>
      <c r="B30" s="9">
        <f>((B16)+(B20))+(B29)</f>
        <v>1587756.0699999998</v>
      </c>
      <c r="C30" s="9">
        <f>((C16)+(C20))+(C29)</f>
        <v>1608178.8</v>
      </c>
      <c r="D30" s="9">
        <f t="shared" si="2"/>
        <v>-20422.730000000214</v>
      </c>
      <c r="E30" s="10">
        <f t="shared" si="3"/>
        <v>-1.2699290651014808E-2</v>
      </c>
    </row>
    <row r="31" spans="1:5" x14ac:dyDescent="0.25">
      <c r="A31" s="3" t="s">
        <v>224</v>
      </c>
      <c r="B31" s="4"/>
      <c r="C31" s="4"/>
      <c r="D31" s="4"/>
      <c r="E31" s="4"/>
    </row>
    <row r="32" spans="1:5" x14ac:dyDescent="0.25">
      <c r="A32" s="3" t="s">
        <v>225</v>
      </c>
      <c r="B32" s="5">
        <f>74227</f>
        <v>74227</v>
      </c>
      <c r="C32" s="5">
        <f>74227</f>
        <v>74227</v>
      </c>
      <c r="D32" s="5">
        <f>(B32)-(C32)</f>
        <v>0</v>
      </c>
      <c r="E32" s="6">
        <f>IF(ABS((C32))=0,"",((B32)-(C32))/(ABS((C32))))</f>
        <v>0</v>
      </c>
    </row>
    <row r="33" spans="1:10" x14ac:dyDescent="0.25">
      <c r="A33" s="3" t="s">
        <v>226</v>
      </c>
      <c r="B33" s="5">
        <f>1526.59</f>
        <v>1526.59</v>
      </c>
      <c r="C33" s="5">
        <f>6873.07</f>
        <v>6873.07</v>
      </c>
      <c r="D33" s="5">
        <f>(B33)-(C33)</f>
        <v>-5346.48</v>
      </c>
      <c r="E33" s="6">
        <f>IF(ABS((C33))=0,"",((B33)-(C33))/(ABS((C33))))</f>
        <v>-0.77788819261261699</v>
      </c>
    </row>
    <row r="34" spans="1:10" x14ac:dyDescent="0.25">
      <c r="A34" s="3" t="s">
        <v>227</v>
      </c>
      <c r="B34" s="5">
        <f>22684.64</f>
        <v>22684.639999999999</v>
      </c>
      <c r="C34" s="5">
        <f>22684.64</f>
        <v>22684.639999999999</v>
      </c>
      <c r="D34" s="5">
        <f>(B34)-(C34)</f>
        <v>0</v>
      </c>
      <c r="E34" s="6">
        <f>IF(ABS((C34))=0,"",((B34)-(C34))/(ABS((C34))))</f>
        <v>0</v>
      </c>
    </row>
    <row r="35" spans="1:10" x14ac:dyDescent="0.25">
      <c r="A35" s="3" t="s">
        <v>228</v>
      </c>
      <c r="B35" s="9">
        <f>((B32)+(B33))+(B34)</f>
        <v>98438.23</v>
      </c>
      <c r="C35" s="9">
        <f>((C32)+(C33))+(C34)</f>
        <v>103784.71</v>
      </c>
      <c r="D35" s="9">
        <f>(B35)-(C35)</f>
        <v>-5346.4800000000105</v>
      </c>
      <c r="E35" s="10">
        <f>IF(ABS((C35))=0,"",((B35)-(C35))/(ABS((C35))))</f>
        <v>-5.15151027545388E-2</v>
      </c>
    </row>
    <row r="36" spans="1:10" x14ac:dyDescent="0.25">
      <c r="A36" s="3" t="s">
        <v>229</v>
      </c>
      <c r="B36" s="4"/>
      <c r="C36" s="4"/>
      <c r="D36" s="4"/>
      <c r="E36" s="4"/>
    </row>
    <row r="37" spans="1:10" x14ac:dyDescent="0.25">
      <c r="A37" s="3" t="s">
        <v>230</v>
      </c>
      <c r="B37" s="5">
        <f>1283.09</f>
        <v>1283.0899999999999</v>
      </c>
      <c r="C37" s="5">
        <f>1283.09</f>
        <v>1283.0899999999999</v>
      </c>
      <c r="D37" s="5">
        <f>(B37)-(C37)</f>
        <v>0</v>
      </c>
      <c r="E37" s="6">
        <f>IF(ABS((C37))=0,"",((B37)-(C37))/(ABS((C37))))</f>
        <v>0</v>
      </c>
    </row>
    <row r="38" spans="1:10" x14ac:dyDescent="0.25">
      <c r="A38" s="3" t="s">
        <v>231</v>
      </c>
      <c r="B38" s="9">
        <f>B37</f>
        <v>1283.0899999999999</v>
      </c>
      <c r="C38" s="9">
        <f>C37</f>
        <v>1283.0899999999999</v>
      </c>
      <c r="D38" s="9">
        <f>(B38)-(C38)</f>
        <v>0</v>
      </c>
      <c r="E38" s="10">
        <f>IF(ABS((C38))=0,"",((B38)-(C38))/(ABS((C38))))</f>
        <v>0</v>
      </c>
    </row>
    <row r="39" spans="1:10" x14ac:dyDescent="0.25">
      <c r="A39" s="3" t="s">
        <v>232</v>
      </c>
      <c r="B39" s="9">
        <f>((B30)+(B35))+(B38)</f>
        <v>1687477.39</v>
      </c>
      <c r="C39" s="9">
        <f>((C30)+(C35))+(C38)</f>
        <v>1713246.6</v>
      </c>
      <c r="D39" s="9">
        <f>(B39)-(C39)</f>
        <v>-25769.210000000196</v>
      </c>
      <c r="E39" s="10">
        <f>IF(ABS((C39))=0,"",((B39)-(C39))/(ABS((C39))))</f>
        <v>-1.5041156363596575E-2</v>
      </c>
    </row>
    <row r="40" spans="1:10" x14ac:dyDescent="0.25">
      <c r="A40" s="3" t="s">
        <v>233</v>
      </c>
      <c r="B40" s="4"/>
      <c r="C40" s="4"/>
      <c r="D40" s="4"/>
      <c r="E40" s="4"/>
    </row>
    <row r="41" spans="1:10" x14ac:dyDescent="0.25">
      <c r="A41" s="3" t="s">
        <v>234</v>
      </c>
      <c r="B41" s="4"/>
      <c r="C41" s="4"/>
      <c r="D41" s="4"/>
      <c r="E41" s="4"/>
    </row>
    <row r="42" spans="1:10" x14ac:dyDescent="0.25">
      <c r="A42" s="3" t="s">
        <v>235</v>
      </c>
      <c r="B42" s="4"/>
      <c r="C42" s="4"/>
      <c r="D42" s="4"/>
      <c r="E42" s="4"/>
    </row>
    <row r="43" spans="1:10" x14ac:dyDescent="0.25">
      <c r="A43" s="3" t="s">
        <v>236</v>
      </c>
      <c r="B43" s="4"/>
      <c r="C43" s="4"/>
      <c r="D43" s="4"/>
      <c r="E43" s="4"/>
      <c r="I43">
        <v>2023</v>
      </c>
      <c r="J43">
        <v>2022</v>
      </c>
    </row>
    <row r="44" spans="1:10" x14ac:dyDescent="0.25">
      <c r="A44" s="3" t="s">
        <v>237</v>
      </c>
      <c r="B44" s="5">
        <f>5538.84</f>
        <v>5538.84</v>
      </c>
      <c r="C44" s="5">
        <f>6270.36</f>
        <v>6270.36</v>
      </c>
      <c r="D44" s="5">
        <f>(B44)-(C44)</f>
        <v>-731.51999999999953</v>
      </c>
      <c r="E44" s="6">
        <f>IF(ABS((C44))=0,"",((B44)-(C44))/(ABS((C44))))</f>
        <v>-0.1166631580961858</v>
      </c>
      <c r="H44" t="s">
        <v>375</v>
      </c>
      <c r="I44" s="17">
        <f>B48</f>
        <v>1375.82</v>
      </c>
      <c r="J44" s="14">
        <f>C47</f>
        <v>5381.11</v>
      </c>
    </row>
    <row r="45" spans="1:10" x14ac:dyDescent="0.25">
      <c r="A45" s="3" t="s">
        <v>238</v>
      </c>
      <c r="B45" s="9">
        <f>B44</f>
        <v>5538.84</v>
      </c>
      <c r="C45" s="9">
        <f>C44</f>
        <v>6270.36</v>
      </c>
      <c r="D45" s="9">
        <f>(B45)-(C45)</f>
        <v>-731.51999999999953</v>
      </c>
      <c r="E45" s="10">
        <f>IF(ABS((C45))=0,"",((B45)-(C45))/(ABS((C45))))</f>
        <v>-0.1166631580961858</v>
      </c>
      <c r="H45" t="s">
        <v>374</v>
      </c>
      <c r="I45" s="17">
        <f>B45</f>
        <v>5538.84</v>
      </c>
      <c r="J45" s="17">
        <f>C45</f>
        <v>6270.36</v>
      </c>
    </row>
    <row r="46" spans="1:10" x14ac:dyDescent="0.25">
      <c r="A46" s="3" t="s">
        <v>239</v>
      </c>
      <c r="B46" s="4"/>
      <c r="C46" s="4"/>
      <c r="D46" s="4"/>
      <c r="E46" s="4"/>
      <c r="H46" t="s">
        <v>373</v>
      </c>
      <c r="I46" s="14">
        <f>B66</f>
        <v>9644.31</v>
      </c>
      <c r="J46" s="14">
        <f>C66</f>
        <v>-8313.0300000000007</v>
      </c>
    </row>
    <row r="47" spans="1:10" x14ac:dyDescent="0.25">
      <c r="A47" s="3" t="s">
        <v>240</v>
      </c>
      <c r="B47" s="5">
        <f>1375.82</f>
        <v>1375.82</v>
      </c>
      <c r="C47" s="5">
        <f>5381.11</f>
        <v>5381.11</v>
      </c>
      <c r="D47" s="5">
        <f>(B47)-(C47)</f>
        <v>-4005.29</v>
      </c>
      <c r="E47" s="6">
        <f>IF(ABS((C47))=0,"",((B47)-(C47))/(ABS((C47))))</f>
        <v>-0.74432412643488055</v>
      </c>
    </row>
    <row r="48" spans="1:10" x14ac:dyDescent="0.25">
      <c r="A48" s="3" t="s">
        <v>241</v>
      </c>
      <c r="B48" s="9">
        <f>B47</f>
        <v>1375.82</v>
      </c>
      <c r="C48" s="9">
        <f>C47</f>
        <v>5381.11</v>
      </c>
      <c r="D48" s="9">
        <f>(B48)-(C48)</f>
        <v>-4005.29</v>
      </c>
      <c r="E48" s="10">
        <f>IF(ABS((C48))=0,"",((B48)-(C48))/(ABS((C48))))</f>
        <v>-0.74432412643488055</v>
      </c>
    </row>
    <row r="49" spans="1:5" x14ac:dyDescent="0.25">
      <c r="A49" s="3" t="s">
        <v>242</v>
      </c>
      <c r="B49" s="4"/>
      <c r="C49" s="4"/>
      <c r="D49" s="4"/>
      <c r="E49" s="4"/>
    </row>
    <row r="50" spans="1:5" x14ac:dyDescent="0.25">
      <c r="A50" s="3" t="s">
        <v>243</v>
      </c>
      <c r="B50" s="5">
        <f>13.5</f>
        <v>13.5</v>
      </c>
      <c r="C50" s="5">
        <f>13.5</f>
        <v>13.5</v>
      </c>
      <c r="D50" s="5">
        <f t="shared" ref="D50:D60" si="4">(B50)-(C50)</f>
        <v>0</v>
      </c>
      <c r="E50" s="6">
        <f t="shared" ref="E50:E60" si="5">IF(ABS((C50))=0,"",((B50)-(C50))/(ABS((C50))))</f>
        <v>0</v>
      </c>
    </row>
    <row r="51" spans="1:5" x14ac:dyDescent="0.25">
      <c r="A51" s="3" t="s">
        <v>244</v>
      </c>
      <c r="B51" s="5">
        <f>0</f>
        <v>0</v>
      </c>
      <c r="C51" s="5">
        <f>0</f>
        <v>0</v>
      </c>
      <c r="D51" s="5">
        <f t="shared" si="4"/>
        <v>0</v>
      </c>
      <c r="E51" s="6" t="str">
        <f t="shared" si="5"/>
        <v/>
      </c>
    </row>
    <row r="52" spans="1:5" x14ac:dyDescent="0.25">
      <c r="A52" s="3" t="s">
        <v>245</v>
      </c>
      <c r="B52" s="5">
        <f>34</f>
        <v>34</v>
      </c>
      <c r="C52" s="5">
        <f>34</f>
        <v>34</v>
      </c>
      <c r="D52" s="5">
        <f t="shared" si="4"/>
        <v>0</v>
      </c>
      <c r="E52" s="6">
        <f t="shared" si="5"/>
        <v>0</v>
      </c>
    </row>
    <row r="53" spans="1:5" x14ac:dyDescent="0.25">
      <c r="A53" s="3" t="s">
        <v>246</v>
      </c>
      <c r="B53" s="5">
        <f>20400.2</f>
        <v>20400.2</v>
      </c>
      <c r="C53" s="5">
        <f>23924.25</f>
        <v>23924.25</v>
      </c>
      <c r="D53" s="5">
        <f t="shared" si="4"/>
        <v>-3524.0499999999993</v>
      </c>
      <c r="E53" s="6">
        <f t="shared" si="5"/>
        <v>-0.14730033334378295</v>
      </c>
    </row>
    <row r="54" spans="1:5" x14ac:dyDescent="0.25">
      <c r="A54" s="3" t="s">
        <v>247</v>
      </c>
      <c r="B54" s="5">
        <f>-69881.06</f>
        <v>-69881.06</v>
      </c>
      <c r="C54" s="5">
        <f>-71994.62</f>
        <v>-71994.62</v>
      </c>
      <c r="D54" s="5">
        <f t="shared" si="4"/>
        <v>2113.5599999999977</v>
      </c>
      <c r="E54" s="6">
        <f t="shared" si="5"/>
        <v>2.9357193634746565E-2</v>
      </c>
    </row>
    <row r="55" spans="1:5" x14ac:dyDescent="0.25">
      <c r="A55" s="3" t="s">
        <v>248</v>
      </c>
      <c r="B55" s="5">
        <f>24114</f>
        <v>24114</v>
      </c>
      <c r="C55" s="5">
        <f>24114</f>
        <v>24114</v>
      </c>
      <c r="D55" s="5">
        <f t="shared" si="4"/>
        <v>0</v>
      </c>
      <c r="E55" s="6">
        <f t="shared" si="5"/>
        <v>0</v>
      </c>
    </row>
    <row r="56" spans="1:5" x14ac:dyDescent="0.25">
      <c r="A56" s="3" t="s">
        <v>249</v>
      </c>
      <c r="B56" s="5">
        <f>0</f>
        <v>0</v>
      </c>
      <c r="C56" s="5">
        <f>0</f>
        <v>0</v>
      </c>
      <c r="D56" s="5">
        <f t="shared" si="4"/>
        <v>0</v>
      </c>
      <c r="E56" s="6" t="str">
        <f t="shared" si="5"/>
        <v/>
      </c>
    </row>
    <row r="57" spans="1:5" x14ac:dyDescent="0.25">
      <c r="A57" s="3" t="s">
        <v>250</v>
      </c>
      <c r="B57" s="5">
        <f>81641.26</f>
        <v>81641.259999999995</v>
      </c>
      <c r="C57" s="5">
        <f>78386.87</f>
        <v>78386.87</v>
      </c>
      <c r="D57" s="5">
        <f t="shared" si="4"/>
        <v>3254.3899999999994</v>
      </c>
      <c r="E57" s="6">
        <f t="shared" si="5"/>
        <v>4.1517029573957982E-2</v>
      </c>
    </row>
    <row r="58" spans="1:5" x14ac:dyDescent="0.25">
      <c r="A58" s="3" t="s">
        <v>251</v>
      </c>
      <c r="B58" s="9">
        <f>(((((((B50)+(B51))+(B52))+(B53))+(B54))+(B55))+(B56))+(B57)</f>
        <v>56321.899999999994</v>
      </c>
      <c r="C58" s="9">
        <f>(((((((C50)+(C51))+(C52))+(C53))+(C54))+(C55))+(C56))+(C57)</f>
        <v>54478</v>
      </c>
      <c r="D58" s="9">
        <f t="shared" si="4"/>
        <v>1843.8999999999942</v>
      </c>
      <c r="E58" s="10">
        <f t="shared" si="5"/>
        <v>3.3846690407136719E-2</v>
      </c>
    </row>
    <row r="59" spans="1:5" x14ac:dyDescent="0.25">
      <c r="A59" s="3" t="s">
        <v>252</v>
      </c>
      <c r="B59" s="9">
        <f>((B45)+(B48))+(B58)</f>
        <v>63236.56</v>
      </c>
      <c r="C59" s="9">
        <f>((C45)+(C48))+(C58)</f>
        <v>66129.47</v>
      </c>
      <c r="D59" s="9">
        <f t="shared" si="4"/>
        <v>-2892.9100000000035</v>
      </c>
      <c r="E59" s="10">
        <f t="shared" si="5"/>
        <v>-4.3746154324237035E-2</v>
      </c>
    </row>
    <row r="60" spans="1:5" x14ac:dyDescent="0.25">
      <c r="A60" s="3" t="s">
        <v>253</v>
      </c>
      <c r="B60" s="9">
        <f>B59</f>
        <v>63236.56</v>
      </c>
      <c r="C60" s="9">
        <f>C59</f>
        <v>66129.47</v>
      </c>
      <c r="D60" s="9">
        <f t="shared" si="4"/>
        <v>-2892.9100000000035</v>
      </c>
      <c r="E60" s="10">
        <f t="shared" si="5"/>
        <v>-4.3746154324237035E-2</v>
      </c>
    </row>
    <row r="61" spans="1:5" x14ac:dyDescent="0.25">
      <c r="A61" s="3" t="s">
        <v>254</v>
      </c>
      <c r="B61" s="4"/>
      <c r="C61" s="4"/>
      <c r="D61" s="4"/>
      <c r="E61" s="4"/>
    </row>
    <row r="62" spans="1:5" x14ac:dyDescent="0.25">
      <c r="A62" s="3" t="s">
        <v>255</v>
      </c>
      <c r="B62" s="5">
        <f>11429.62</f>
        <v>11429.62</v>
      </c>
      <c r="C62" s="5">
        <f>11429.62</f>
        <v>11429.62</v>
      </c>
      <c r="D62" s="5">
        <f t="shared" ref="D62:D68" si="6">(B62)-(C62)</f>
        <v>0</v>
      </c>
      <c r="E62" s="6">
        <f t="shared" ref="E62:E68" si="7">IF(ABS((C62))=0,"",((B62)-(C62))/(ABS((C62))))</f>
        <v>0</v>
      </c>
    </row>
    <row r="63" spans="1:5" x14ac:dyDescent="0.25">
      <c r="A63" s="3" t="s">
        <v>256</v>
      </c>
      <c r="B63" s="5">
        <f>266709.72</f>
        <v>266709.71999999997</v>
      </c>
      <c r="C63" s="5">
        <f>251917.36</f>
        <v>251917.36</v>
      </c>
      <c r="D63" s="5">
        <f t="shared" si="6"/>
        <v>14792.359999999986</v>
      </c>
      <c r="E63" s="6">
        <f t="shared" si="7"/>
        <v>5.8719097405593591E-2</v>
      </c>
    </row>
    <row r="64" spans="1:5" x14ac:dyDescent="0.25">
      <c r="A64" s="3" t="s">
        <v>257</v>
      </c>
      <c r="B64" s="5">
        <f>1244821</f>
        <v>1244821</v>
      </c>
      <c r="C64" s="5">
        <f>1300447</f>
        <v>1300447</v>
      </c>
      <c r="D64" s="5">
        <f t="shared" si="6"/>
        <v>-55626</v>
      </c>
      <c r="E64" s="6">
        <f t="shared" si="7"/>
        <v>-4.2774522914044169E-2</v>
      </c>
    </row>
    <row r="65" spans="1:5" x14ac:dyDescent="0.25">
      <c r="A65" s="3" t="s">
        <v>258</v>
      </c>
      <c r="B65" s="5">
        <f>91636.18</f>
        <v>91636.18</v>
      </c>
      <c r="C65" s="5">
        <f>91636.18</f>
        <v>91636.18</v>
      </c>
      <c r="D65" s="5">
        <f t="shared" si="6"/>
        <v>0</v>
      </c>
      <c r="E65" s="6">
        <f t="shared" si="7"/>
        <v>0</v>
      </c>
    </row>
    <row r="66" spans="1:5" x14ac:dyDescent="0.25">
      <c r="A66" s="3" t="s">
        <v>259</v>
      </c>
      <c r="B66" s="5">
        <f>9644.31</f>
        <v>9644.31</v>
      </c>
      <c r="C66" s="5">
        <f>-8313.03</f>
        <v>-8313.0300000000007</v>
      </c>
      <c r="D66" s="5">
        <f t="shared" si="6"/>
        <v>17957.34</v>
      </c>
      <c r="E66" s="6">
        <f t="shared" si="7"/>
        <v>2.1601437742916842</v>
      </c>
    </row>
    <row r="67" spans="1:5" x14ac:dyDescent="0.25">
      <c r="A67" s="3" t="s">
        <v>260</v>
      </c>
      <c r="B67" s="9">
        <f>((((B62)+(B63))+(B64))+(B65))+(B66)</f>
        <v>1624240.8299999998</v>
      </c>
      <c r="C67" s="9">
        <f>((((C62)+(C63))+(C64))+(C65))+(C66)</f>
        <v>1647117.13</v>
      </c>
      <c r="D67" s="9">
        <f t="shared" si="6"/>
        <v>-22876.300000000047</v>
      </c>
      <c r="E67" s="10">
        <f t="shared" si="7"/>
        <v>-1.3888690478253996E-2</v>
      </c>
    </row>
    <row r="68" spans="1:5" x14ac:dyDescent="0.25">
      <c r="A68" s="3" t="s">
        <v>261</v>
      </c>
      <c r="B68" s="9">
        <f>(B60)+(B67)</f>
        <v>1687477.39</v>
      </c>
      <c r="C68" s="9">
        <f>(C60)+(C67)</f>
        <v>1713246.5999999999</v>
      </c>
      <c r="D68" s="9">
        <f t="shared" si="6"/>
        <v>-25769.209999999963</v>
      </c>
      <c r="E68" s="10">
        <f t="shared" si="7"/>
        <v>-1.5041156363596439E-2</v>
      </c>
    </row>
    <row r="69" spans="1:5" x14ac:dyDescent="0.25">
      <c r="A69" s="3"/>
      <c r="B69" s="4"/>
      <c r="C69" s="4"/>
      <c r="D69" s="4"/>
      <c r="E69" s="4"/>
    </row>
    <row r="72" spans="1:5" x14ac:dyDescent="0.25">
      <c r="A72" s="20" t="s">
        <v>262</v>
      </c>
      <c r="B72" s="21"/>
      <c r="C72" s="21"/>
      <c r="D72" s="21"/>
      <c r="E72" s="21"/>
    </row>
  </sheetData>
  <mergeCells count="5">
    <mergeCell ref="A1:E1"/>
    <mergeCell ref="A2:E2"/>
    <mergeCell ref="A3:E3"/>
    <mergeCell ref="B5:E5"/>
    <mergeCell ref="A72:E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DD43-8D2B-4DCA-8D37-75A2CFA08CED}">
  <dimension ref="A1:G20"/>
  <sheetViews>
    <sheetView workbookViewId="0">
      <selection sqref="A1:G20"/>
    </sheetView>
  </sheetViews>
  <sheetFormatPr defaultRowHeight="15" x14ac:dyDescent="0.25"/>
  <cols>
    <col min="1" max="1" width="25.7109375" customWidth="1"/>
    <col min="2" max="7" width="12.85546875" customWidth="1"/>
  </cols>
  <sheetData>
    <row r="1" spans="1:7" ht="18" x14ac:dyDescent="0.25">
      <c r="A1" s="22" t="s">
        <v>175</v>
      </c>
      <c r="B1" s="21"/>
      <c r="C1" s="21"/>
      <c r="D1" s="21"/>
      <c r="E1" s="21"/>
      <c r="F1" s="21"/>
      <c r="G1" s="21"/>
    </row>
    <row r="2" spans="1:7" ht="18" x14ac:dyDescent="0.25">
      <c r="A2" s="22" t="s">
        <v>263</v>
      </c>
      <c r="B2" s="21"/>
      <c r="C2" s="21"/>
      <c r="D2" s="21"/>
      <c r="E2" s="21"/>
      <c r="F2" s="21"/>
      <c r="G2" s="21"/>
    </row>
    <row r="3" spans="1:7" x14ac:dyDescent="0.25">
      <c r="A3" s="23" t="s">
        <v>198</v>
      </c>
      <c r="B3" s="21"/>
      <c r="C3" s="21"/>
      <c r="D3" s="21"/>
      <c r="E3" s="21"/>
      <c r="F3" s="21"/>
      <c r="G3" s="21"/>
    </row>
    <row r="5" spans="1:7" x14ac:dyDescent="0.25">
      <c r="A5" s="1"/>
      <c r="B5" s="2" t="s">
        <v>264</v>
      </c>
      <c r="C5" s="2" t="s">
        <v>265</v>
      </c>
      <c r="D5" s="2" t="s">
        <v>266</v>
      </c>
      <c r="E5" s="2" t="s">
        <v>267</v>
      </c>
      <c r="F5" s="2" t="s">
        <v>268</v>
      </c>
      <c r="G5" s="2" t="s">
        <v>0</v>
      </c>
    </row>
    <row r="6" spans="1:7" x14ac:dyDescent="0.25">
      <c r="A6" s="3" t="s">
        <v>269</v>
      </c>
      <c r="B6" s="5">
        <f>300</f>
        <v>300</v>
      </c>
      <c r="C6" s="4"/>
      <c r="D6" s="4"/>
      <c r="E6" s="4"/>
      <c r="F6" s="5">
        <f>0</f>
        <v>0</v>
      </c>
      <c r="G6" s="5">
        <f t="shared" ref="G6:G16" si="0">((((B6)+(C6))+(D6))+(E6))+(F6)</f>
        <v>300</v>
      </c>
    </row>
    <row r="7" spans="1:7" x14ac:dyDescent="0.25">
      <c r="A7" s="3" t="s">
        <v>270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7" x14ac:dyDescent="0.25">
      <c r="A8" s="3" t="s">
        <v>271</v>
      </c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7" x14ac:dyDescent="0.25">
      <c r="A9" s="3" t="s">
        <v>272</v>
      </c>
      <c r="B9" s="4"/>
      <c r="C9" s="4"/>
      <c r="D9" s="5">
        <f>-13.1</f>
        <v>-13.1</v>
      </c>
      <c r="E9" s="4"/>
      <c r="F9" s="5">
        <f>13.1</f>
        <v>13.1</v>
      </c>
      <c r="G9" s="5">
        <f t="shared" si="0"/>
        <v>0</v>
      </c>
    </row>
    <row r="10" spans="1:7" x14ac:dyDescent="0.25">
      <c r="A10" s="3" t="s">
        <v>273</v>
      </c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7" x14ac:dyDescent="0.25">
      <c r="A11" s="3" t="s">
        <v>274</v>
      </c>
      <c r="B11" s="5">
        <f>5793</f>
        <v>5793</v>
      </c>
      <c r="C11" s="4"/>
      <c r="D11" s="4"/>
      <c r="E11" s="4"/>
      <c r="F11" s="4"/>
      <c r="G11" s="5">
        <f t="shared" si="0"/>
        <v>5793</v>
      </c>
    </row>
    <row r="12" spans="1:7" x14ac:dyDescent="0.25">
      <c r="A12" s="3" t="s">
        <v>275</v>
      </c>
      <c r="B12" s="4"/>
      <c r="C12" s="4"/>
      <c r="D12" s="4"/>
      <c r="E12" s="4"/>
      <c r="F12" s="5">
        <f>0</f>
        <v>0</v>
      </c>
      <c r="G12" s="5">
        <f t="shared" si="0"/>
        <v>0</v>
      </c>
    </row>
    <row r="13" spans="1:7" x14ac:dyDescent="0.25">
      <c r="A13" s="3" t="s">
        <v>276</v>
      </c>
      <c r="B13" s="4"/>
      <c r="C13" s="5">
        <f>500</f>
        <v>500</v>
      </c>
      <c r="D13" s="4"/>
      <c r="E13" s="4"/>
      <c r="F13" s="4"/>
      <c r="G13" s="5">
        <f t="shared" si="0"/>
        <v>500</v>
      </c>
    </row>
    <row r="14" spans="1:7" x14ac:dyDescent="0.25">
      <c r="A14" s="3" t="s">
        <v>277</v>
      </c>
      <c r="B14" s="4"/>
      <c r="C14" s="4"/>
      <c r="D14" s="5">
        <f>-88.15</f>
        <v>-88.15</v>
      </c>
      <c r="E14" s="4"/>
      <c r="F14" s="5">
        <f>88.15</f>
        <v>88.15</v>
      </c>
      <c r="G14" s="5">
        <f t="shared" si="0"/>
        <v>0</v>
      </c>
    </row>
    <row r="15" spans="1:7" x14ac:dyDescent="0.25">
      <c r="A15" s="3" t="s">
        <v>278</v>
      </c>
      <c r="B15" s="4"/>
      <c r="C15" s="4"/>
      <c r="D15" s="4"/>
      <c r="E15" s="4"/>
      <c r="F15" s="5">
        <f>0</f>
        <v>0</v>
      </c>
      <c r="G15" s="5">
        <f t="shared" si="0"/>
        <v>0</v>
      </c>
    </row>
    <row r="16" spans="1:7" x14ac:dyDescent="0.25">
      <c r="A16" s="3" t="s">
        <v>279</v>
      </c>
      <c r="B16" s="9">
        <f>(((((((((B6)+(B7))+(B8))+(B9))+(B10))+(B11))+(B12))+(B13))+(B14))+(B15)</f>
        <v>6093</v>
      </c>
      <c r="C16" s="9">
        <f>(((((((((C6)+(C7))+(C8))+(C9))+(C10))+(C11))+(C12))+(C13))+(C14))+(C15)</f>
        <v>500</v>
      </c>
      <c r="D16" s="9">
        <f>(((((((((D6)+(D7))+(D8))+(D9))+(D10))+(D11))+(D12))+(D13))+(D14))+(D15)</f>
        <v>-101.25</v>
      </c>
      <c r="E16" s="9">
        <f>(((((((((E6)+(E7))+(E8))+(E9))+(E10))+(E11))+(E12))+(E13))+(E14))+(E15)</f>
        <v>0</v>
      </c>
      <c r="F16" s="9">
        <f>(((((((((F6)+(F7))+(F8))+(F9))+(F10))+(F11))+(F12))+(F13))+(F14))+(F15)</f>
        <v>101.25</v>
      </c>
      <c r="G16" s="9">
        <f t="shared" si="0"/>
        <v>6593</v>
      </c>
    </row>
    <row r="17" spans="1:7" x14ac:dyDescent="0.25">
      <c r="A17" s="3"/>
      <c r="B17" s="4"/>
      <c r="C17" s="4"/>
      <c r="D17" s="4"/>
      <c r="E17" s="4"/>
      <c r="F17" s="4"/>
      <c r="G17" s="4"/>
    </row>
    <row r="20" spans="1:7" x14ac:dyDescent="0.25">
      <c r="A20" s="20" t="s">
        <v>280</v>
      </c>
      <c r="B20" s="21"/>
      <c r="C20" s="21"/>
      <c r="D20" s="21"/>
      <c r="E20" s="21"/>
      <c r="F20" s="21"/>
      <c r="G20" s="21"/>
    </row>
  </sheetData>
  <mergeCells count="4">
    <mergeCell ref="A1:G1"/>
    <mergeCell ref="A2:G2"/>
    <mergeCell ref="A3:G3"/>
    <mergeCell ref="A20:G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6CDA-545E-4679-BFF8-511EB2121028}">
  <dimension ref="A1:G31"/>
  <sheetViews>
    <sheetView workbookViewId="0">
      <selection sqref="A1:G31"/>
    </sheetView>
  </sheetViews>
  <sheetFormatPr defaultRowHeight="15" x14ac:dyDescent="0.25"/>
  <cols>
    <col min="1" max="1" width="31" customWidth="1"/>
    <col min="2" max="7" width="12.85546875" customWidth="1"/>
  </cols>
  <sheetData>
    <row r="1" spans="1:7" ht="18" x14ac:dyDescent="0.25">
      <c r="A1" s="22" t="s">
        <v>175</v>
      </c>
      <c r="B1" s="21"/>
      <c r="C1" s="21"/>
      <c r="D1" s="21"/>
      <c r="E1" s="21"/>
      <c r="F1" s="21"/>
      <c r="G1" s="21"/>
    </row>
    <row r="2" spans="1:7" ht="18" x14ac:dyDescent="0.25">
      <c r="A2" s="22" t="s">
        <v>281</v>
      </c>
      <c r="B2" s="21"/>
      <c r="C2" s="21"/>
      <c r="D2" s="21"/>
      <c r="E2" s="21"/>
      <c r="F2" s="21"/>
      <c r="G2" s="21"/>
    </row>
    <row r="3" spans="1:7" x14ac:dyDescent="0.25">
      <c r="A3" s="23" t="s">
        <v>198</v>
      </c>
      <c r="B3" s="21"/>
      <c r="C3" s="21"/>
      <c r="D3" s="21"/>
      <c r="E3" s="21"/>
      <c r="F3" s="21"/>
      <c r="G3" s="21"/>
    </row>
    <row r="5" spans="1:7" x14ac:dyDescent="0.25">
      <c r="A5" s="1"/>
      <c r="B5" s="2" t="s">
        <v>264</v>
      </c>
      <c r="C5" s="2" t="s">
        <v>265</v>
      </c>
      <c r="D5" s="2" t="s">
        <v>266</v>
      </c>
      <c r="E5" s="2" t="s">
        <v>267</v>
      </c>
      <c r="F5" s="2" t="s">
        <v>268</v>
      </c>
      <c r="G5" s="2" t="s">
        <v>0</v>
      </c>
    </row>
    <row r="6" spans="1:7" x14ac:dyDescent="0.25">
      <c r="A6" s="3" t="s">
        <v>282</v>
      </c>
      <c r="B6" s="4"/>
      <c r="C6" s="4"/>
      <c r="D6" s="4"/>
      <c r="E6" s="4"/>
      <c r="F6" s="5">
        <f>0</f>
        <v>0</v>
      </c>
      <c r="G6" s="5">
        <f t="shared" ref="G6:G27" si="0">((((B6)+(C6))+(D6))+(E6))+(F6)</f>
        <v>0</v>
      </c>
    </row>
    <row r="7" spans="1:7" x14ac:dyDescent="0.25">
      <c r="A7" s="3" t="s">
        <v>283</v>
      </c>
      <c r="B7" s="5">
        <f>34.96</f>
        <v>34.96</v>
      </c>
      <c r="C7" s="4"/>
      <c r="D7" s="4"/>
      <c r="E7" s="4"/>
      <c r="F7" s="4"/>
      <c r="G7" s="5">
        <f t="shared" si="0"/>
        <v>34.96</v>
      </c>
    </row>
    <row r="8" spans="1:7" x14ac:dyDescent="0.25">
      <c r="A8" s="3" t="s">
        <v>284</v>
      </c>
      <c r="B8" s="5">
        <f>273</f>
        <v>273</v>
      </c>
      <c r="C8" s="4"/>
      <c r="D8" s="4"/>
      <c r="E8" s="4"/>
      <c r="F8" s="4"/>
      <c r="G8" s="5">
        <f t="shared" si="0"/>
        <v>273</v>
      </c>
    </row>
    <row r="9" spans="1:7" x14ac:dyDescent="0.25">
      <c r="A9" s="3" t="s">
        <v>285</v>
      </c>
      <c r="B9" s="5">
        <f>2535.91</f>
        <v>2535.91</v>
      </c>
      <c r="C9" s="4"/>
      <c r="D9" s="4"/>
      <c r="E9" s="4"/>
      <c r="F9" s="4"/>
      <c r="G9" s="5">
        <f t="shared" si="0"/>
        <v>2535.91</v>
      </c>
    </row>
    <row r="10" spans="1:7" x14ac:dyDescent="0.25">
      <c r="A10" s="3" t="s">
        <v>286</v>
      </c>
      <c r="B10" s="5">
        <f>498.75</f>
        <v>498.75</v>
      </c>
      <c r="C10" s="4"/>
      <c r="D10" s="4"/>
      <c r="E10" s="4"/>
      <c r="F10" s="4"/>
      <c r="G10" s="5">
        <f t="shared" si="0"/>
        <v>498.75</v>
      </c>
    </row>
    <row r="11" spans="1:7" x14ac:dyDescent="0.25">
      <c r="A11" s="3" t="s">
        <v>287</v>
      </c>
      <c r="B11" s="5">
        <f>170</f>
        <v>170</v>
      </c>
      <c r="C11" s="4"/>
      <c r="D11" s="4"/>
      <c r="E11" s="4"/>
      <c r="F11" s="4"/>
      <c r="G11" s="5">
        <f t="shared" si="0"/>
        <v>170</v>
      </c>
    </row>
    <row r="12" spans="1:7" x14ac:dyDescent="0.25">
      <c r="A12" s="3" t="s">
        <v>288</v>
      </c>
      <c r="B12" s="5">
        <f>299.2</f>
        <v>299.2</v>
      </c>
      <c r="C12" s="4"/>
      <c r="D12" s="4"/>
      <c r="E12" s="4"/>
      <c r="F12" s="4"/>
      <c r="G12" s="5">
        <f t="shared" si="0"/>
        <v>299.2</v>
      </c>
    </row>
    <row r="13" spans="1:7" x14ac:dyDescent="0.25">
      <c r="A13" s="3" t="s">
        <v>289</v>
      </c>
      <c r="B13" s="5">
        <f>657.5</f>
        <v>657.5</v>
      </c>
      <c r="C13" s="4"/>
      <c r="D13" s="4"/>
      <c r="E13" s="4"/>
      <c r="F13" s="4"/>
      <c r="G13" s="5">
        <f t="shared" si="0"/>
        <v>657.5</v>
      </c>
    </row>
    <row r="14" spans="1:7" x14ac:dyDescent="0.25">
      <c r="A14" s="3" t="s">
        <v>290</v>
      </c>
      <c r="B14" s="5">
        <f>91</f>
        <v>91</v>
      </c>
      <c r="C14" s="4"/>
      <c r="D14" s="4"/>
      <c r="E14" s="4"/>
      <c r="F14" s="4"/>
      <c r="G14" s="5">
        <f t="shared" si="0"/>
        <v>91</v>
      </c>
    </row>
    <row r="15" spans="1:7" x14ac:dyDescent="0.25">
      <c r="A15" s="3" t="s">
        <v>291</v>
      </c>
      <c r="B15" s="5">
        <f>237.25</f>
        <v>237.25</v>
      </c>
      <c r="C15" s="4"/>
      <c r="D15" s="4"/>
      <c r="E15" s="4"/>
      <c r="F15" s="4"/>
      <c r="G15" s="5">
        <f t="shared" si="0"/>
        <v>237.25</v>
      </c>
    </row>
    <row r="16" spans="1:7" x14ac:dyDescent="0.25">
      <c r="A16" s="3" t="s">
        <v>292</v>
      </c>
      <c r="B16" s="4"/>
      <c r="C16" s="4"/>
      <c r="D16" s="4"/>
      <c r="E16" s="4"/>
      <c r="F16" s="5">
        <f>89.91</f>
        <v>89.91</v>
      </c>
      <c r="G16" s="5">
        <f t="shared" si="0"/>
        <v>89.91</v>
      </c>
    </row>
    <row r="17" spans="1:7" x14ac:dyDescent="0.25">
      <c r="A17" s="3" t="s">
        <v>293</v>
      </c>
      <c r="B17" s="4"/>
      <c r="C17" s="4"/>
      <c r="D17" s="4"/>
      <c r="E17" s="4"/>
      <c r="F17" s="5">
        <f>0</f>
        <v>0</v>
      </c>
      <c r="G17" s="5">
        <f t="shared" si="0"/>
        <v>0</v>
      </c>
    </row>
    <row r="18" spans="1:7" x14ac:dyDescent="0.25">
      <c r="A18" s="3" t="s">
        <v>294</v>
      </c>
      <c r="B18" s="5">
        <f>38.35</f>
        <v>38.35</v>
      </c>
      <c r="C18" s="4"/>
      <c r="D18" s="4"/>
      <c r="E18" s="4"/>
      <c r="F18" s="4"/>
      <c r="G18" s="5">
        <f t="shared" si="0"/>
        <v>38.35</v>
      </c>
    </row>
    <row r="19" spans="1:7" x14ac:dyDescent="0.25">
      <c r="A19" s="3" t="s">
        <v>295</v>
      </c>
      <c r="B19" s="5">
        <f>18.08</f>
        <v>18.079999999999998</v>
      </c>
      <c r="C19" s="4"/>
      <c r="D19" s="4"/>
      <c r="E19" s="4"/>
      <c r="F19" s="4"/>
      <c r="G19" s="5">
        <f t="shared" si="0"/>
        <v>18.079999999999998</v>
      </c>
    </row>
    <row r="20" spans="1:7" x14ac:dyDescent="0.25">
      <c r="A20" s="3" t="s">
        <v>296</v>
      </c>
      <c r="B20" s="5">
        <f>24.7</f>
        <v>24.7</v>
      </c>
      <c r="C20" s="4"/>
      <c r="D20" s="4"/>
      <c r="E20" s="4"/>
      <c r="F20" s="4"/>
      <c r="G20" s="5">
        <f t="shared" si="0"/>
        <v>24.7</v>
      </c>
    </row>
    <row r="21" spans="1:7" x14ac:dyDescent="0.25">
      <c r="A21" s="3" t="s">
        <v>297</v>
      </c>
      <c r="B21" s="5">
        <f>262.57</f>
        <v>262.57</v>
      </c>
      <c r="C21" s="4"/>
      <c r="D21" s="4"/>
      <c r="E21" s="4"/>
      <c r="F21" s="4"/>
      <c r="G21" s="5">
        <f t="shared" si="0"/>
        <v>262.57</v>
      </c>
    </row>
    <row r="22" spans="1:7" x14ac:dyDescent="0.25">
      <c r="A22" s="3" t="s">
        <v>298</v>
      </c>
      <c r="B22" s="5">
        <f>23.5</f>
        <v>23.5</v>
      </c>
      <c r="C22" s="4"/>
      <c r="D22" s="4"/>
      <c r="E22" s="4"/>
      <c r="F22" s="4"/>
      <c r="G22" s="5">
        <f t="shared" si="0"/>
        <v>23.5</v>
      </c>
    </row>
    <row r="23" spans="1:7" x14ac:dyDescent="0.25">
      <c r="A23" s="3" t="s">
        <v>299</v>
      </c>
      <c r="B23" s="4"/>
      <c r="C23" s="4"/>
      <c r="D23" s="4"/>
      <c r="E23" s="4"/>
      <c r="F23" s="5">
        <f>0</f>
        <v>0</v>
      </c>
      <c r="G23" s="5">
        <f t="shared" si="0"/>
        <v>0</v>
      </c>
    </row>
    <row r="24" spans="1:7" x14ac:dyDescent="0.25">
      <c r="A24" s="3" t="s">
        <v>300</v>
      </c>
      <c r="B24" s="4"/>
      <c r="C24" s="4"/>
      <c r="D24" s="4"/>
      <c r="E24" s="4"/>
      <c r="F24" s="5">
        <f>0</f>
        <v>0</v>
      </c>
      <c r="G24" s="5">
        <f t="shared" si="0"/>
        <v>0</v>
      </c>
    </row>
    <row r="25" spans="1:7" x14ac:dyDescent="0.25">
      <c r="A25" s="3" t="s">
        <v>301</v>
      </c>
      <c r="B25" s="5">
        <f>23.4</f>
        <v>23.4</v>
      </c>
      <c r="C25" s="4"/>
      <c r="D25" s="4"/>
      <c r="E25" s="4"/>
      <c r="F25" s="4"/>
      <c r="G25" s="5">
        <f t="shared" si="0"/>
        <v>23.4</v>
      </c>
    </row>
    <row r="26" spans="1:7" x14ac:dyDescent="0.25">
      <c r="A26" s="3" t="s">
        <v>302</v>
      </c>
      <c r="B26" s="5">
        <f>260.76</f>
        <v>260.76</v>
      </c>
      <c r="C26" s="4"/>
      <c r="D26" s="4"/>
      <c r="E26" s="4"/>
      <c r="F26" s="4"/>
      <c r="G26" s="5">
        <f t="shared" si="0"/>
        <v>260.76</v>
      </c>
    </row>
    <row r="27" spans="1:7" x14ac:dyDescent="0.25">
      <c r="A27" s="3" t="s">
        <v>279</v>
      </c>
      <c r="B27" s="9">
        <f>((((((((((((((((((((B6)+(B7))+(B8))+(B9))+(B10))+(B11))+(B12))+(B13))+(B14))+(B15))+(B16))+(B17))+(B18))+(B19))+(B20))+(B21))+(B22))+(B23))+(B24))+(B25))+(B26)</f>
        <v>5448.9299999999994</v>
      </c>
      <c r="C27" s="9">
        <f>((((((((((((((((((((C6)+(C7))+(C8))+(C9))+(C10))+(C11))+(C12))+(C13))+(C14))+(C15))+(C16))+(C17))+(C18))+(C19))+(C20))+(C21))+(C22))+(C23))+(C24))+(C25))+(C26)</f>
        <v>0</v>
      </c>
      <c r="D27" s="9">
        <f>((((((((((((((((((((D6)+(D7))+(D8))+(D9))+(D10))+(D11))+(D12))+(D13))+(D14))+(D15))+(D16))+(D17))+(D18))+(D19))+(D20))+(D21))+(D22))+(D23))+(D24))+(D25))+(D26)</f>
        <v>0</v>
      </c>
      <c r="E27" s="9">
        <f>((((((((((((((((((((E6)+(E7))+(E8))+(E9))+(E10))+(E11))+(E12))+(E13))+(E14))+(E15))+(E16))+(E17))+(E18))+(E19))+(E20))+(E21))+(E22))+(E23))+(E24))+(E25))+(E26)</f>
        <v>0</v>
      </c>
      <c r="F27" s="9">
        <f>((((((((((((((((((((F6)+(F7))+(F8))+(F9))+(F10))+(F11))+(F12))+(F13))+(F14))+(F15))+(F16))+(F17))+(F18))+(F19))+(F20))+(F21))+(F22))+(F23))+(F24))+(F25))+(F26)</f>
        <v>89.91</v>
      </c>
      <c r="G27" s="9">
        <f t="shared" si="0"/>
        <v>5538.8399999999992</v>
      </c>
    </row>
    <row r="28" spans="1:7" x14ac:dyDescent="0.25">
      <c r="A28" s="3"/>
      <c r="B28" s="4"/>
      <c r="C28" s="4"/>
      <c r="D28" s="4"/>
      <c r="E28" s="4"/>
      <c r="F28" s="4"/>
      <c r="G28" s="4"/>
    </row>
    <row r="31" spans="1:7" x14ac:dyDescent="0.25">
      <c r="A31" s="20" t="s">
        <v>303</v>
      </c>
      <c r="B31" s="21"/>
      <c r="C31" s="21"/>
      <c r="D31" s="21"/>
      <c r="E31" s="21"/>
      <c r="F31" s="21"/>
      <c r="G31" s="21"/>
    </row>
  </sheetData>
  <mergeCells count="4">
    <mergeCell ref="A1:G1"/>
    <mergeCell ref="A2:G2"/>
    <mergeCell ref="A3:G3"/>
    <mergeCell ref="A31:G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B76E-B5C0-492F-A7D4-20EF573E10DB}">
  <dimension ref="A1:I29"/>
  <sheetViews>
    <sheetView workbookViewId="0">
      <selection activeCell="A2" sqref="A2:I2"/>
    </sheetView>
  </sheetViews>
  <sheetFormatPr defaultRowHeight="15" x14ac:dyDescent="0.25"/>
  <sheetData>
    <row r="1" spans="1:9" x14ac:dyDescent="0.25">
      <c r="A1" s="24" t="s">
        <v>360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4" t="s">
        <v>361</v>
      </c>
      <c r="B2" s="21"/>
      <c r="C2" s="21"/>
      <c r="D2" s="21"/>
      <c r="E2" s="21"/>
      <c r="F2" s="21"/>
      <c r="G2" s="21"/>
      <c r="H2" s="21"/>
      <c r="I2" s="21"/>
    </row>
    <row r="3" spans="1:9" ht="34.5" x14ac:dyDescent="0.25">
      <c r="A3" s="11" t="s">
        <v>304</v>
      </c>
      <c r="B3" s="11" t="s">
        <v>305</v>
      </c>
      <c r="C3" s="11" t="s">
        <v>306</v>
      </c>
      <c r="D3" s="11" t="s">
        <v>307</v>
      </c>
      <c r="E3" s="11" t="s">
        <v>308</v>
      </c>
      <c r="F3" s="11" t="s">
        <v>309</v>
      </c>
      <c r="G3" s="11" t="s">
        <v>310</v>
      </c>
      <c r="H3" s="11" t="s">
        <v>311</v>
      </c>
      <c r="I3" s="11" t="s">
        <v>312</v>
      </c>
    </row>
    <row r="4" spans="1:9" ht="45.75" x14ac:dyDescent="0.25">
      <c r="A4" s="12" t="s">
        <v>313</v>
      </c>
      <c r="B4" s="12"/>
      <c r="C4" s="12" t="s">
        <v>314</v>
      </c>
      <c r="D4" s="12" t="s">
        <v>315</v>
      </c>
      <c r="E4" s="12" t="s">
        <v>316</v>
      </c>
      <c r="F4" s="13">
        <v>25.37</v>
      </c>
      <c r="G4" s="12"/>
      <c r="H4" s="12"/>
      <c r="I4" s="13">
        <v>-1740.14</v>
      </c>
    </row>
    <row r="5" spans="1:9" ht="34.5" x14ac:dyDescent="0.25">
      <c r="A5" s="12" t="s">
        <v>317</v>
      </c>
      <c r="B5" s="12"/>
      <c r="C5" s="12" t="s">
        <v>314</v>
      </c>
      <c r="D5" s="12" t="s">
        <v>315</v>
      </c>
      <c r="E5" s="12" t="s">
        <v>318</v>
      </c>
      <c r="F5" s="13">
        <v>29.95</v>
      </c>
      <c r="G5" s="12"/>
      <c r="H5" s="12"/>
      <c r="I5" s="13">
        <v>-1714.77</v>
      </c>
    </row>
    <row r="6" spans="1:9" ht="23.25" x14ac:dyDescent="0.25">
      <c r="A6" s="12" t="s">
        <v>319</v>
      </c>
      <c r="B6" s="12"/>
      <c r="C6" s="12" t="s">
        <v>314</v>
      </c>
      <c r="D6" s="12" t="s">
        <v>320</v>
      </c>
      <c r="E6" s="12" t="s">
        <v>321</v>
      </c>
      <c r="F6" s="13">
        <v>120</v>
      </c>
      <c r="G6" s="12"/>
      <c r="H6" s="12"/>
      <c r="I6" s="13">
        <v>-1684.82</v>
      </c>
    </row>
    <row r="7" spans="1:9" ht="45.75" x14ac:dyDescent="0.25">
      <c r="A7" s="12" t="s">
        <v>319</v>
      </c>
      <c r="B7" s="12"/>
      <c r="C7" s="12" t="s">
        <v>314</v>
      </c>
      <c r="D7" s="12" t="s">
        <v>322</v>
      </c>
      <c r="E7" s="12" t="s">
        <v>323</v>
      </c>
      <c r="F7" s="13">
        <v>180</v>
      </c>
      <c r="G7" s="12"/>
      <c r="H7" s="12"/>
      <c r="I7" s="13">
        <v>-1564.82</v>
      </c>
    </row>
    <row r="8" spans="1:9" ht="23.25" x14ac:dyDescent="0.25">
      <c r="A8" s="12" t="s">
        <v>324</v>
      </c>
      <c r="B8" s="12"/>
      <c r="C8" s="12" t="s">
        <v>314</v>
      </c>
      <c r="D8" s="12" t="s">
        <v>320</v>
      </c>
      <c r="E8" s="12" t="s">
        <v>321</v>
      </c>
      <c r="F8" s="13">
        <v>9</v>
      </c>
      <c r="G8" s="12"/>
      <c r="H8" s="12"/>
      <c r="I8" s="13">
        <v>-1384.82</v>
      </c>
    </row>
    <row r="9" spans="1:9" ht="23.25" x14ac:dyDescent="0.25">
      <c r="A9" s="12" t="s">
        <v>325</v>
      </c>
      <c r="B9" s="12"/>
      <c r="C9" s="12" t="s">
        <v>314</v>
      </c>
      <c r="D9" s="12" t="s">
        <v>326</v>
      </c>
      <c r="E9" s="12" t="s">
        <v>321</v>
      </c>
      <c r="F9" s="13">
        <v>620</v>
      </c>
      <c r="G9" s="12"/>
      <c r="H9" s="12"/>
      <c r="I9" s="13">
        <v>-1375.82</v>
      </c>
    </row>
    <row r="10" spans="1:9" ht="45.75" x14ac:dyDescent="0.25">
      <c r="A10" s="12" t="s">
        <v>327</v>
      </c>
      <c r="B10" s="12" t="s">
        <v>328</v>
      </c>
      <c r="C10" s="12" t="s">
        <v>314</v>
      </c>
      <c r="D10" s="12" t="s">
        <v>329</v>
      </c>
      <c r="E10" s="12" t="s">
        <v>323</v>
      </c>
      <c r="F10" s="13">
        <v>200</v>
      </c>
      <c r="G10" s="12"/>
      <c r="H10" s="12"/>
      <c r="I10" s="13">
        <v>-755.82</v>
      </c>
    </row>
    <row r="11" spans="1:9" ht="34.5" x14ac:dyDescent="0.25">
      <c r="A11" s="12" t="s">
        <v>330</v>
      </c>
      <c r="B11" s="12"/>
      <c r="C11" s="12" t="s">
        <v>314</v>
      </c>
      <c r="D11" s="12"/>
      <c r="E11" s="12" t="s">
        <v>331</v>
      </c>
      <c r="F11" s="13">
        <v>585</v>
      </c>
      <c r="G11" s="12"/>
      <c r="H11" s="12"/>
      <c r="I11" s="13">
        <v>-555.82000000000005</v>
      </c>
    </row>
    <row r="12" spans="1:9" ht="34.5" x14ac:dyDescent="0.25">
      <c r="A12" s="12" t="s">
        <v>332</v>
      </c>
      <c r="B12" s="12"/>
      <c r="C12" s="12" t="s">
        <v>314</v>
      </c>
      <c r="D12" s="12" t="s">
        <v>315</v>
      </c>
      <c r="E12" s="12" t="s">
        <v>318</v>
      </c>
      <c r="F12" s="13">
        <v>19.989999999999998</v>
      </c>
      <c r="G12" s="12"/>
      <c r="H12" s="12"/>
      <c r="I12" s="13">
        <v>29.18</v>
      </c>
    </row>
    <row r="13" spans="1:9" ht="23.25" x14ac:dyDescent="0.25">
      <c r="A13" s="12" t="s">
        <v>333</v>
      </c>
      <c r="B13" s="12"/>
      <c r="C13" s="12" t="s">
        <v>314</v>
      </c>
      <c r="D13" s="12" t="s">
        <v>334</v>
      </c>
      <c r="E13" s="12" t="s">
        <v>335</v>
      </c>
      <c r="F13" s="13">
        <v>0.99</v>
      </c>
      <c r="G13" s="12"/>
      <c r="H13" s="12" t="s">
        <v>336</v>
      </c>
      <c r="I13" s="13">
        <v>49.17</v>
      </c>
    </row>
    <row r="14" spans="1:9" ht="34.5" x14ac:dyDescent="0.25">
      <c r="A14" s="12" t="s">
        <v>333</v>
      </c>
      <c r="B14" s="12"/>
      <c r="C14" s="12" t="s">
        <v>314</v>
      </c>
      <c r="D14" s="12" t="s">
        <v>337</v>
      </c>
      <c r="E14" s="12" t="s">
        <v>338</v>
      </c>
      <c r="F14" s="13">
        <v>39.29</v>
      </c>
      <c r="G14" s="12"/>
      <c r="H14" s="12" t="s">
        <v>336</v>
      </c>
      <c r="I14" s="13">
        <v>50.16</v>
      </c>
    </row>
    <row r="15" spans="1:9" ht="34.5" x14ac:dyDescent="0.25">
      <c r="A15" s="12" t="s">
        <v>339</v>
      </c>
      <c r="B15" s="12"/>
      <c r="C15" s="12" t="s">
        <v>314</v>
      </c>
      <c r="D15" s="12" t="s">
        <v>340</v>
      </c>
      <c r="E15" s="12" t="s">
        <v>338</v>
      </c>
      <c r="F15" s="13">
        <v>63</v>
      </c>
      <c r="G15" s="12"/>
      <c r="H15" s="12" t="s">
        <v>336</v>
      </c>
      <c r="I15" s="13">
        <v>89.45</v>
      </c>
    </row>
    <row r="16" spans="1:9" x14ac:dyDescent="0.25">
      <c r="A16" s="12" t="s">
        <v>341</v>
      </c>
      <c r="B16" s="12"/>
      <c r="C16" s="12" t="s">
        <v>314</v>
      </c>
      <c r="D16" s="12"/>
      <c r="E16" s="12" t="s">
        <v>342</v>
      </c>
      <c r="F16" s="13">
        <v>189.28</v>
      </c>
      <c r="G16" s="12"/>
      <c r="H16" s="12" t="s">
        <v>336</v>
      </c>
      <c r="I16" s="13">
        <v>152.44999999999999</v>
      </c>
    </row>
    <row r="17" spans="1:9" ht="23.25" x14ac:dyDescent="0.25">
      <c r="A17" s="12" t="s">
        <v>341</v>
      </c>
      <c r="B17" s="12"/>
      <c r="C17" s="12" t="s">
        <v>314</v>
      </c>
      <c r="D17" s="12" t="s">
        <v>343</v>
      </c>
      <c r="E17" s="12" t="s">
        <v>344</v>
      </c>
      <c r="F17" s="13">
        <v>100.43</v>
      </c>
      <c r="G17" s="12"/>
      <c r="H17" s="12" t="s">
        <v>336</v>
      </c>
      <c r="I17" s="13">
        <v>341.73</v>
      </c>
    </row>
    <row r="18" spans="1:9" ht="23.25" x14ac:dyDescent="0.25">
      <c r="A18" s="12" t="s">
        <v>345</v>
      </c>
      <c r="B18" s="12"/>
      <c r="C18" s="12" t="s">
        <v>314</v>
      </c>
      <c r="D18" s="12" t="s">
        <v>346</v>
      </c>
      <c r="E18" s="12" t="s">
        <v>321</v>
      </c>
      <c r="F18" s="13">
        <v>9</v>
      </c>
      <c r="G18" s="12"/>
      <c r="H18" s="12" t="s">
        <v>336</v>
      </c>
      <c r="I18" s="13">
        <v>442.16</v>
      </c>
    </row>
    <row r="19" spans="1:9" ht="23.25" x14ac:dyDescent="0.25">
      <c r="A19" s="12" t="s">
        <v>345</v>
      </c>
      <c r="B19" s="12"/>
      <c r="C19" s="12" t="s">
        <v>314</v>
      </c>
      <c r="D19" s="12" t="s">
        <v>346</v>
      </c>
      <c r="E19" s="12" t="s">
        <v>321</v>
      </c>
      <c r="F19" s="13">
        <v>120</v>
      </c>
      <c r="G19" s="12"/>
      <c r="H19" s="12" t="s">
        <v>336</v>
      </c>
      <c r="I19" s="13">
        <v>451.16</v>
      </c>
    </row>
    <row r="20" spans="1:9" ht="34.5" x14ac:dyDescent="0.25">
      <c r="A20" s="12" t="s">
        <v>347</v>
      </c>
      <c r="B20" s="12"/>
      <c r="C20" s="12" t="s">
        <v>314</v>
      </c>
      <c r="D20" s="12" t="s">
        <v>348</v>
      </c>
      <c r="E20" s="12" t="s">
        <v>349</v>
      </c>
      <c r="F20" s="13">
        <v>44.41</v>
      </c>
      <c r="G20" s="12"/>
      <c r="H20" s="12" t="s">
        <v>336</v>
      </c>
      <c r="I20" s="13">
        <v>571.16</v>
      </c>
    </row>
    <row r="21" spans="1:9" ht="23.25" x14ac:dyDescent="0.25">
      <c r="A21" s="12" t="s">
        <v>347</v>
      </c>
      <c r="B21" s="12"/>
      <c r="C21" s="12" t="s">
        <v>314</v>
      </c>
      <c r="D21" s="12" t="s">
        <v>350</v>
      </c>
      <c r="E21" s="12" t="s">
        <v>342</v>
      </c>
      <c r="F21" s="13">
        <v>873.6</v>
      </c>
      <c r="G21" s="12"/>
      <c r="H21" s="12" t="s">
        <v>336</v>
      </c>
      <c r="I21" s="13">
        <v>615.57000000000005</v>
      </c>
    </row>
    <row r="22" spans="1:9" ht="34.5" x14ac:dyDescent="0.25">
      <c r="A22" s="12" t="s">
        <v>347</v>
      </c>
      <c r="B22" s="12"/>
      <c r="C22" s="12" t="s">
        <v>314</v>
      </c>
      <c r="D22" s="12" t="s">
        <v>351</v>
      </c>
      <c r="E22" s="12" t="s">
        <v>338</v>
      </c>
      <c r="F22" s="13">
        <v>178.5</v>
      </c>
      <c r="G22" s="12"/>
      <c r="H22" s="12" t="s">
        <v>336</v>
      </c>
      <c r="I22" s="13">
        <v>1489.17</v>
      </c>
    </row>
    <row r="23" spans="1:9" ht="45.75" x14ac:dyDescent="0.25">
      <c r="A23" s="12" t="s">
        <v>347</v>
      </c>
      <c r="B23" s="12"/>
      <c r="C23" s="12" t="s">
        <v>314</v>
      </c>
      <c r="D23" s="12" t="s">
        <v>322</v>
      </c>
      <c r="E23" s="12" t="s">
        <v>323</v>
      </c>
      <c r="F23" s="13">
        <v>180</v>
      </c>
      <c r="G23" s="12"/>
      <c r="H23" s="12" t="s">
        <v>336</v>
      </c>
      <c r="I23" s="13">
        <v>1667.67</v>
      </c>
    </row>
    <row r="24" spans="1:9" ht="45.75" x14ac:dyDescent="0.25">
      <c r="A24" s="12" t="s">
        <v>352</v>
      </c>
      <c r="B24" s="12"/>
      <c r="C24" s="12" t="s">
        <v>314</v>
      </c>
      <c r="D24" s="12" t="s">
        <v>353</v>
      </c>
      <c r="E24" s="12" t="s">
        <v>316</v>
      </c>
      <c r="F24" s="13">
        <v>62.43</v>
      </c>
      <c r="G24" s="12"/>
      <c r="H24" s="12" t="s">
        <v>336</v>
      </c>
      <c r="I24" s="13">
        <v>1847.67</v>
      </c>
    </row>
    <row r="25" spans="1:9" ht="23.25" x14ac:dyDescent="0.25">
      <c r="A25" s="12" t="s">
        <v>352</v>
      </c>
      <c r="B25" s="12"/>
      <c r="C25" s="12" t="s">
        <v>314</v>
      </c>
      <c r="D25" s="12" t="s">
        <v>354</v>
      </c>
      <c r="E25" s="12" t="s">
        <v>321</v>
      </c>
      <c r="F25" s="13">
        <v>130</v>
      </c>
      <c r="G25" s="12"/>
      <c r="H25" s="12" t="s">
        <v>336</v>
      </c>
      <c r="I25" s="13">
        <v>1910.1</v>
      </c>
    </row>
    <row r="26" spans="1:9" ht="68.25" x14ac:dyDescent="0.25">
      <c r="A26" s="12" t="s">
        <v>355</v>
      </c>
      <c r="B26" s="12"/>
      <c r="C26" s="12" t="s">
        <v>356</v>
      </c>
      <c r="D26" s="12" t="s">
        <v>357</v>
      </c>
      <c r="E26" s="12" t="s">
        <v>358</v>
      </c>
      <c r="F26" s="12"/>
      <c r="G26" s="13">
        <v>6251.96</v>
      </c>
      <c r="H26" s="12" t="s">
        <v>359</v>
      </c>
      <c r="I26" s="13">
        <v>2040.1</v>
      </c>
    </row>
    <row r="27" spans="1:9" ht="45.75" x14ac:dyDescent="0.25">
      <c r="A27" s="12" t="s">
        <v>355</v>
      </c>
      <c r="B27" s="12"/>
      <c r="C27" s="12" t="s">
        <v>314</v>
      </c>
      <c r="D27" s="12" t="s">
        <v>315</v>
      </c>
      <c r="E27" s="12" t="s">
        <v>316</v>
      </c>
      <c r="F27" s="13">
        <v>29.95</v>
      </c>
      <c r="G27" s="12"/>
      <c r="H27" s="12" t="s">
        <v>336</v>
      </c>
      <c r="I27" s="13">
        <v>-4211.8599999999997</v>
      </c>
    </row>
    <row r="28" spans="1:9" ht="45.75" x14ac:dyDescent="0.25">
      <c r="A28" s="12" t="s">
        <v>355</v>
      </c>
      <c r="B28" s="12"/>
      <c r="C28" s="12" t="s">
        <v>314</v>
      </c>
      <c r="D28" s="12" t="s">
        <v>315</v>
      </c>
      <c r="E28" s="12" t="s">
        <v>323</v>
      </c>
      <c r="F28" s="13">
        <v>14.99</v>
      </c>
      <c r="G28" s="12"/>
      <c r="H28" s="12" t="s">
        <v>336</v>
      </c>
      <c r="I28" s="13">
        <v>-4181.91</v>
      </c>
    </row>
    <row r="29" spans="1:9" ht="23.25" x14ac:dyDescent="0.25">
      <c r="A29" s="12" t="s">
        <v>355</v>
      </c>
      <c r="B29" s="12"/>
      <c r="C29" s="12" t="s">
        <v>314</v>
      </c>
      <c r="D29" s="12" t="s">
        <v>320</v>
      </c>
      <c r="E29" s="12" t="s">
        <v>321</v>
      </c>
      <c r="F29" s="13">
        <v>9</v>
      </c>
      <c r="G29" s="12"/>
      <c r="H29" s="12"/>
      <c r="I29" s="13">
        <v>-4166.92</v>
      </c>
    </row>
  </sheetData>
  <mergeCells count="2">
    <mergeCell ref="A1:I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305CEA4C392E4E83FA85D2813B0B08" ma:contentTypeVersion="16" ma:contentTypeDescription="Create a new document." ma:contentTypeScope="" ma:versionID="d5b1af73b1607accbdb97fcd3f90395c">
  <xsd:schema xmlns:xsd="http://www.w3.org/2001/XMLSchema" xmlns:xs="http://www.w3.org/2001/XMLSchema" xmlns:p="http://schemas.microsoft.com/office/2006/metadata/properties" xmlns:ns2="d488998e-ea57-4353-ba9c-f4b7a64634c6" xmlns:ns3="5e99e8e1-a0b2-476e-826d-f27bd950dab0" targetNamespace="http://schemas.microsoft.com/office/2006/metadata/properties" ma:root="true" ma:fieldsID="720376aa126d3e6a5216a604c8988ebd" ns2:_="" ns3:_="">
    <xsd:import namespace="d488998e-ea57-4353-ba9c-f4b7a64634c6"/>
    <xsd:import namespace="5e99e8e1-a0b2-476e-826d-f27bd950d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998e-ea57-4353-ba9c-f4b7a6463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978cfb-b141-478a-8c5a-5a45919a00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9e8e1-a0b2-476e-826d-f27bd950da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54578ed-c9b3-4402-ba79-e0bf487e2d64}" ma:internalName="TaxCatchAll" ma:showField="CatchAllData" ma:web="5e99e8e1-a0b2-476e-826d-f27bd950da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88998e-ea57-4353-ba9c-f4b7a64634c6">
      <Terms xmlns="http://schemas.microsoft.com/office/infopath/2007/PartnerControls"/>
    </lcf76f155ced4ddcb4097134ff3c332f>
    <TaxCatchAll xmlns="5e99e8e1-a0b2-476e-826d-f27bd950dab0" xsi:nil="true"/>
  </documentManagement>
</p:properties>
</file>

<file path=customXml/itemProps1.xml><?xml version="1.0" encoding="utf-8"?>
<ds:datastoreItem xmlns:ds="http://schemas.openxmlformats.org/officeDocument/2006/customXml" ds:itemID="{742F0E79-0F39-4647-BF64-1395AC21F6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7C8C5-C897-429A-AA85-9608573E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8998e-ea57-4353-ba9c-f4b7a64634c6"/>
    <ds:schemaRef ds:uri="5e99e8e1-a0b2-476e-826d-f27bd950d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890DA-C96C-4084-917D-8954E50A00DE}">
  <ds:schemaRefs>
    <ds:schemaRef ds:uri="http://schemas.microsoft.com/office/2006/documentManagement/types"/>
    <ds:schemaRef ds:uri="d488998e-ea57-4353-ba9c-f4b7a64634c6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99e8e1-a0b2-476e-826d-f27bd950dab0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BVA Expanded</vt:lpstr>
      <vt:lpstr>BVA Collapsed</vt:lpstr>
      <vt:lpstr>SOA Expanded</vt:lpstr>
      <vt:lpstr>SOA Collapsed</vt:lpstr>
      <vt:lpstr>SOF</vt:lpstr>
      <vt:lpstr>AR</vt:lpstr>
      <vt:lpstr>AP</vt:lpstr>
      <vt:lpstr>BOA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Relay</cp:lastModifiedBy>
  <dcterms:created xsi:type="dcterms:W3CDTF">2023-06-09T21:20:04Z</dcterms:created>
  <dcterms:modified xsi:type="dcterms:W3CDTF">2023-06-09T23:44:20Z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0x01010074305CEA4C392E4E83FA85D2813B0B08</vt:lpwstr>
  </property>
  <property fmtid="{D5CDD505-2E9C-101B-9397-08002B2CF9AE}" pid="3" name="MediaServiceImageTags">
    <vt:lpwstr/>
  </property>
</Properties>
</file>