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dezmuseum-my.sharepoint.com/personal/prelay_valdezmuseum_org/Documents/BOARD/BOD Reports/2023/"/>
    </mc:Choice>
  </mc:AlternateContent>
  <xr:revisionPtr revIDLastSave="153" documentId="8_{6D88F427-7CFD-4C26-A61C-33AA74C2265D}" xr6:coauthVersionLast="47" xr6:coauthVersionMax="47" xr10:uidLastSave="{5723E3B0-ADC8-4F9E-ADE8-0EC930805311}"/>
  <bookViews>
    <workbookView xWindow="-120" yWindow="-120" windowWidth="29040" windowHeight="15840" activeTab="4" xr2:uid="{00000000-000D-0000-FFFF-FFFF00000000}"/>
  </bookViews>
  <sheets>
    <sheet name="BVA Expanded" sheetId="1" r:id="rId1"/>
    <sheet name="BVA Collapsed" sheetId="2" r:id="rId2"/>
    <sheet name="SOA Expanded" sheetId="3" r:id="rId3"/>
    <sheet name="SOA Collapsed" sheetId="4" r:id="rId4"/>
    <sheet name="SOF" sheetId="5" r:id="rId5"/>
    <sheet name="AP" sheetId="6" r:id="rId6"/>
    <sheet name="AR" sheetId="7" r:id="rId7"/>
    <sheet name="BOA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5" l="1"/>
  <c r="I46" i="5"/>
  <c r="J45" i="5"/>
  <c r="I45" i="5"/>
  <c r="J44" i="5"/>
  <c r="I44" i="5"/>
  <c r="J16" i="5"/>
  <c r="I16" i="5"/>
  <c r="J15" i="5"/>
  <c r="I15" i="5"/>
  <c r="J14" i="5"/>
  <c r="I14" i="5"/>
  <c r="K38" i="4"/>
  <c r="J38" i="4"/>
  <c r="K37" i="4"/>
  <c r="J37" i="4"/>
  <c r="K36" i="4"/>
  <c r="J36" i="4"/>
  <c r="K35" i="4"/>
  <c r="J35" i="4"/>
  <c r="K34" i="4"/>
  <c r="J34" i="4"/>
  <c r="K12" i="4"/>
  <c r="J12" i="4"/>
  <c r="K11" i="4"/>
  <c r="J11" i="4"/>
  <c r="K10" i="4"/>
  <c r="J10" i="4"/>
  <c r="K40" i="2"/>
  <c r="J40" i="2"/>
  <c r="K39" i="2"/>
  <c r="J39" i="2"/>
  <c r="K38" i="2"/>
  <c r="J38" i="2"/>
  <c r="K13" i="2"/>
  <c r="J13" i="2"/>
  <c r="K12" i="2"/>
  <c r="J12" i="2"/>
  <c r="K11" i="2"/>
  <c r="J11" i="2"/>
  <c r="E14" i="7"/>
  <c r="D14" i="7"/>
  <c r="B14" i="7"/>
  <c r="F13" i="7"/>
  <c r="G13" i="7" s="1"/>
  <c r="F12" i="7"/>
  <c r="C12" i="7"/>
  <c r="G12" i="7" s="1"/>
  <c r="G11" i="7"/>
  <c r="F11" i="7"/>
  <c r="F10" i="7"/>
  <c r="G10" i="7" s="1"/>
  <c r="F9" i="7"/>
  <c r="C9" i="7"/>
  <c r="G9" i="7" s="1"/>
  <c r="F8" i="7"/>
  <c r="G8" i="7" s="1"/>
  <c r="F7" i="7"/>
  <c r="G7" i="7" s="1"/>
  <c r="F6" i="7"/>
  <c r="F14" i="7" s="1"/>
  <c r="C6" i="7"/>
  <c r="E23" i="6"/>
  <c r="D23" i="6"/>
  <c r="C23" i="6"/>
  <c r="B22" i="6"/>
  <c r="G22" i="6" s="1"/>
  <c r="F21" i="6"/>
  <c r="G21" i="6" s="1"/>
  <c r="B20" i="6"/>
  <c r="G20" i="6" s="1"/>
  <c r="F19" i="6"/>
  <c r="G19" i="6" s="1"/>
  <c r="B18" i="6"/>
  <c r="G18" i="6" s="1"/>
  <c r="B17" i="6"/>
  <c r="G17" i="6" s="1"/>
  <c r="B16" i="6"/>
  <c r="G16" i="6" s="1"/>
  <c r="F15" i="6"/>
  <c r="G15" i="6" s="1"/>
  <c r="F14" i="6"/>
  <c r="G14" i="6" s="1"/>
  <c r="B14" i="6"/>
  <c r="B13" i="6"/>
  <c r="G13" i="6" s="1"/>
  <c r="B12" i="6"/>
  <c r="G12" i="6" s="1"/>
  <c r="B11" i="6"/>
  <c r="G11" i="6" s="1"/>
  <c r="B10" i="6"/>
  <c r="G10" i="6" s="1"/>
  <c r="B9" i="6"/>
  <c r="B23" i="6" s="1"/>
  <c r="G8" i="6"/>
  <c r="B8" i="6"/>
  <c r="F7" i="6"/>
  <c r="F23" i="6" s="1"/>
  <c r="B6" i="6"/>
  <c r="G6" i="6" s="1"/>
  <c r="C66" i="5"/>
  <c r="E66" i="5" s="1"/>
  <c r="B66" i="5"/>
  <c r="D66" i="5" s="1"/>
  <c r="C65" i="5"/>
  <c r="E65" i="5" s="1"/>
  <c r="B65" i="5"/>
  <c r="D65" i="5" s="1"/>
  <c r="C64" i="5"/>
  <c r="E64" i="5" s="1"/>
  <c r="B64" i="5"/>
  <c r="D64" i="5" s="1"/>
  <c r="C63" i="5"/>
  <c r="C67" i="5" s="1"/>
  <c r="B63" i="5"/>
  <c r="B67" i="5" s="1"/>
  <c r="D67" i="5" s="1"/>
  <c r="C62" i="5"/>
  <c r="E62" i="5" s="1"/>
  <c r="B62" i="5"/>
  <c r="D62" i="5" s="1"/>
  <c r="C57" i="5"/>
  <c r="E57" i="5" s="1"/>
  <c r="B57" i="5"/>
  <c r="D57" i="5" s="1"/>
  <c r="C56" i="5"/>
  <c r="E56" i="5" s="1"/>
  <c r="B56" i="5"/>
  <c r="D56" i="5" s="1"/>
  <c r="C55" i="5"/>
  <c r="E55" i="5" s="1"/>
  <c r="B55" i="5"/>
  <c r="D55" i="5" s="1"/>
  <c r="C54" i="5"/>
  <c r="E54" i="5" s="1"/>
  <c r="B54" i="5"/>
  <c r="D54" i="5" s="1"/>
  <c r="C53" i="5"/>
  <c r="E53" i="5" s="1"/>
  <c r="B53" i="5"/>
  <c r="D53" i="5" s="1"/>
  <c r="C52" i="5"/>
  <c r="E52" i="5" s="1"/>
  <c r="B52" i="5"/>
  <c r="D52" i="5" s="1"/>
  <c r="C51" i="5"/>
  <c r="E51" i="5" s="1"/>
  <c r="B51" i="5"/>
  <c r="D51" i="5" s="1"/>
  <c r="C50" i="5"/>
  <c r="C58" i="5" s="1"/>
  <c r="E58" i="5" s="1"/>
  <c r="B50" i="5"/>
  <c r="B58" i="5" s="1"/>
  <c r="C47" i="5"/>
  <c r="C48" i="5" s="1"/>
  <c r="E48" i="5" s="1"/>
  <c r="B47" i="5"/>
  <c r="B48" i="5" s="1"/>
  <c r="C45" i="5"/>
  <c r="E45" i="5" s="1"/>
  <c r="B45" i="5"/>
  <c r="D45" i="5" s="1"/>
  <c r="C44" i="5"/>
  <c r="E44" i="5" s="1"/>
  <c r="B44" i="5"/>
  <c r="D44" i="5" s="1"/>
  <c r="C38" i="5"/>
  <c r="E38" i="5" s="1"/>
  <c r="B38" i="5"/>
  <c r="D38" i="5" s="1"/>
  <c r="C37" i="5"/>
  <c r="E37" i="5" s="1"/>
  <c r="B37" i="5"/>
  <c r="D37" i="5" s="1"/>
  <c r="C34" i="5"/>
  <c r="E34" i="5" s="1"/>
  <c r="B34" i="5"/>
  <c r="D34" i="5" s="1"/>
  <c r="C33" i="5"/>
  <c r="E33" i="5" s="1"/>
  <c r="B33" i="5"/>
  <c r="D33" i="5" s="1"/>
  <c r="C32" i="5"/>
  <c r="E32" i="5" s="1"/>
  <c r="B32" i="5"/>
  <c r="D32" i="5" s="1"/>
  <c r="C28" i="5"/>
  <c r="E28" i="5" s="1"/>
  <c r="B28" i="5"/>
  <c r="D28" i="5" s="1"/>
  <c r="C27" i="5"/>
  <c r="E27" i="5" s="1"/>
  <c r="B27" i="5"/>
  <c r="D27" i="5" s="1"/>
  <c r="C26" i="5"/>
  <c r="E26" i="5" s="1"/>
  <c r="B26" i="5"/>
  <c r="D26" i="5" s="1"/>
  <c r="C25" i="5"/>
  <c r="E25" i="5" s="1"/>
  <c r="B25" i="5"/>
  <c r="D25" i="5" s="1"/>
  <c r="C24" i="5"/>
  <c r="E24" i="5" s="1"/>
  <c r="B24" i="5"/>
  <c r="D24" i="5" s="1"/>
  <c r="C23" i="5"/>
  <c r="E23" i="5" s="1"/>
  <c r="B23" i="5"/>
  <c r="D23" i="5" s="1"/>
  <c r="C22" i="5"/>
  <c r="C29" i="5" s="1"/>
  <c r="E29" i="5" s="1"/>
  <c r="B22" i="5"/>
  <c r="B29" i="5" s="1"/>
  <c r="C20" i="5"/>
  <c r="E20" i="5" s="1"/>
  <c r="B20" i="5"/>
  <c r="D20" i="5" s="1"/>
  <c r="C19" i="5"/>
  <c r="E19" i="5" s="1"/>
  <c r="B19" i="5"/>
  <c r="D19" i="5" s="1"/>
  <c r="C18" i="5"/>
  <c r="E18" i="5" s="1"/>
  <c r="B18" i="5"/>
  <c r="D18" i="5" s="1"/>
  <c r="C15" i="5"/>
  <c r="E15" i="5" s="1"/>
  <c r="B15" i="5"/>
  <c r="D15" i="5" s="1"/>
  <c r="C14" i="5"/>
  <c r="E14" i="5" s="1"/>
  <c r="B14" i="5"/>
  <c r="D14" i="5" s="1"/>
  <c r="C13" i="5"/>
  <c r="E13" i="5" s="1"/>
  <c r="B13" i="5"/>
  <c r="D13" i="5" s="1"/>
  <c r="C12" i="5"/>
  <c r="E12" i="5" s="1"/>
  <c r="B12" i="5"/>
  <c r="D12" i="5" s="1"/>
  <c r="C11" i="5"/>
  <c r="E11" i="5" s="1"/>
  <c r="B11" i="5"/>
  <c r="D11" i="5" s="1"/>
  <c r="C10" i="5"/>
  <c r="E10" i="5" s="1"/>
  <c r="B10" i="5"/>
  <c r="B16" i="5" s="1"/>
  <c r="C53" i="4"/>
  <c r="C54" i="4" s="1"/>
  <c r="E54" i="4" s="1"/>
  <c r="B53" i="4"/>
  <c r="B54" i="4" s="1"/>
  <c r="D54" i="4" s="1"/>
  <c r="C52" i="4"/>
  <c r="E52" i="4" s="1"/>
  <c r="E48" i="4"/>
  <c r="C48" i="4"/>
  <c r="B48" i="4"/>
  <c r="D48" i="4" s="1"/>
  <c r="E47" i="4"/>
  <c r="B47" i="4"/>
  <c r="D47" i="4" s="1"/>
  <c r="C46" i="4"/>
  <c r="E46" i="4" s="1"/>
  <c r="B46" i="4"/>
  <c r="D46" i="4" s="1"/>
  <c r="E45" i="4"/>
  <c r="D45" i="4"/>
  <c r="B45" i="4"/>
  <c r="C44" i="4"/>
  <c r="E44" i="4" s="1"/>
  <c r="B44" i="4"/>
  <c r="D44" i="4" s="1"/>
  <c r="E43" i="4"/>
  <c r="B43" i="4"/>
  <c r="D43" i="4" s="1"/>
  <c r="C42" i="4"/>
  <c r="E42" i="4" s="1"/>
  <c r="B42" i="4"/>
  <c r="D42" i="4" s="1"/>
  <c r="C41" i="4"/>
  <c r="E41" i="4" s="1"/>
  <c r="B41" i="4"/>
  <c r="D41" i="4" s="1"/>
  <c r="D40" i="4"/>
  <c r="C40" i="4"/>
  <c r="E40" i="4" s="1"/>
  <c r="B40" i="4"/>
  <c r="C39" i="4"/>
  <c r="E39" i="4" s="1"/>
  <c r="B39" i="4"/>
  <c r="D39" i="4" s="1"/>
  <c r="C38" i="4"/>
  <c r="B38" i="4"/>
  <c r="E38" i="4" s="1"/>
  <c r="D37" i="4"/>
  <c r="C37" i="4"/>
  <c r="E37" i="4" s="1"/>
  <c r="B37" i="4"/>
  <c r="C36" i="4"/>
  <c r="E36" i="4" s="1"/>
  <c r="B36" i="4"/>
  <c r="D36" i="4" s="1"/>
  <c r="E35" i="4"/>
  <c r="D35" i="4"/>
  <c r="C35" i="4"/>
  <c r="C34" i="4"/>
  <c r="E34" i="4" s="1"/>
  <c r="B34" i="4"/>
  <c r="D34" i="4" s="1"/>
  <c r="C33" i="4"/>
  <c r="E33" i="4" s="1"/>
  <c r="B33" i="4"/>
  <c r="D33" i="4" s="1"/>
  <c r="E32" i="4"/>
  <c r="D32" i="4"/>
  <c r="C32" i="4"/>
  <c r="B32" i="4"/>
  <c r="C31" i="4"/>
  <c r="E31" i="4" s="1"/>
  <c r="B31" i="4"/>
  <c r="D31" i="4" s="1"/>
  <c r="C30" i="4"/>
  <c r="E30" i="4" s="1"/>
  <c r="B30" i="4"/>
  <c r="D30" i="4" s="1"/>
  <c r="E29" i="4"/>
  <c r="D29" i="4"/>
  <c r="C29" i="4"/>
  <c r="B29" i="4"/>
  <c r="C28" i="4"/>
  <c r="E28" i="4" s="1"/>
  <c r="B28" i="4"/>
  <c r="D28" i="4" s="1"/>
  <c r="C27" i="4"/>
  <c r="E27" i="4" s="1"/>
  <c r="B27" i="4"/>
  <c r="D27" i="4" s="1"/>
  <c r="E26" i="4"/>
  <c r="D26" i="4"/>
  <c r="C26" i="4"/>
  <c r="C25" i="4"/>
  <c r="E25" i="4" s="1"/>
  <c r="B25" i="4"/>
  <c r="D25" i="4" s="1"/>
  <c r="C24" i="4"/>
  <c r="E24" i="4" s="1"/>
  <c r="B24" i="4"/>
  <c r="D24" i="4" s="1"/>
  <c r="E23" i="4"/>
  <c r="D23" i="4"/>
  <c r="C23" i="4"/>
  <c r="B23" i="4"/>
  <c r="C22" i="4"/>
  <c r="E22" i="4" s="1"/>
  <c r="B22" i="4"/>
  <c r="D22" i="4" s="1"/>
  <c r="C21" i="4"/>
  <c r="E21" i="4" s="1"/>
  <c r="B21" i="4"/>
  <c r="D21" i="4" s="1"/>
  <c r="C17" i="4"/>
  <c r="E17" i="4" s="1"/>
  <c r="B17" i="4"/>
  <c r="B18" i="4" s="1"/>
  <c r="D18" i="4" s="1"/>
  <c r="E16" i="4"/>
  <c r="D16" i="4"/>
  <c r="C16" i="4"/>
  <c r="C18" i="4" s="1"/>
  <c r="E18" i="4" s="1"/>
  <c r="B16" i="4"/>
  <c r="C13" i="4"/>
  <c r="E13" i="4" s="1"/>
  <c r="B13" i="4"/>
  <c r="D13" i="4" s="1"/>
  <c r="E12" i="4"/>
  <c r="D12" i="4"/>
  <c r="C12" i="4"/>
  <c r="B12" i="4"/>
  <c r="C11" i="4"/>
  <c r="E11" i="4" s="1"/>
  <c r="B11" i="4"/>
  <c r="D11" i="4" s="1"/>
  <c r="C10" i="4"/>
  <c r="E10" i="4" s="1"/>
  <c r="C9" i="4"/>
  <c r="E9" i="4" s="1"/>
  <c r="B9" i="4"/>
  <c r="C8" i="4"/>
  <c r="E8" i="4" s="1"/>
  <c r="B8" i="4"/>
  <c r="D8" i="4" s="1"/>
  <c r="C167" i="3"/>
  <c r="C168" i="3" s="1"/>
  <c r="E168" i="3" s="1"/>
  <c r="B167" i="3"/>
  <c r="B168" i="3" s="1"/>
  <c r="D168" i="3" s="1"/>
  <c r="C166" i="3"/>
  <c r="E166" i="3" s="1"/>
  <c r="C161" i="3"/>
  <c r="E161" i="3" s="1"/>
  <c r="B161" i="3"/>
  <c r="B162" i="3" s="1"/>
  <c r="C160" i="3"/>
  <c r="C162" i="3" s="1"/>
  <c r="E162" i="3" s="1"/>
  <c r="E159" i="3"/>
  <c r="D159" i="3"/>
  <c r="E158" i="3"/>
  <c r="B158" i="3"/>
  <c r="D158" i="3" s="1"/>
  <c r="C157" i="3"/>
  <c r="E157" i="3" s="1"/>
  <c r="B157" i="3"/>
  <c r="D157" i="3" s="1"/>
  <c r="C156" i="3"/>
  <c r="E156" i="3" s="1"/>
  <c r="B156" i="3"/>
  <c r="D156" i="3" s="1"/>
  <c r="E155" i="3"/>
  <c r="D155" i="3"/>
  <c r="B155" i="3"/>
  <c r="E154" i="3"/>
  <c r="D154" i="3"/>
  <c r="C153" i="3"/>
  <c r="E153" i="3" s="1"/>
  <c r="B153" i="3"/>
  <c r="D153" i="3" s="1"/>
  <c r="E152" i="3"/>
  <c r="B152" i="3"/>
  <c r="D152" i="3" s="1"/>
  <c r="E151" i="3"/>
  <c r="D151" i="3"/>
  <c r="C151" i="3"/>
  <c r="B151" i="3"/>
  <c r="C149" i="3"/>
  <c r="E149" i="3" s="1"/>
  <c r="B149" i="3"/>
  <c r="D149" i="3" s="1"/>
  <c r="E148" i="3"/>
  <c r="D148" i="3"/>
  <c r="C148" i="3"/>
  <c r="B148" i="3"/>
  <c r="C147" i="3"/>
  <c r="E147" i="3" s="1"/>
  <c r="B147" i="3"/>
  <c r="D147" i="3" s="1"/>
  <c r="C146" i="3"/>
  <c r="E146" i="3" s="1"/>
  <c r="B146" i="3"/>
  <c r="D146" i="3" s="1"/>
  <c r="E145" i="3"/>
  <c r="D145" i="3"/>
  <c r="C145" i="3"/>
  <c r="B145" i="3"/>
  <c r="C144" i="3"/>
  <c r="E144" i="3" s="1"/>
  <c r="B144" i="3"/>
  <c r="D144" i="3" s="1"/>
  <c r="E143" i="3"/>
  <c r="D143" i="3"/>
  <c r="C142" i="3"/>
  <c r="E142" i="3" s="1"/>
  <c r="B142" i="3"/>
  <c r="D141" i="3"/>
  <c r="C141" i="3"/>
  <c r="E141" i="3" s="1"/>
  <c r="B141" i="3"/>
  <c r="C140" i="3"/>
  <c r="E140" i="3" s="1"/>
  <c r="B140" i="3"/>
  <c r="D140" i="3" s="1"/>
  <c r="D138" i="3"/>
  <c r="C138" i="3"/>
  <c r="E138" i="3" s="1"/>
  <c r="B138" i="3"/>
  <c r="C137" i="3"/>
  <c r="E137" i="3" s="1"/>
  <c r="B137" i="3"/>
  <c r="D137" i="3" s="1"/>
  <c r="C136" i="3"/>
  <c r="C139" i="3" s="1"/>
  <c r="B136" i="3"/>
  <c r="B139" i="3" s="1"/>
  <c r="D139" i="3" s="1"/>
  <c r="D135" i="3"/>
  <c r="C135" i="3"/>
  <c r="E135" i="3" s="1"/>
  <c r="B135" i="3"/>
  <c r="C134" i="3"/>
  <c r="E134" i="3" s="1"/>
  <c r="E133" i="3"/>
  <c r="D133" i="3"/>
  <c r="E132" i="3"/>
  <c r="D132" i="3"/>
  <c r="C132" i="3"/>
  <c r="C130" i="3"/>
  <c r="C131" i="3" s="1"/>
  <c r="B130" i="3"/>
  <c r="B131" i="3" s="1"/>
  <c r="D131" i="3" s="1"/>
  <c r="E129" i="3"/>
  <c r="D129" i="3"/>
  <c r="C127" i="3"/>
  <c r="E127" i="3" s="1"/>
  <c r="B127" i="3"/>
  <c r="D127" i="3" s="1"/>
  <c r="C126" i="3"/>
  <c r="E126" i="3" s="1"/>
  <c r="B126" i="3"/>
  <c r="D126" i="3" s="1"/>
  <c r="E125" i="3"/>
  <c r="D125" i="3"/>
  <c r="C125" i="3"/>
  <c r="B125" i="3"/>
  <c r="B128" i="3" s="1"/>
  <c r="C124" i="3"/>
  <c r="C128" i="3" s="1"/>
  <c r="E128" i="3" s="1"/>
  <c r="B124" i="3"/>
  <c r="D124" i="3" s="1"/>
  <c r="E123" i="3"/>
  <c r="D123" i="3"/>
  <c r="C122" i="3"/>
  <c r="E122" i="3" s="1"/>
  <c r="B122" i="3"/>
  <c r="C120" i="3"/>
  <c r="C121" i="3" s="1"/>
  <c r="B120" i="3"/>
  <c r="D120" i="3" s="1"/>
  <c r="E119" i="3"/>
  <c r="B119" i="3"/>
  <c r="B121" i="3" s="1"/>
  <c r="D121" i="3" s="1"/>
  <c r="E118" i="3"/>
  <c r="D118" i="3"/>
  <c r="E117" i="3"/>
  <c r="C117" i="3"/>
  <c r="B117" i="3"/>
  <c r="D117" i="3" s="1"/>
  <c r="C116" i="3"/>
  <c r="E116" i="3" s="1"/>
  <c r="B116" i="3"/>
  <c r="D116" i="3" s="1"/>
  <c r="E115" i="3"/>
  <c r="D115" i="3"/>
  <c r="C115" i="3"/>
  <c r="B115" i="3"/>
  <c r="E114" i="3"/>
  <c r="C114" i="3"/>
  <c r="B114" i="3"/>
  <c r="D114" i="3" s="1"/>
  <c r="E113" i="3"/>
  <c r="B113" i="3"/>
  <c r="D113" i="3" s="1"/>
  <c r="E112" i="3"/>
  <c r="D112" i="3"/>
  <c r="C110" i="3"/>
  <c r="E110" i="3" s="1"/>
  <c r="B110" i="3"/>
  <c r="D110" i="3" s="1"/>
  <c r="C109" i="3"/>
  <c r="E109" i="3" s="1"/>
  <c r="B109" i="3"/>
  <c r="D109" i="3" s="1"/>
  <c r="E108" i="3"/>
  <c r="D108" i="3"/>
  <c r="C108" i="3"/>
  <c r="C111" i="3" s="1"/>
  <c r="B108" i="3"/>
  <c r="B111" i="3" s="1"/>
  <c r="D111" i="3" s="1"/>
  <c r="E107" i="3"/>
  <c r="D107" i="3"/>
  <c r="B106" i="3"/>
  <c r="C105" i="3"/>
  <c r="C106" i="3" s="1"/>
  <c r="E106" i="3" s="1"/>
  <c r="B105" i="3"/>
  <c r="E104" i="3"/>
  <c r="D104" i="3"/>
  <c r="B103" i="3"/>
  <c r="C102" i="3"/>
  <c r="E102" i="3" s="1"/>
  <c r="E101" i="3"/>
  <c r="D101" i="3"/>
  <c r="C101" i="3"/>
  <c r="C103" i="3" s="1"/>
  <c r="E103" i="3" s="1"/>
  <c r="E100" i="3"/>
  <c r="D100" i="3"/>
  <c r="C99" i="3"/>
  <c r="B99" i="3"/>
  <c r="E99" i="3" s="1"/>
  <c r="C98" i="3"/>
  <c r="E98" i="3" s="1"/>
  <c r="B98" i="3"/>
  <c r="D98" i="3" s="1"/>
  <c r="E97" i="3"/>
  <c r="C97" i="3"/>
  <c r="B97" i="3"/>
  <c r="D97" i="3" s="1"/>
  <c r="C96" i="3"/>
  <c r="B96" i="3"/>
  <c r="E96" i="3" s="1"/>
  <c r="C95" i="3"/>
  <c r="E95" i="3" s="1"/>
  <c r="B95" i="3"/>
  <c r="D95" i="3" s="1"/>
  <c r="E94" i="3"/>
  <c r="C94" i="3"/>
  <c r="B94" i="3"/>
  <c r="D94" i="3" s="1"/>
  <c r="E93" i="3"/>
  <c r="D93" i="3"/>
  <c r="C90" i="3"/>
  <c r="D89" i="3"/>
  <c r="C89" i="3"/>
  <c r="E89" i="3" s="1"/>
  <c r="B89" i="3"/>
  <c r="C88" i="3"/>
  <c r="E88" i="3" s="1"/>
  <c r="B88" i="3"/>
  <c r="B90" i="3" s="1"/>
  <c r="D90" i="3" s="1"/>
  <c r="C84" i="3"/>
  <c r="E84" i="3" s="1"/>
  <c r="C83" i="3"/>
  <c r="C85" i="3" s="1"/>
  <c r="B83" i="3"/>
  <c r="B85" i="3" s="1"/>
  <c r="D85" i="3" s="1"/>
  <c r="C80" i="3"/>
  <c r="E80" i="3" s="1"/>
  <c r="B80" i="3"/>
  <c r="D80" i="3" s="1"/>
  <c r="E79" i="3"/>
  <c r="B79" i="3"/>
  <c r="D79" i="3" s="1"/>
  <c r="E78" i="3"/>
  <c r="C78" i="3"/>
  <c r="B78" i="3"/>
  <c r="D78" i="3" s="1"/>
  <c r="C77" i="3"/>
  <c r="E77" i="3" s="1"/>
  <c r="E76" i="3"/>
  <c r="D76" i="3"/>
  <c r="C76" i="3"/>
  <c r="B76" i="3"/>
  <c r="E75" i="3"/>
  <c r="D75" i="3"/>
  <c r="B75" i="3"/>
  <c r="C74" i="3"/>
  <c r="E74" i="3" s="1"/>
  <c r="B74" i="3"/>
  <c r="D74" i="3" s="1"/>
  <c r="C73" i="3"/>
  <c r="E73" i="3" s="1"/>
  <c r="E72" i="3"/>
  <c r="B72" i="3"/>
  <c r="D72" i="3" s="1"/>
  <c r="E71" i="3"/>
  <c r="C71" i="3"/>
  <c r="B71" i="3"/>
  <c r="D71" i="3" s="1"/>
  <c r="C70" i="3"/>
  <c r="E70" i="3" s="1"/>
  <c r="E69" i="3"/>
  <c r="D69" i="3"/>
  <c r="C69" i="3"/>
  <c r="B69" i="3"/>
  <c r="E68" i="3"/>
  <c r="D68" i="3"/>
  <c r="B68" i="3"/>
  <c r="C67" i="3"/>
  <c r="E67" i="3" s="1"/>
  <c r="B67" i="3"/>
  <c r="D67" i="3" s="1"/>
  <c r="C66" i="3"/>
  <c r="E66" i="3" s="1"/>
  <c r="B66" i="3"/>
  <c r="E65" i="3"/>
  <c r="D65" i="3"/>
  <c r="B65" i="3"/>
  <c r="C64" i="3"/>
  <c r="E64" i="3" s="1"/>
  <c r="B64" i="3"/>
  <c r="D64" i="3" s="1"/>
  <c r="C63" i="3"/>
  <c r="E63" i="3" s="1"/>
  <c r="E62" i="3"/>
  <c r="C62" i="3"/>
  <c r="B62" i="3"/>
  <c r="D62" i="3" s="1"/>
  <c r="E61" i="3"/>
  <c r="D61" i="3"/>
  <c r="C61" i="3"/>
  <c r="C60" i="3"/>
  <c r="E60" i="3" s="1"/>
  <c r="B60" i="3"/>
  <c r="D60" i="3" s="1"/>
  <c r="E59" i="3"/>
  <c r="D59" i="3"/>
  <c r="C59" i="3"/>
  <c r="D58" i="3"/>
  <c r="C58" i="3"/>
  <c r="E58" i="3" s="1"/>
  <c r="B58" i="3"/>
  <c r="C57" i="3"/>
  <c r="E57" i="3" s="1"/>
  <c r="B57" i="3"/>
  <c r="D57" i="3" s="1"/>
  <c r="C56" i="3"/>
  <c r="E56" i="3" s="1"/>
  <c r="C55" i="3"/>
  <c r="E55" i="3" s="1"/>
  <c r="B55" i="3"/>
  <c r="D55" i="3" s="1"/>
  <c r="C54" i="3"/>
  <c r="E54" i="3" s="1"/>
  <c r="B54" i="3"/>
  <c r="D54" i="3" s="1"/>
  <c r="C53" i="3"/>
  <c r="E53" i="3" s="1"/>
  <c r="E52" i="3"/>
  <c r="C52" i="3"/>
  <c r="B52" i="3"/>
  <c r="D52" i="3" s="1"/>
  <c r="E51" i="3"/>
  <c r="C51" i="3"/>
  <c r="B51" i="3"/>
  <c r="D51" i="3" s="1"/>
  <c r="C50" i="3"/>
  <c r="E50" i="3" s="1"/>
  <c r="B50" i="3"/>
  <c r="D50" i="3" s="1"/>
  <c r="E49" i="3"/>
  <c r="C49" i="3"/>
  <c r="B49" i="3"/>
  <c r="D49" i="3" s="1"/>
  <c r="E48" i="3"/>
  <c r="D48" i="3"/>
  <c r="C48" i="3"/>
  <c r="C47" i="3"/>
  <c r="E47" i="3" s="1"/>
  <c r="B47" i="3"/>
  <c r="D47" i="3" s="1"/>
  <c r="E46" i="3"/>
  <c r="D46" i="3"/>
  <c r="C46" i="3"/>
  <c r="B46" i="3"/>
  <c r="E45" i="3"/>
  <c r="D45" i="3"/>
  <c r="C45" i="3"/>
  <c r="B45" i="3"/>
  <c r="C44" i="3"/>
  <c r="E44" i="3" s="1"/>
  <c r="B44" i="3"/>
  <c r="D44" i="3" s="1"/>
  <c r="E43" i="3"/>
  <c r="D43" i="3"/>
  <c r="C43" i="3"/>
  <c r="B43" i="3"/>
  <c r="B81" i="3" s="1"/>
  <c r="E42" i="3"/>
  <c r="D42" i="3"/>
  <c r="C42" i="3"/>
  <c r="C41" i="3"/>
  <c r="E41" i="3" s="1"/>
  <c r="C40" i="3"/>
  <c r="E40" i="3" s="1"/>
  <c r="B40" i="3"/>
  <c r="D40" i="3" s="1"/>
  <c r="C39" i="3"/>
  <c r="E39" i="3" s="1"/>
  <c r="B39" i="3"/>
  <c r="D39" i="3" s="1"/>
  <c r="C38" i="3"/>
  <c r="E38" i="3" s="1"/>
  <c r="B38" i="3"/>
  <c r="D38" i="3" s="1"/>
  <c r="C37" i="3"/>
  <c r="E37" i="3" s="1"/>
  <c r="B37" i="3"/>
  <c r="D37" i="3" s="1"/>
  <c r="C36" i="3"/>
  <c r="E36" i="3" s="1"/>
  <c r="B36" i="3"/>
  <c r="D36" i="3" s="1"/>
  <c r="C35" i="3"/>
  <c r="E35" i="3" s="1"/>
  <c r="E34" i="3"/>
  <c r="B34" i="3"/>
  <c r="D34" i="3" s="1"/>
  <c r="E33" i="3"/>
  <c r="D33" i="3"/>
  <c r="C31" i="3"/>
  <c r="E31" i="3" s="1"/>
  <c r="B31" i="3"/>
  <c r="D31" i="3" s="1"/>
  <c r="C30" i="3"/>
  <c r="C32" i="3" s="1"/>
  <c r="B30" i="3"/>
  <c r="B32" i="3" s="1"/>
  <c r="E29" i="3"/>
  <c r="D29" i="3"/>
  <c r="E28" i="3"/>
  <c r="D28" i="3"/>
  <c r="B28" i="3"/>
  <c r="B82" i="3" s="1"/>
  <c r="E27" i="3"/>
  <c r="D27" i="3"/>
  <c r="C26" i="3"/>
  <c r="E26" i="3" s="1"/>
  <c r="B26" i="3"/>
  <c r="D26" i="3" s="1"/>
  <c r="E25" i="3"/>
  <c r="D25" i="3"/>
  <c r="C25" i="3"/>
  <c r="C23" i="3"/>
  <c r="E23" i="3" s="1"/>
  <c r="B23" i="3"/>
  <c r="D23" i="3" s="1"/>
  <c r="E22" i="3"/>
  <c r="D22" i="3"/>
  <c r="B22" i="3"/>
  <c r="E21" i="3"/>
  <c r="D21" i="3"/>
  <c r="E20" i="3"/>
  <c r="C20" i="3"/>
  <c r="B20" i="3"/>
  <c r="D20" i="3" s="1"/>
  <c r="C19" i="3"/>
  <c r="E19" i="3" s="1"/>
  <c r="B19" i="3"/>
  <c r="D19" i="3" s="1"/>
  <c r="E18" i="3"/>
  <c r="C18" i="3"/>
  <c r="B18" i="3"/>
  <c r="D18" i="3" s="1"/>
  <c r="E16" i="3"/>
  <c r="B16" i="3"/>
  <c r="D16" i="3" s="1"/>
  <c r="E15" i="3"/>
  <c r="D15" i="3"/>
  <c r="C15" i="3"/>
  <c r="C17" i="3" s="1"/>
  <c r="B15" i="3"/>
  <c r="B17" i="3" s="1"/>
  <c r="E14" i="3"/>
  <c r="D14" i="3"/>
  <c r="E13" i="3"/>
  <c r="D13" i="3"/>
  <c r="B12" i="3"/>
  <c r="E11" i="3"/>
  <c r="D11" i="3"/>
  <c r="B11" i="3"/>
  <c r="D10" i="3"/>
  <c r="C10" i="3"/>
  <c r="E10" i="3" s="1"/>
  <c r="B10" i="3"/>
  <c r="C9" i="3"/>
  <c r="E9" i="3" s="1"/>
  <c r="E8" i="3"/>
  <c r="D8" i="3"/>
  <c r="C48" i="2"/>
  <c r="E48" i="2" s="1"/>
  <c r="B48" i="2"/>
  <c r="D48" i="2" s="1"/>
  <c r="E47" i="2"/>
  <c r="B47" i="2"/>
  <c r="D47" i="2" s="1"/>
  <c r="C46" i="2"/>
  <c r="E46" i="2" s="1"/>
  <c r="B46" i="2"/>
  <c r="D46" i="2" s="1"/>
  <c r="E45" i="2"/>
  <c r="C45" i="2"/>
  <c r="B45" i="2"/>
  <c r="D45" i="2" s="1"/>
  <c r="D44" i="2"/>
  <c r="C44" i="2"/>
  <c r="E44" i="2" s="1"/>
  <c r="B44" i="2"/>
  <c r="C43" i="2"/>
  <c r="E43" i="2" s="1"/>
  <c r="B43" i="2"/>
  <c r="D43" i="2" s="1"/>
  <c r="E42" i="2"/>
  <c r="D42" i="2"/>
  <c r="C42" i="2"/>
  <c r="B42" i="2"/>
  <c r="D41" i="2"/>
  <c r="C41" i="2"/>
  <c r="E41" i="2" s="1"/>
  <c r="B41" i="2"/>
  <c r="C40" i="2"/>
  <c r="E40" i="2" s="1"/>
  <c r="B40" i="2"/>
  <c r="D40" i="2" s="1"/>
  <c r="E39" i="2"/>
  <c r="D39" i="2"/>
  <c r="C39" i="2"/>
  <c r="B39" i="2"/>
  <c r="D38" i="2"/>
  <c r="C38" i="2"/>
  <c r="E38" i="2" s="1"/>
  <c r="B38" i="2"/>
  <c r="C37" i="2"/>
  <c r="E37" i="2" s="1"/>
  <c r="B37" i="2"/>
  <c r="D37" i="2" s="1"/>
  <c r="E36" i="2"/>
  <c r="D36" i="2"/>
  <c r="C36" i="2"/>
  <c r="B36" i="2"/>
  <c r="D35" i="2"/>
  <c r="C35" i="2"/>
  <c r="E35" i="2" s="1"/>
  <c r="C34" i="2"/>
  <c r="E34" i="2" s="1"/>
  <c r="B34" i="2"/>
  <c r="D34" i="2" s="1"/>
  <c r="E33" i="2"/>
  <c r="D33" i="2"/>
  <c r="C33" i="2"/>
  <c r="B33" i="2"/>
  <c r="C32" i="2"/>
  <c r="E32" i="2" s="1"/>
  <c r="C31" i="2"/>
  <c r="E31" i="2" s="1"/>
  <c r="B31" i="2"/>
  <c r="D31" i="2" s="1"/>
  <c r="C30" i="2"/>
  <c r="E30" i="2" s="1"/>
  <c r="B30" i="2"/>
  <c r="C29" i="2"/>
  <c r="E29" i="2" s="1"/>
  <c r="B29" i="2"/>
  <c r="D29" i="2" s="1"/>
  <c r="C28" i="2"/>
  <c r="E28" i="2" s="1"/>
  <c r="B28" i="2"/>
  <c r="D28" i="2" s="1"/>
  <c r="C27" i="2"/>
  <c r="E27" i="2" s="1"/>
  <c r="B27" i="2"/>
  <c r="C26" i="2"/>
  <c r="E26" i="2" s="1"/>
  <c r="B26" i="2"/>
  <c r="D26" i="2" s="1"/>
  <c r="C25" i="2"/>
  <c r="E25" i="2" s="1"/>
  <c r="C24" i="2"/>
  <c r="E24" i="2" s="1"/>
  <c r="B24" i="2"/>
  <c r="D24" i="2" s="1"/>
  <c r="E23" i="2"/>
  <c r="D23" i="2"/>
  <c r="C23" i="2"/>
  <c r="B23" i="2"/>
  <c r="E22" i="2"/>
  <c r="C22" i="2"/>
  <c r="B22" i="2"/>
  <c r="D22" i="2" s="1"/>
  <c r="C21" i="2"/>
  <c r="E21" i="2" s="1"/>
  <c r="B21" i="2"/>
  <c r="D21" i="2" s="1"/>
  <c r="E20" i="2"/>
  <c r="D20" i="2"/>
  <c r="C20" i="2"/>
  <c r="B20" i="2"/>
  <c r="C17" i="2"/>
  <c r="E17" i="2" s="1"/>
  <c r="B17" i="2"/>
  <c r="D17" i="2" s="1"/>
  <c r="E16" i="2"/>
  <c r="D16" i="2"/>
  <c r="C16" i="2"/>
  <c r="B16" i="2"/>
  <c r="E15" i="2"/>
  <c r="C15" i="2"/>
  <c r="B15" i="2"/>
  <c r="D15" i="2" s="1"/>
  <c r="B13" i="2"/>
  <c r="B18" i="2" s="1"/>
  <c r="E12" i="2"/>
  <c r="D12" i="2"/>
  <c r="C12" i="2"/>
  <c r="B12" i="2"/>
  <c r="E11" i="2"/>
  <c r="C11" i="2"/>
  <c r="B11" i="2"/>
  <c r="D11" i="2" s="1"/>
  <c r="C10" i="2"/>
  <c r="E10" i="2" s="1"/>
  <c r="B10" i="2"/>
  <c r="D10" i="2" s="1"/>
  <c r="E9" i="2"/>
  <c r="D9" i="2"/>
  <c r="C9" i="2"/>
  <c r="B9" i="2"/>
  <c r="E8" i="2"/>
  <c r="C8" i="2"/>
  <c r="B8" i="2"/>
  <c r="D8" i="2" s="1"/>
  <c r="B171" i="1"/>
  <c r="E170" i="1"/>
  <c r="C170" i="1"/>
  <c r="B170" i="1"/>
  <c r="D170" i="1" s="1"/>
  <c r="C169" i="1"/>
  <c r="C171" i="1" s="1"/>
  <c r="E171" i="1" s="1"/>
  <c r="E168" i="1"/>
  <c r="D168" i="1"/>
  <c r="E167" i="1"/>
  <c r="B167" i="1"/>
  <c r="D167" i="1" s="1"/>
  <c r="E166" i="1"/>
  <c r="C166" i="1"/>
  <c r="B166" i="1"/>
  <c r="D166" i="1" s="1"/>
  <c r="C165" i="1"/>
  <c r="E165" i="1" s="1"/>
  <c r="B165" i="1"/>
  <c r="D165" i="1" s="1"/>
  <c r="E164" i="1"/>
  <c r="D164" i="1"/>
  <c r="C164" i="1"/>
  <c r="B164" i="1"/>
  <c r="E163" i="1"/>
  <c r="D163" i="1"/>
  <c r="E162" i="1"/>
  <c r="D162" i="1"/>
  <c r="C162" i="1"/>
  <c r="B162" i="1"/>
  <c r="C161" i="1"/>
  <c r="B161" i="1"/>
  <c r="E161" i="1" s="1"/>
  <c r="C160" i="1"/>
  <c r="E160" i="1" s="1"/>
  <c r="B160" i="1"/>
  <c r="E158" i="1"/>
  <c r="D158" i="1"/>
  <c r="B158" i="1"/>
  <c r="E157" i="1"/>
  <c r="B157" i="1"/>
  <c r="D157" i="1" s="1"/>
  <c r="E156" i="1"/>
  <c r="C156" i="1"/>
  <c r="D156" i="1" s="1"/>
  <c r="B156" i="1"/>
  <c r="B159" i="1" s="1"/>
  <c r="C155" i="1"/>
  <c r="E155" i="1" s="1"/>
  <c r="B155" i="1"/>
  <c r="D155" i="1" s="1"/>
  <c r="E154" i="1"/>
  <c r="D154" i="1"/>
  <c r="C154" i="1"/>
  <c r="B154" i="1"/>
  <c r="E153" i="1"/>
  <c r="C153" i="1"/>
  <c r="D153" i="1" s="1"/>
  <c r="B153" i="1"/>
  <c r="E152" i="1"/>
  <c r="D152" i="1"/>
  <c r="C151" i="1"/>
  <c r="B151" i="1"/>
  <c r="E151" i="1" s="1"/>
  <c r="C150" i="1"/>
  <c r="E150" i="1" s="1"/>
  <c r="B150" i="1"/>
  <c r="C149" i="1"/>
  <c r="E149" i="1" s="1"/>
  <c r="B149" i="1"/>
  <c r="B148" i="1"/>
  <c r="C147" i="1"/>
  <c r="E147" i="1" s="1"/>
  <c r="B147" i="1"/>
  <c r="C146" i="1"/>
  <c r="E146" i="1" s="1"/>
  <c r="C145" i="1"/>
  <c r="E145" i="1" s="1"/>
  <c r="B145" i="1"/>
  <c r="E144" i="1"/>
  <c r="C144" i="1"/>
  <c r="B144" i="1"/>
  <c r="D144" i="1" s="1"/>
  <c r="C143" i="1"/>
  <c r="B143" i="1"/>
  <c r="E143" i="1" s="1"/>
  <c r="C142" i="1"/>
  <c r="C148" i="1" s="1"/>
  <c r="E148" i="1" s="1"/>
  <c r="E141" i="1"/>
  <c r="D141" i="1"/>
  <c r="C140" i="1"/>
  <c r="E140" i="1" s="1"/>
  <c r="B139" i="1"/>
  <c r="C138" i="1"/>
  <c r="C139" i="1" s="1"/>
  <c r="E139" i="1" s="1"/>
  <c r="E137" i="1"/>
  <c r="D137" i="1"/>
  <c r="C137" i="1"/>
  <c r="B137" i="1"/>
  <c r="E136" i="1"/>
  <c r="D136" i="1"/>
  <c r="C134" i="1"/>
  <c r="E134" i="1" s="1"/>
  <c r="B134" i="1"/>
  <c r="D134" i="1" s="1"/>
  <c r="C133" i="1"/>
  <c r="E133" i="1" s="1"/>
  <c r="B133" i="1"/>
  <c r="D133" i="1" s="1"/>
  <c r="C132" i="1"/>
  <c r="E132" i="1" s="1"/>
  <c r="B132" i="1"/>
  <c r="C131" i="1"/>
  <c r="E131" i="1" s="1"/>
  <c r="E130" i="1"/>
  <c r="C130" i="1"/>
  <c r="B130" i="1"/>
  <c r="D130" i="1" s="1"/>
  <c r="E129" i="1"/>
  <c r="D129" i="1"/>
  <c r="E128" i="1"/>
  <c r="D128" i="1"/>
  <c r="C128" i="1"/>
  <c r="C127" i="1"/>
  <c r="E127" i="1" s="1"/>
  <c r="B127" i="1"/>
  <c r="D127" i="1" s="1"/>
  <c r="C125" i="1"/>
  <c r="E125" i="1" s="1"/>
  <c r="B125" i="1"/>
  <c r="C124" i="1"/>
  <c r="C126" i="1" s="1"/>
  <c r="E126" i="1" s="1"/>
  <c r="B124" i="1"/>
  <c r="B126" i="1" s="1"/>
  <c r="E123" i="1"/>
  <c r="D123" i="1"/>
  <c r="E122" i="1"/>
  <c r="D122" i="1"/>
  <c r="C122" i="1"/>
  <c r="B122" i="1"/>
  <c r="E120" i="1"/>
  <c r="D120" i="1"/>
  <c r="C120" i="1"/>
  <c r="B120" i="1"/>
  <c r="E119" i="1"/>
  <c r="D119" i="1"/>
  <c r="C119" i="1"/>
  <c r="B119" i="1"/>
  <c r="E118" i="1"/>
  <c r="C118" i="1"/>
  <c r="C121" i="1" s="1"/>
  <c r="B118" i="1"/>
  <c r="D118" i="1" s="1"/>
  <c r="E117" i="1"/>
  <c r="D117" i="1"/>
  <c r="C115" i="1"/>
  <c r="E115" i="1" s="1"/>
  <c r="B115" i="1"/>
  <c r="C114" i="1"/>
  <c r="E114" i="1" s="1"/>
  <c r="B114" i="1"/>
  <c r="D114" i="1" s="1"/>
  <c r="C113" i="1"/>
  <c r="E113" i="1" s="1"/>
  <c r="B113" i="1"/>
  <c r="D113" i="1" s="1"/>
  <c r="E112" i="1"/>
  <c r="D112" i="1"/>
  <c r="B111" i="1"/>
  <c r="E110" i="1"/>
  <c r="D110" i="1"/>
  <c r="C110" i="1"/>
  <c r="C111" i="1" s="1"/>
  <c r="E111" i="1" s="1"/>
  <c r="B110" i="1"/>
  <c r="E109" i="1"/>
  <c r="D109" i="1"/>
  <c r="C108" i="1"/>
  <c r="E108" i="1" s="1"/>
  <c r="B108" i="1"/>
  <c r="D108" i="1" s="1"/>
  <c r="C107" i="1"/>
  <c r="E107" i="1" s="1"/>
  <c r="E106" i="1"/>
  <c r="D106" i="1"/>
  <c r="C106" i="1"/>
  <c r="E105" i="1"/>
  <c r="D105" i="1"/>
  <c r="C104" i="1"/>
  <c r="E104" i="1" s="1"/>
  <c r="B104" i="1"/>
  <c r="D104" i="1" s="1"/>
  <c r="C103" i="1"/>
  <c r="E103" i="1" s="1"/>
  <c r="B103" i="1"/>
  <c r="D103" i="1" s="1"/>
  <c r="C102" i="1"/>
  <c r="E102" i="1" s="1"/>
  <c r="B102" i="1"/>
  <c r="D102" i="1" s="1"/>
  <c r="C101" i="1"/>
  <c r="E101" i="1" s="1"/>
  <c r="B101" i="1"/>
  <c r="D101" i="1" s="1"/>
  <c r="B100" i="1"/>
  <c r="C99" i="1"/>
  <c r="C100" i="1" s="1"/>
  <c r="B99" i="1"/>
  <c r="D99" i="1" s="1"/>
  <c r="E98" i="1"/>
  <c r="D98" i="1"/>
  <c r="C94" i="1"/>
  <c r="C95" i="1" s="1"/>
  <c r="E95" i="1" s="1"/>
  <c r="B94" i="1"/>
  <c r="E93" i="1"/>
  <c r="C93" i="1"/>
  <c r="B93" i="1"/>
  <c r="B95" i="1" s="1"/>
  <c r="D90" i="1"/>
  <c r="C90" i="1"/>
  <c r="E90" i="1" s="1"/>
  <c r="B90" i="1"/>
  <c r="D87" i="1"/>
  <c r="C87" i="1"/>
  <c r="E87" i="1" s="1"/>
  <c r="B87" i="1"/>
  <c r="E86" i="1"/>
  <c r="C86" i="1"/>
  <c r="D86" i="1" s="1"/>
  <c r="C85" i="1"/>
  <c r="E85" i="1" s="1"/>
  <c r="B85" i="1"/>
  <c r="C84" i="1"/>
  <c r="E84" i="1" s="1"/>
  <c r="B84" i="1"/>
  <c r="D84" i="1" s="1"/>
  <c r="D83" i="1"/>
  <c r="C83" i="1"/>
  <c r="E83" i="1" s="1"/>
  <c r="C82" i="1"/>
  <c r="E82" i="1" s="1"/>
  <c r="B82" i="1"/>
  <c r="D82" i="1" s="1"/>
  <c r="C81" i="1"/>
  <c r="E81" i="1" s="1"/>
  <c r="B81" i="1"/>
  <c r="D81" i="1" s="1"/>
  <c r="C80" i="1"/>
  <c r="E80" i="1" s="1"/>
  <c r="C79" i="1"/>
  <c r="E79" i="1" s="1"/>
  <c r="B79" i="1"/>
  <c r="D79" i="1" s="1"/>
  <c r="E78" i="1"/>
  <c r="D78" i="1"/>
  <c r="C78" i="1"/>
  <c r="D77" i="1"/>
  <c r="C77" i="1"/>
  <c r="E77" i="1" s="1"/>
  <c r="D76" i="1"/>
  <c r="C76" i="1"/>
  <c r="E76" i="1" s="1"/>
  <c r="B76" i="1"/>
  <c r="C75" i="1"/>
  <c r="D75" i="1" s="1"/>
  <c r="B75" i="1"/>
  <c r="C74" i="1"/>
  <c r="E74" i="1" s="1"/>
  <c r="C73" i="1"/>
  <c r="E73" i="1" s="1"/>
  <c r="B73" i="1"/>
  <c r="C72" i="1"/>
  <c r="E72" i="1" s="1"/>
  <c r="B72" i="1"/>
  <c r="D72" i="1" s="1"/>
  <c r="C71" i="1"/>
  <c r="E71" i="1" s="1"/>
  <c r="B71" i="1"/>
  <c r="D71" i="1" s="1"/>
  <c r="C70" i="1"/>
  <c r="E70" i="1" s="1"/>
  <c r="B70" i="1"/>
  <c r="C69" i="1"/>
  <c r="E69" i="1" s="1"/>
  <c r="B69" i="1"/>
  <c r="D69" i="1" s="1"/>
  <c r="C68" i="1"/>
  <c r="E68" i="1" s="1"/>
  <c r="B68" i="1"/>
  <c r="D68" i="1" s="1"/>
  <c r="C67" i="1"/>
  <c r="E67" i="1" s="1"/>
  <c r="C66" i="1"/>
  <c r="E66" i="1" s="1"/>
  <c r="B66" i="1"/>
  <c r="D66" i="1" s="1"/>
  <c r="E65" i="1"/>
  <c r="D65" i="1"/>
  <c r="C65" i="1"/>
  <c r="D64" i="1"/>
  <c r="C64" i="1"/>
  <c r="E64" i="1" s="1"/>
  <c r="D63" i="1"/>
  <c r="C63" i="1"/>
  <c r="B63" i="1"/>
  <c r="E63" i="1" s="1"/>
  <c r="C62" i="1"/>
  <c r="E62" i="1" s="1"/>
  <c r="C61" i="1"/>
  <c r="E61" i="1" s="1"/>
  <c r="B61" i="1"/>
  <c r="D61" i="1" s="1"/>
  <c r="C60" i="1"/>
  <c r="E60" i="1" s="1"/>
  <c r="B60" i="1"/>
  <c r="C59" i="1"/>
  <c r="E59" i="1" s="1"/>
  <c r="E58" i="1"/>
  <c r="C58" i="1"/>
  <c r="B58" i="1"/>
  <c r="D58" i="1" s="1"/>
  <c r="E57" i="1"/>
  <c r="C57" i="1"/>
  <c r="B57" i="1"/>
  <c r="D57" i="1" s="1"/>
  <c r="C56" i="1"/>
  <c r="E56" i="1" s="1"/>
  <c r="D55" i="1"/>
  <c r="C55" i="1"/>
  <c r="E55" i="1" s="1"/>
  <c r="B55" i="1"/>
  <c r="D54" i="1"/>
  <c r="C54" i="1"/>
  <c r="E54" i="1" s="1"/>
  <c r="B54" i="1"/>
  <c r="E53" i="1"/>
  <c r="C53" i="1"/>
  <c r="B53" i="1"/>
  <c r="D53" i="1" s="1"/>
  <c r="D52" i="1"/>
  <c r="C52" i="1"/>
  <c r="E52" i="1" s="1"/>
  <c r="B52" i="1"/>
  <c r="D51" i="1"/>
  <c r="C51" i="1"/>
  <c r="E51" i="1" s="1"/>
  <c r="D50" i="1"/>
  <c r="C50" i="1"/>
  <c r="B50" i="1"/>
  <c r="E50" i="1" s="1"/>
  <c r="C49" i="1"/>
  <c r="E49" i="1" s="1"/>
  <c r="B49" i="1"/>
  <c r="D49" i="1" s="1"/>
  <c r="C48" i="1"/>
  <c r="E48" i="1" s="1"/>
  <c r="B48" i="1"/>
  <c r="D48" i="1" s="1"/>
  <c r="D47" i="1"/>
  <c r="C47" i="1"/>
  <c r="B47" i="1"/>
  <c r="E47" i="1" s="1"/>
  <c r="C46" i="1"/>
  <c r="E46" i="1" s="1"/>
  <c r="B46" i="1"/>
  <c r="D46" i="1" s="1"/>
  <c r="C45" i="1"/>
  <c r="C88" i="1" s="1"/>
  <c r="E44" i="1"/>
  <c r="D44" i="1"/>
  <c r="D42" i="1"/>
  <c r="C42" i="1"/>
  <c r="C43" i="1" s="1"/>
  <c r="B42" i="1"/>
  <c r="E41" i="1"/>
  <c r="D41" i="1"/>
  <c r="B41" i="1"/>
  <c r="B43" i="1" s="1"/>
  <c r="D43" i="1" s="1"/>
  <c r="E40" i="1"/>
  <c r="C40" i="1"/>
  <c r="E39" i="1"/>
  <c r="B39" i="1"/>
  <c r="D39" i="1" s="1"/>
  <c r="E38" i="1"/>
  <c r="B38" i="1"/>
  <c r="D38" i="1" s="1"/>
  <c r="E37" i="1"/>
  <c r="D37" i="1"/>
  <c r="C35" i="1"/>
  <c r="E35" i="1" s="1"/>
  <c r="B35" i="1"/>
  <c r="D35" i="1" s="1"/>
  <c r="C34" i="1"/>
  <c r="E34" i="1" s="1"/>
  <c r="B34" i="1"/>
  <c r="D34" i="1" s="1"/>
  <c r="E33" i="1"/>
  <c r="D33" i="1"/>
  <c r="C33" i="1"/>
  <c r="B33" i="1"/>
  <c r="B36" i="1" s="1"/>
  <c r="C32" i="1"/>
  <c r="D32" i="1" s="1"/>
  <c r="C31" i="1"/>
  <c r="E31" i="1" s="1"/>
  <c r="E30" i="1"/>
  <c r="D30" i="1"/>
  <c r="E29" i="1"/>
  <c r="D29" i="1"/>
  <c r="C29" i="1"/>
  <c r="B29" i="1"/>
  <c r="E28" i="1"/>
  <c r="D28" i="1"/>
  <c r="E27" i="1"/>
  <c r="C27" i="1"/>
  <c r="B27" i="1"/>
  <c r="D27" i="1" s="1"/>
  <c r="C25" i="1"/>
  <c r="E25" i="1" s="1"/>
  <c r="B25" i="1"/>
  <c r="D25" i="1" s="1"/>
  <c r="E24" i="1"/>
  <c r="D24" i="1"/>
  <c r="B24" i="1"/>
  <c r="E23" i="1"/>
  <c r="D23" i="1"/>
  <c r="C22" i="1"/>
  <c r="E22" i="1" s="1"/>
  <c r="B22" i="1"/>
  <c r="C21" i="1"/>
  <c r="E21" i="1" s="1"/>
  <c r="E20" i="1"/>
  <c r="D20" i="1"/>
  <c r="C20" i="1"/>
  <c r="D19" i="1"/>
  <c r="C19" i="1"/>
  <c r="E19" i="1" s="1"/>
  <c r="B19" i="1"/>
  <c r="E18" i="1"/>
  <c r="C18" i="1"/>
  <c r="B18" i="1"/>
  <c r="D18" i="1" s="1"/>
  <c r="D16" i="1"/>
  <c r="C16" i="1"/>
  <c r="C17" i="1" s="1"/>
  <c r="B16" i="1"/>
  <c r="E15" i="1"/>
  <c r="C15" i="1"/>
  <c r="B15" i="1"/>
  <c r="B17" i="1" s="1"/>
  <c r="E14" i="1"/>
  <c r="D14" i="1"/>
  <c r="E13" i="1"/>
  <c r="D13" i="1"/>
  <c r="C12" i="1"/>
  <c r="E11" i="1"/>
  <c r="C11" i="1"/>
  <c r="B11" i="1"/>
  <c r="B12" i="1" s="1"/>
  <c r="D10" i="1"/>
  <c r="C10" i="1"/>
  <c r="E10" i="1" s="1"/>
  <c r="B10" i="1"/>
  <c r="C9" i="1"/>
  <c r="D9" i="1" s="1"/>
  <c r="E8" i="1"/>
  <c r="D8" i="1"/>
  <c r="G6" i="7" l="1"/>
  <c r="C14" i="7"/>
  <c r="G14" i="7" s="1"/>
  <c r="G23" i="6"/>
  <c r="G9" i="6"/>
  <c r="G7" i="6"/>
  <c r="D29" i="5"/>
  <c r="E67" i="5"/>
  <c r="D48" i="5"/>
  <c r="B59" i="5"/>
  <c r="B30" i="5"/>
  <c r="D58" i="5"/>
  <c r="C16" i="5"/>
  <c r="C59" i="5"/>
  <c r="D10" i="5"/>
  <c r="D50" i="5"/>
  <c r="D63" i="5"/>
  <c r="E50" i="5"/>
  <c r="E63" i="5"/>
  <c r="B35" i="5"/>
  <c r="C35" i="5"/>
  <c r="E35" i="5" s="1"/>
  <c r="D22" i="5"/>
  <c r="D47" i="5"/>
  <c r="E22" i="5"/>
  <c r="E47" i="5"/>
  <c r="D9" i="4"/>
  <c r="B49" i="4"/>
  <c r="D49" i="4" s="1"/>
  <c r="C49" i="4"/>
  <c r="E49" i="4" s="1"/>
  <c r="D53" i="4"/>
  <c r="E53" i="4"/>
  <c r="D10" i="4"/>
  <c r="D17" i="4"/>
  <c r="B14" i="4"/>
  <c r="C14" i="4"/>
  <c r="D38" i="4"/>
  <c r="D52" i="4"/>
  <c r="E85" i="3"/>
  <c r="E139" i="3"/>
  <c r="E131" i="3"/>
  <c r="D128" i="3"/>
  <c r="D32" i="3"/>
  <c r="E111" i="3"/>
  <c r="D106" i="3"/>
  <c r="E32" i="3"/>
  <c r="C82" i="3"/>
  <c r="E82" i="3" s="1"/>
  <c r="D162" i="3"/>
  <c r="D17" i="3"/>
  <c r="B24" i="3"/>
  <c r="D103" i="3"/>
  <c r="E17" i="3"/>
  <c r="C24" i="3"/>
  <c r="E24" i="3" s="1"/>
  <c r="E90" i="3"/>
  <c r="E121" i="3"/>
  <c r="D56" i="3"/>
  <c r="D66" i="3"/>
  <c r="D73" i="3"/>
  <c r="D105" i="3"/>
  <c r="D119" i="3"/>
  <c r="D122" i="3"/>
  <c r="D136" i="3"/>
  <c r="D142" i="3"/>
  <c r="D30" i="3"/>
  <c r="D53" i="3"/>
  <c r="D63" i="3"/>
  <c r="D83" i="3"/>
  <c r="E105" i="3"/>
  <c r="E136" i="3"/>
  <c r="C163" i="3"/>
  <c r="D167" i="3"/>
  <c r="C12" i="3"/>
  <c r="E30" i="3"/>
  <c r="D70" i="3"/>
  <c r="D77" i="3"/>
  <c r="E83" i="3"/>
  <c r="D102" i="3"/>
  <c r="D160" i="3"/>
  <c r="E167" i="3"/>
  <c r="D12" i="3"/>
  <c r="E160" i="3"/>
  <c r="D9" i="3"/>
  <c r="D41" i="3"/>
  <c r="C81" i="3"/>
  <c r="E81" i="3" s="1"/>
  <c r="D84" i="3"/>
  <c r="D88" i="3"/>
  <c r="D130" i="3"/>
  <c r="D134" i="3"/>
  <c r="B150" i="3"/>
  <c r="D35" i="3"/>
  <c r="E120" i="3"/>
  <c r="E130" i="3"/>
  <c r="C150" i="3"/>
  <c r="E150" i="3" s="1"/>
  <c r="D96" i="3"/>
  <c r="D99" i="3"/>
  <c r="D161" i="3"/>
  <c r="E124" i="3"/>
  <c r="D166" i="3"/>
  <c r="B49" i="2"/>
  <c r="B50" i="2" s="1"/>
  <c r="C13" i="2"/>
  <c r="D27" i="2"/>
  <c r="D30" i="2"/>
  <c r="C49" i="2"/>
  <c r="E49" i="2" s="1"/>
  <c r="D13" i="2"/>
  <c r="D25" i="2"/>
  <c r="D32" i="2"/>
  <c r="D159" i="1"/>
  <c r="D139" i="1"/>
  <c r="D12" i="1"/>
  <c r="D148" i="1"/>
  <c r="D111" i="1"/>
  <c r="E121" i="1"/>
  <c r="C172" i="1"/>
  <c r="E100" i="1"/>
  <c r="D100" i="1"/>
  <c r="E43" i="1"/>
  <c r="E17" i="1"/>
  <c r="C26" i="1"/>
  <c r="D17" i="1"/>
  <c r="B26" i="1"/>
  <c r="D26" i="1" s="1"/>
  <c r="D95" i="1"/>
  <c r="D126" i="1"/>
  <c r="D171" i="1"/>
  <c r="E42" i="1"/>
  <c r="D62" i="1"/>
  <c r="D85" i="1"/>
  <c r="D21" i="1"/>
  <c r="E32" i="1"/>
  <c r="D59" i="1"/>
  <c r="E75" i="1"/>
  <c r="D107" i="1"/>
  <c r="B121" i="1"/>
  <c r="D121" i="1" s="1"/>
  <c r="D124" i="1"/>
  <c r="D131" i="1"/>
  <c r="D151" i="1"/>
  <c r="D161" i="1"/>
  <c r="B40" i="1"/>
  <c r="D40" i="1" s="1"/>
  <c r="D56" i="1"/>
  <c r="E124" i="1"/>
  <c r="D138" i="1"/>
  <c r="D142" i="1"/>
  <c r="D145" i="1"/>
  <c r="D11" i="1"/>
  <c r="D15" i="1"/>
  <c r="C36" i="1"/>
  <c r="D93" i="1"/>
  <c r="B135" i="1"/>
  <c r="D135" i="1" s="1"/>
  <c r="E138" i="1"/>
  <c r="E142" i="1"/>
  <c r="D169" i="1"/>
  <c r="C159" i="1"/>
  <c r="E159" i="1" s="1"/>
  <c r="E169" i="1"/>
  <c r="C135" i="1"/>
  <c r="D22" i="1"/>
  <c r="D60" i="1"/>
  <c r="D67" i="1"/>
  <c r="D70" i="1"/>
  <c r="D73" i="1"/>
  <c r="D80" i="1"/>
  <c r="D115" i="1"/>
  <c r="D125" i="1"/>
  <c r="D132" i="1"/>
  <c r="D146" i="1"/>
  <c r="D149" i="1"/>
  <c r="D143" i="1"/>
  <c r="D94" i="1"/>
  <c r="B116" i="1"/>
  <c r="D116" i="1" s="1"/>
  <c r="E9" i="1"/>
  <c r="E12" i="1"/>
  <c r="E16" i="1"/>
  <c r="D45" i="1"/>
  <c r="D74" i="1"/>
  <c r="E94" i="1"/>
  <c r="C116" i="1"/>
  <c r="D31" i="1"/>
  <c r="E45" i="1"/>
  <c r="B88" i="1"/>
  <c r="D88" i="1" s="1"/>
  <c r="D140" i="1"/>
  <c r="D147" i="1"/>
  <c r="D150" i="1"/>
  <c r="D160" i="1"/>
  <c r="E99" i="1"/>
  <c r="C60" i="5" l="1"/>
  <c r="E59" i="5"/>
  <c r="E16" i="5"/>
  <c r="C30" i="5"/>
  <c r="D16" i="5"/>
  <c r="B39" i="5"/>
  <c r="D30" i="5"/>
  <c r="B60" i="5"/>
  <c r="D59" i="5"/>
  <c r="D35" i="5"/>
  <c r="B19" i="4"/>
  <c r="D14" i="4"/>
  <c r="C19" i="4"/>
  <c r="E14" i="4"/>
  <c r="D150" i="3"/>
  <c r="B163" i="3"/>
  <c r="D163" i="3" s="1"/>
  <c r="D81" i="3"/>
  <c r="D24" i="3"/>
  <c r="B86" i="3"/>
  <c r="C86" i="3"/>
  <c r="E12" i="3"/>
  <c r="D82" i="3"/>
  <c r="B51" i="2"/>
  <c r="C18" i="2"/>
  <c r="E13" i="2"/>
  <c r="D49" i="2"/>
  <c r="E36" i="1"/>
  <c r="C89" i="1"/>
  <c r="B172" i="1"/>
  <c r="D172" i="1" s="1"/>
  <c r="E88" i="1"/>
  <c r="E135" i="1"/>
  <c r="E26" i="1"/>
  <c r="C91" i="1"/>
  <c r="E172" i="1"/>
  <c r="D36" i="1"/>
  <c r="B89" i="1"/>
  <c r="D89" i="1" s="1"/>
  <c r="E116" i="1"/>
  <c r="D39" i="5" l="1"/>
  <c r="B68" i="5"/>
  <c r="D60" i="5"/>
  <c r="C39" i="5"/>
  <c r="E39" i="5" s="1"/>
  <c r="E30" i="5"/>
  <c r="C68" i="5"/>
  <c r="E68" i="5" s="1"/>
  <c r="E60" i="5"/>
  <c r="C50" i="4"/>
  <c r="E19" i="4"/>
  <c r="D19" i="4"/>
  <c r="B50" i="4"/>
  <c r="B91" i="3"/>
  <c r="D86" i="3"/>
  <c r="C91" i="3"/>
  <c r="E86" i="3"/>
  <c r="E163" i="3"/>
  <c r="E18" i="2"/>
  <c r="C50" i="2"/>
  <c r="D18" i="2"/>
  <c r="E91" i="1"/>
  <c r="C96" i="1"/>
  <c r="B91" i="1"/>
  <c r="E89" i="1"/>
  <c r="D68" i="5" l="1"/>
  <c r="B55" i="4"/>
  <c r="D50" i="4"/>
  <c r="C55" i="4"/>
  <c r="E55" i="4" s="1"/>
  <c r="E50" i="4"/>
  <c r="C164" i="3"/>
  <c r="E91" i="3"/>
  <c r="B164" i="3"/>
  <c r="D91" i="3"/>
  <c r="C51" i="2"/>
  <c r="E50" i="2"/>
  <c r="D50" i="2"/>
  <c r="D91" i="1"/>
  <c r="B96" i="1"/>
  <c r="C173" i="1"/>
  <c r="E96" i="1"/>
  <c r="D55" i="4" l="1"/>
  <c r="B169" i="3"/>
  <c r="D164" i="3"/>
  <c r="C169" i="3"/>
  <c r="E169" i="3" s="1"/>
  <c r="E164" i="3"/>
  <c r="E51" i="2"/>
  <c r="D51" i="2"/>
  <c r="C174" i="1"/>
  <c r="E174" i="1" s="1"/>
  <c r="E173" i="1"/>
  <c r="B173" i="1"/>
  <c r="D96" i="1"/>
  <c r="D169" i="3" l="1"/>
  <c r="B174" i="1"/>
  <c r="D174" i="1" s="1"/>
  <c r="D173" i="1"/>
</calcChain>
</file>

<file path=xl/sharedStrings.xml><?xml version="1.0" encoding="utf-8"?>
<sst xmlns="http://schemas.openxmlformats.org/spreadsheetml/2006/main" count="737" uniqueCount="379">
  <si>
    <t>Total</t>
  </si>
  <si>
    <t>Actual</t>
  </si>
  <si>
    <t>Budget</t>
  </si>
  <si>
    <t>over Budget</t>
  </si>
  <si>
    <t>% of Budget</t>
  </si>
  <si>
    <t>Revenue</t>
  </si>
  <si>
    <t xml:space="preserve">   4200 Grants</t>
  </si>
  <si>
    <t xml:space="preserve">      8006 State of Alaska</t>
  </si>
  <si>
    <t xml:space="preserve">      8032 4110 City of Valdez</t>
  </si>
  <si>
    <t xml:space="preserve">      8033 Foundation</t>
  </si>
  <si>
    <t xml:space="preserve">   Total 4200 Grants</t>
  </si>
  <si>
    <t xml:space="preserve">   8003 Fund Development</t>
  </si>
  <si>
    <t xml:space="preserve">      4030 Donations Income</t>
  </si>
  <si>
    <t xml:space="preserve">         8002 Unrestricted</t>
  </si>
  <si>
    <t xml:space="preserve">         8062 6145 In-Kind Income</t>
  </si>
  <si>
    <t xml:space="preserve">      Total 4030 Donations Income</t>
  </si>
  <si>
    <t xml:space="preserve">      8004 Corporate Sponsorship</t>
  </si>
  <si>
    <t xml:space="preserve">      8021 Annual Appeal</t>
  </si>
  <si>
    <t xml:space="preserve">      8022 Raffle</t>
  </si>
  <si>
    <t xml:space="preserve">      8060 Roadhouse Dinner</t>
  </si>
  <si>
    <t xml:space="preserve">      8061 Membership</t>
  </si>
  <si>
    <t xml:space="preserve">      8152 Fundraising</t>
  </si>
  <si>
    <t xml:space="preserve">         8023 Designated</t>
  </si>
  <si>
    <t xml:space="preserve">      Total 8152 Fundraising</t>
  </si>
  <si>
    <t xml:space="preserve">   Total 8003 Fund Development</t>
  </si>
  <si>
    <t xml:space="preserve">   8011 Reimbursed Expenses</t>
  </si>
  <si>
    <t xml:space="preserve">   8024 Earned Revenue</t>
  </si>
  <si>
    <t xml:space="preserve">      4110 Shipping and Delivery Income</t>
  </si>
  <si>
    <t xml:space="preserve">      4120 Museum Fees</t>
  </si>
  <si>
    <t xml:space="preserve">         80011 Presenter &amp; Guide Income</t>
  </si>
  <si>
    <t xml:space="preserve">         8009 Admission Fees - Tour/Bulk</t>
  </si>
  <si>
    <t xml:space="preserve">         8010 Archival Fees</t>
  </si>
  <si>
    <t xml:space="preserve">         8026 Admissions - General</t>
  </si>
  <si>
    <t xml:space="preserve">         8159 Space Rental</t>
  </si>
  <si>
    <t xml:space="preserve">      Total 4120 Museum Fees</t>
  </si>
  <si>
    <t xml:space="preserve">      48600 Service Sales</t>
  </si>
  <si>
    <t xml:space="preserve">         486001 Shipping</t>
  </si>
  <si>
    <t xml:space="preserve">         Services</t>
  </si>
  <si>
    <t xml:space="preserve">      Total 48600 Service Sales</t>
  </si>
  <si>
    <t xml:space="preserve">      8025 Program Fees</t>
  </si>
  <si>
    <t xml:space="preserve">         8025.1 Enrollment Fees</t>
  </si>
  <si>
    <t xml:space="preserve">      Total 8025 Program Fees</t>
  </si>
  <si>
    <t xml:space="preserve">      8027 Store Sales</t>
  </si>
  <si>
    <t xml:space="preserve">         8012 Cards</t>
  </si>
  <si>
    <t xml:space="preserve">         8013 Books</t>
  </si>
  <si>
    <t xml:space="preserve">         8014 Childrens Books</t>
  </si>
  <si>
    <t xml:space="preserve">         8015 Gallery Sales</t>
  </si>
  <si>
    <t xml:space="preserve">         8017 Other Items</t>
  </si>
  <si>
    <t xml:space="preserve">         8029 Fundraising</t>
  </si>
  <si>
    <t xml:space="preserve">         8063 Copies/Fax</t>
  </si>
  <si>
    <t xml:space="preserve">         8164 Miscellaneous</t>
  </si>
  <si>
    <t xml:space="preserve">         8165 Audio/Video</t>
  </si>
  <si>
    <t xml:space="preserve">         8166 Post Cards</t>
  </si>
  <si>
    <t xml:space="preserve">         8167 Plush/Puppets</t>
  </si>
  <si>
    <t xml:space="preserve">         Art</t>
  </si>
  <si>
    <t xml:space="preserve">         Art Supplies</t>
  </si>
  <si>
    <t xml:space="preserve">         Body &amp; Bath Products</t>
  </si>
  <si>
    <t xml:space="preserve">         Bookmark</t>
  </si>
  <si>
    <t xml:space="preserve">         Candy</t>
  </si>
  <si>
    <t xml:space="preserve">         Childrens Toys</t>
  </si>
  <si>
    <t xml:space="preserve">         Clothing</t>
  </si>
  <si>
    <t xml:space="preserve">         Discount Income</t>
  </si>
  <si>
    <t xml:space="preserve">         Dog Toys&amp; Treats</t>
  </si>
  <si>
    <t xml:space="preserve">         Dolls</t>
  </si>
  <si>
    <t xml:space="preserve">         Food</t>
  </si>
  <si>
    <t xml:space="preserve">         Gold Vials</t>
  </si>
  <si>
    <t xml:space="preserve">         Jewelry</t>
  </si>
  <si>
    <t xml:space="preserve">         Key Chain</t>
  </si>
  <si>
    <t xml:space="preserve">         Kitchen Items</t>
  </si>
  <si>
    <t xml:space="preserve">         Magnet</t>
  </si>
  <si>
    <t xml:space="preserve">         Maps</t>
  </si>
  <si>
    <t xml:space="preserve">         Moosey Chews</t>
  </si>
  <si>
    <t xml:space="preserve">         Mugs</t>
  </si>
  <si>
    <t xml:space="preserve">         Ornament</t>
  </si>
  <si>
    <t xml:space="preserve">         Playing cards</t>
  </si>
  <si>
    <t xml:space="preserve">         Plush</t>
  </si>
  <si>
    <t xml:space="preserve">         Print</t>
  </si>
  <si>
    <t xml:space="preserve">         Sales of Product Income</t>
  </si>
  <si>
    <t xml:space="preserve">         Scarves</t>
  </si>
  <si>
    <t xml:space="preserve">         Seeds</t>
  </si>
  <si>
    <t xml:space="preserve">         Stickers</t>
  </si>
  <si>
    <t xml:space="preserve">         Suncatcher</t>
  </si>
  <si>
    <t xml:space="preserve">         Tote Bag</t>
  </si>
  <si>
    <t xml:space="preserve">         Ulu</t>
  </si>
  <si>
    <t xml:space="preserve">         Umbrella</t>
  </si>
  <si>
    <t xml:space="preserve">         Zipper Pulls</t>
  </si>
  <si>
    <t xml:space="preserve">      Total 8027 Store Sales</t>
  </si>
  <si>
    <t xml:space="preserve">   Total 8024 Earned Revenue</t>
  </si>
  <si>
    <t xml:space="preserve">   8501 7015 Interest Income</t>
  </si>
  <si>
    <t>Total Revenue</t>
  </si>
  <si>
    <t>Cost of Goods Sold</t>
  </si>
  <si>
    <t xml:space="preserve">   8101 Cost of Goods Sold</t>
  </si>
  <si>
    <t xml:space="preserve">   8102 Gallery Commission</t>
  </si>
  <si>
    <t>Total Cost of Goods Sold</t>
  </si>
  <si>
    <t>Gross Profit</t>
  </si>
  <si>
    <t>Expenditures</t>
  </si>
  <si>
    <t xml:space="preserve">   6185 Insurance</t>
  </si>
  <si>
    <t xml:space="preserve">      8137 Liability Insurance</t>
  </si>
  <si>
    <t xml:space="preserve">   Total 6185 Insurance</t>
  </si>
  <si>
    <t xml:space="preserve">   8036 Fundraising Expenses</t>
  </si>
  <si>
    <t xml:space="preserve">   8036.1 Membership</t>
  </si>
  <si>
    <t xml:space="preserve">   8037 IT Services</t>
  </si>
  <si>
    <t xml:space="preserve">   8039 Education</t>
  </si>
  <si>
    <t xml:space="preserve">   8040 Collections</t>
  </si>
  <si>
    <t xml:space="preserve">      8042 Collections Supplies</t>
  </si>
  <si>
    <t xml:space="preserve">      8043 Acquisitions</t>
  </si>
  <si>
    <t xml:space="preserve">   Total 8040 Collections</t>
  </si>
  <si>
    <t xml:space="preserve">   8047 Janitoral Services</t>
  </si>
  <si>
    <t xml:space="preserve">      8114 General Janitoral</t>
  </si>
  <si>
    <t xml:space="preserve">   Total 8047 Janitoral Services</t>
  </si>
  <si>
    <t xml:space="preserve">   8048 Utilities</t>
  </si>
  <si>
    <t xml:space="preserve">      8115 Electric</t>
  </si>
  <si>
    <t xml:space="preserve">      8116 Heating Oil</t>
  </si>
  <si>
    <t xml:space="preserve">      8117 Water</t>
  </si>
  <si>
    <t xml:space="preserve">   Total 8048 Utilities</t>
  </si>
  <si>
    <t xml:space="preserve">   8049 Supplies</t>
  </si>
  <si>
    <t xml:space="preserve">      8125 Technology</t>
  </si>
  <si>
    <t xml:space="preserve">      8126 Office Supplies</t>
  </si>
  <si>
    <t xml:space="preserve">      8127 Operating</t>
  </si>
  <si>
    <t xml:space="preserve">   Total 8049 Supplies</t>
  </si>
  <si>
    <t xml:space="preserve">   8053 Advertising/Marketing</t>
  </si>
  <si>
    <t xml:space="preserve">   8056 Travel</t>
  </si>
  <si>
    <t xml:space="preserve">      8142 Meals</t>
  </si>
  <si>
    <t xml:space="preserve">      8143 Travel</t>
  </si>
  <si>
    <t xml:space="preserve">   Total 8056 Travel</t>
  </si>
  <si>
    <t xml:space="preserve">   8058 Public Programs</t>
  </si>
  <si>
    <t xml:space="preserve">   8059 Contingency</t>
  </si>
  <si>
    <t xml:space="preserve">   8103 Personnel Expenses</t>
  </si>
  <si>
    <t xml:space="preserve">      8104 Salaries &amp; Wages</t>
  </si>
  <si>
    <t xml:space="preserve">      8105 ESC Payroll Tax</t>
  </si>
  <si>
    <t xml:space="preserve">      8106 FICA Payroll Tax</t>
  </si>
  <si>
    <t xml:space="preserve">      8107 403(b) - Employer</t>
  </si>
  <si>
    <t xml:space="preserve">      8108 Health Insurance</t>
  </si>
  <si>
    <t xml:space="preserve">   Total 8103 Personnel Expenses</t>
  </si>
  <si>
    <t xml:space="preserve">   8110 Professional Fees</t>
  </si>
  <si>
    <t xml:space="preserve">      8045 Accounting</t>
  </si>
  <si>
    <t xml:space="preserve">      8046 Consulting</t>
  </si>
  <si>
    <t xml:space="preserve">   Total 8110 Professional Fees</t>
  </si>
  <si>
    <t xml:space="preserve">   8113 Vehicle Expense</t>
  </si>
  <si>
    <t xml:space="preserve">   8118 Telephone</t>
  </si>
  <si>
    <t xml:space="preserve">      8119 Fax</t>
  </si>
  <si>
    <t xml:space="preserve">      8120 Internet</t>
  </si>
  <si>
    <t xml:space="preserve">      8121 Local Service</t>
  </si>
  <si>
    <t xml:space="preserve">      8122 Long Distance</t>
  </si>
  <si>
    <t xml:space="preserve">      8124 Conference Line</t>
  </si>
  <si>
    <t xml:space="preserve">      Cell Phone</t>
  </si>
  <si>
    <t xml:space="preserve">   Total 8118 Telephone</t>
  </si>
  <si>
    <t xml:space="preserve">   8123 Postage and Delivery</t>
  </si>
  <si>
    <t xml:space="preserve">   8130 Dues and Subscriptions</t>
  </si>
  <si>
    <t xml:space="preserve">   8131 Printing and Reproduction</t>
  </si>
  <si>
    <t xml:space="preserve">   8134 Rent</t>
  </si>
  <si>
    <t xml:space="preserve">      8055 Building Lease</t>
  </si>
  <si>
    <t xml:space="preserve">      8056.1 Storage Rent</t>
  </si>
  <si>
    <t xml:space="preserve">   Total 8134 Rent</t>
  </si>
  <si>
    <t xml:space="preserve">   8138 Credit Card Fees</t>
  </si>
  <si>
    <t xml:space="preserve">      QuickBooks Payments Fees</t>
  </si>
  <si>
    <t xml:space="preserve">      Square Fees</t>
  </si>
  <si>
    <t xml:space="preserve">   Total 8138 Credit Card Fees</t>
  </si>
  <si>
    <t xml:space="preserve">   8139 Bank Service Charges</t>
  </si>
  <si>
    <t xml:space="preserve">   8144 Training &amp; Education</t>
  </si>
  <si>
    <t xml:space="preserve">   8145 Licenses and Permits</t>
  </si>
  <si>
    <t xml:space="preserve">   8148 Contributions</t>
  </si>
  <si>
    <t xml:space="preserve">      8057 In-Kind Expenses</t>
  </si>
  <si>
    <t xml:space="preserve">   Total 8148 Contributions</t>
  </si>
  <si>
    <t xml:space="preserve">   9002 Freight and Shipping Costs</t>
  </si>
  <si>
    <t xml:space="preserve">   Bad Debts</t>
  </si>
  <si>
    <t xml:space="preserve">   Exhibits</t>
  </si>
  <si>
    <t xml:space="preserve">      8051 Permanent Exhibits</t>
  </si>
  <si>
    <t xml:space="preserve">      8052 Temporary Exhibits</t>
  </si>
  <si>
    <t xml:space="preserve">   Total Exhibits</t>
  </si>
  <si>
    <t>Total Expenditures</t>
  </si>
  <si>
    <t>Net Operating Revenue</t>
  </si>
  <si>
    <t>Net Revenue</t>
  </si>
  <si>
    <t>Monday, May 08, 2023 10:49:40 AM GMT-7 - Accrual Basis</t>
  </si>
  <si>
    <t>VALDEZ MUSEUM &amp; HISTORICAL ARCHIVE ASSOCIATION, IN</t>
  </si>
  <si>
    <t xml:space="preserve">Budget vs. Actuals: FY-2023 - FY23 P&amp;L </t>
  </si>
  <si>
    <t>January - December 2023</t>
  </si>
  <si>
    <t>Monday, May 08, 2023 10:53:44 AM GMT-7 - Accrual Basis</t>
  </si>
  <si>
    <t>Statement of Activity Comparison</t>
  </si>
  <si>
    <t>January - April, 2023</t>
  </si>
  <si>
    <t>Jan - Apr, 2023</t>
  </si>
  <si>
    <t>Jan - Apr, 2022 (PY)</t>
  </si>
  <si>
    <t>Change</t>
  </si>
  <si>
    <t>% Change</t>
  </si>
  <si>
    <t xml:space="preserve">   8008 Miscellaneous Income</t>
  </si>
  <si>
    <t xml:space="preserve">         Admissions - General</t>
  </si>
  <si>
    <t xml:space="preserve">      Phyllis Irish Memorial Fund CD</t>
  </si>
  <si>
    <t xml:space="preserve">   Total 8501 7015 Interest Income</t>
  </si>
  <si>
    <t xml:space="preserve">      8043.1 Intern</t>
  </si>
  <si>
    <t>Other Expenditures</t>
  </si>
  <si>
    <t xml:space="preserve">   Reconciliation Discrepancies-1</t>
  </si>
  <si>
    <t>Total Other Expenditures</t>
  </si>
  <si>
    <t>Net Other Revenue</t>
  </si>
  <si>
    <t>Monday, May 08, 2023 10:55:43 AM GMT-7 - Accrual Basis</t>
  </si>
  <si>
    <t>Monday, May 08, 2023 10:57:29 AM GMT-7 - Accrual Basis</t>
  </si>
  <si>
    <t xml:space="preserve">Statement of Financial Position Comparison </t>
  </si>
  <si>
    <t>As of April 30, 2023</t>
  </si>
  <si>
    <t>As of Apr 30, 2023</t>
  </si>
  <si>
    <t>As of Apr 30, 2022 (PY)</t>
  </si>
  <si>
    <t>ASSETS</t>
  </si>
  <si>
    <t xml:space="preserve">   Current Assets</t>
  </si>
  <si>
    <t xml:space="preserve">      Bank Accounts</t>
  </si>
  <si>
    <t xml:space="preserve">         1003 WF Merchant Services Account</t>
  </si>
  <si>
    <t xml:space="preserve">         1021 CD 61215021 -Phyllis Irish</t>
  </si>
  <si>
    <t xml:space="preserve">         1022 10950 Cash in Drawer</t>
  </si>
  <si>
    <t xml:space="preserve">         1024 1st National Savings</t>
  </si>
  <si>
    <t xml:space="preserve">         1025 1st National  Operating</t>
  </si>
  <si>
    <t xml:space="preserve">         1026 1st National Gaming</t>
  </si>
  <si>
    <t xml:space="preserve">      Total Bank Accounts</t>
  </si>
  <si>
    <t xml:space="preserve">      Accounts Receivable</t>
  </si>
  <si>
    <t xml:space="preserve">         102 Accounts Receivable (AR)</t>
  </si>
  <si>
    <t xml:space="preserve">         1501 Accounts Receivable</t>
  </si>
  <si>
    <t xml:space="preserve">      Total Accounts Receivable</t>
  </si>
  <si>
    <t xml:space="preserve">      Other Current Assets</t>
  </si>
  <si>
    <t xml:space="preserve">         1017 Undeposited Funds</t>
  </si>
  <si>
    <t xml:space="preserve">         1502 Museum Endowment Fund</t>
  </si>
  <si>
    <t xml:space="preserve">         2002 1120 Inventory Asset</t>
  </si>
  <si>
    <t xml:space="preserve">         2501 Prepaid Insurance</t>
  </si>
  <si>
    <t xml:space="preserve">         8132 Cash Reserves</t>
  </si>
  <si>
    <t xml:space="preserve">         Cash on Hand</t>
  </si>
  <si>
    <t xml:space="preserve">         Uncategorized Asset</t>
  </si>
  <si>
    <t xml:space="preserve">      Total Other Current Assets</t>
  </si>
  <si>
    <t xml:space="preserve">   Total Current Assets</t>
  </si>
  <si>
    <t xml:space="preserve">   Fixed Assets</t>
  </si>
  <si>
    <t xml:space="preserve">      4000 Construction in Progress</t>
  </si>
  <si>
    <t xml:space="preserve">      4001 Fixed Assets</t>
  </si>
  <si>
    <t xml:space="preserve">      4002 Lifeboat Shelter Asset</t>
  </si>
  <si>
    <t xml:space="preserve">   Total Fixed Assets</t>
  </si>
  <si>
    <t xml:space="preserve">   Other Assets</t>
  </si>
  <si>
    <t xml:space="preserve">      Merchandise Inventory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</si>
  <si>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</si>
  <si>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</si>
  <si>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</si>
  <si>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</si>
  <si>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</si>
  <si>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</si>
  <si>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5501 2000 Accounts Payable</t>
  </si>
  <si>
    <t xml:space="preserve">         Total Accounts Payable</t>
  </si>
  <si>
    <t xml:space="preserve">         Credit Cards</t>
  </si>
  <si>
    <t xml:space="preserve">            5505 Bank of America  Business Card</t>
  </si>
  <si>
    <t xml:space="preserve">         Total Credit Cards</t>
  </si>
  <si>
    <t xml:space="preserve">         Other Current Liabilities</t>
  </si>
  <si>
    <t xml:space="preserve">            25100 Employee Tips Payable</t>
  </si>
  <si>
    <t xml:space="preserve">            5503 Loss on Disposal of Assets</t>
  </si>
  <si>
    <t xml:space="preserve">            5504 24700 Customer Deposits</t>
  </si>
  <si>
    <t xml:space="preserve">            6002 Leave Payable</t>
  </si>
  <si>
    <t xml:space="preserve">            6003 2100 Payroll Liabilities</t>
  </si>
  <si>
    <t xml:space="preserve">            6601 Deferred Revenue</t>
  </si>
  <si>
    <t xml:space="preserve">            Direct Deposit Payable</t>
  </si>
  <si>
    <t xml:space="preserve">            Payroll Liabilities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</si>
  <si>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</si>
  <si>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</si>
  <si>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</si>
  <si>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</si>
  <si>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3000 Opening Bal Equity</t>
  </si>
  <si>
    <t xml:space="preserve">      7502 3900 Retained Earnings</t>
  </si>
  <si>
    <t xml:space="preserve">      7503 Museum Endowment Fund Equity</t>
  </si>
  <si>
    <t xml:space="preserve">      8079 Contributed Capital</t>
  </si>
  <si>
    <t xml:space="preserve">      Net Revenue</t>
  </si>
  <si>
    <t xml:space="preserve">   Total Equity</t>
  </si>
  <si>
    <t>TOTAL LIABILITIES AND EQUITY</t>
  </si>
  <si>
    <t>Monday, May 08, 2023 10:59:40 AM GMT-7 - Accrual Basis</t>
  </si>
  <si>
    <t>A/P Aging Summary</t>
  </si>
  <si>
    <t>Current</t>
  </si>
  <si>
    <t>1 - 30</t>
  </si>
  <si>
    <t>31 - 60</t>
  </si>
  <si>
    <t>61 - 90</t>
  </si>
  <si>
    <t>91 and over</t>
  </si>
  <si>
    <t>Adobe</t>
  </si>
  <si>
    <t>Audit Adjustment.1</t>
  </si>
  <si>
    <t>Copper Valley Electric Assoc., Inc.</t>
  </si>
  <si>
    <t>Copper Valley Telecom</t>
  </si>
  <si>
    <t>Jack of Arts</t>
  </si>
  <si>
    <t>Katie Helkenn</t>
  </si>
  <si>
    <t>KVAK Radio</t>
  </si>
  <si>
    <t>Magdeleine Ferru</t>
  </si>
  <si>
    <t>North Pacific Fuel</t>
  </si>
  <si>
    <t>Other Vender</t>
  </si>
  <si>
    <t>Shrimp Whisperer</t>
  </si>
  <si>
    <t>Todd Communications</t>
  </si>
  <si>
    <t>Valdez Food Cache</t>
  </si>
  <si>
    <t>Valdez Museum Store</t>
  </si>
  <si>
    <t>Wallace IT Solutions</t>
  </si>
  <si>
    <t>Wells Fargo Bank</t>
  </si>
  <si>
    <t>Xerox Financial Services</t>
  </si>
  <si>
    <t>TOTAL</t>
  </si>
  <si>
    <t>Monday, May 08, 2023 11:01:32 AM GMT-7</t>
  </si>
  <si>
    <t>A/R Aging Summary</t>
  </si>
  <si>
    <t>Alyeska Pipeline Service Co.</t>
  </si>
  <si>
    <t>City of Valdez - Grant Income</t>
  </si>
  <si>
    <t>Margaret Holm</t>
  </si>
  <si>
    <t>Matt Orr</t>
  </si>
  <si>
    <t>Other Customer</t>
  </si>
  <si>
    <t>QuickBooks Customer</t>
  </si>
  <si>
    <t>Steven Diaz</t>
  </si>
  <si>
    <t>Wells Fargo</t>
  </si>
  <si>
    <t>Monday, May 08, 2023 11:03:28 AM GMT-7</t>
  </si>
  <si>
    <t xml:space="preserve">Date:  Custom			</t>
  </si>
  <si>
    <t>Date</t>
  </si>
  <si>
    <t>Ref No.</t>
  </si>
  <si>
    <t>Type</t>
  </si>
  <si>
    <t>Payee</t>
  </si>
  <si>
    <t>Account</t>
  </si>
  <si>
    <t>Charge</t>
  </si>
  <si>
    <t>Payment</t>
  </si>
  <si>
    <t>Reconciliation Status</t>
  </si>
  <si>
    <t>Balance</t>
  </si>
  <si>
    <t>05/08/2023</t>
  </si>
  <si>
    <t>Expenditure</t>
  </si>
  <si>
    <t>Verizon Wireless</t>
  </si>
  <si>
    <t>Telephone:Cell Phone</t>
  </si>
  <si>
    <t>05/04/2023</t>
  </si>
  <si>
    <t>Dropbox</t>
  </si>
  <si>
    <t>8130 Dues and Subscriptions</t>
  </si>
  <si>
    <t>05/01/2023</t>
  </si>
  <si>
    <t>Microsoft</t>
  </si>
  <si>
    <t>8037 IT Services</t>
  </si>
  <si>
    <t>04/28/2023</t>
  </si>
  <si>
    <t>safeway</t>
  </si>
  <si>
    <t>8058 Public Programs</t>
  </si>
  <si>
    <t>04/27/2023</t>
  </si>
  <si>
    <t>8039 Education</t>
  </si>
  <si>
    <t>04/26/2023</t>
  </si>
  <si>
    <t>USPS</t>
  </si>
  <si>
    <t>9002 Freight and Shipping Costs</t>
  </si>
  <si>
    <t>04/21/2023</t>
  </si>
  <si>
    <t>8123 Postage and Delivery</t>
  </si>
  <si>
    <t>10001222979297</t>
  </si>
  <si>
    <t>Intuit</t>
  </si>
  <si>
    <t>04/20/2023</t>
  </si>
  <si>
    <t>Prospector</t>
  </si>
  <si>
    <t>8127 Supplies:Operating</t>
  </si>
  <si>
    <t>04/15/2023</t>
  </si>
  <si>
    <t>04/14/2023</t>
  </si>
  <si>
    <t>Rogue's Garden</t>
  </si>
  <si>
    <t>04/12/2023</t>
  </si>
  <si>
    <t>Reconciled</t>
  </si>
  <si>
    <t>04/11/2023</t>
  </si>
  <si>
    <t>Radio Shack / Arctic Fox Ent</t>
  </si>
  <si>
    <t>8125 Supplies:Technology</t>
  </si>
  <si>
    <t>04/10/2023</t>
  </si>
  <si>
    <t>Mikes Palace</t>
  </si>
  <si>
    <t>apple.com</t>
  </si>
  <si>
    <t>04/07/2023</t>
  </si>
  <si>
    <t>Microsoft Online</t>
  </si>
  <si>
    <t>04/05/2023</t>
  </si>
  <si>
    <t>Alaska Airlines</t>
  </si>
  <si>
    <t>8143 Travel:Travel</t>
  </si>
  <si>
    <t>04/04/2023</t>
  </si>
  <si>
    <t>AK Dept of Commerce Web</t>
  </si>
  <si>
    <t>04/03/2023</t>
  </si>
  <si>
    <t>Bill</t>
  </si>
  <si>
    <t>Business Card</t>
  </si>
  <si>
    <t>2000 Accounts Payable:Raffle Proceeds Payable</t>
  </si>
  <si>
    <t>Cleared</t>
  </si>
  <si>
    <t>Bank of America</t>
  </si>
  <si>
    <t>8138 Credit Card Fees</t>
  </si>
  <si>
    <t>Discount Mugs</t>
  </si>
  <si>
    <t>04/01/2023</t>
  </si>
  <si>
    <t>Account Maintenance Fee</t>
  </si>
  <si>
    <t>8139 Bank Service Charges</t>
  </si>
  <si>
    <t>5505 Bank of America  Business Card	Ending Balance:  $646.14</t>
  </si>
  <si>
    <t>Grants</t>
  </si>
  <si>
    <t>Earned Revenue</t>
  </si>
  <si>
    <t>Fund Development</t>
  </si>
  <si>
    <t>Training &amp; Education</t>
  </si>
  <si>
    <t>Bad Debt</t>
  </si>
  <si>
    <t>Utilities</t>
  </si>
  <si>
    <t>Earned Revnue</t>
  </si>
  <si>
    <t>Fud Development</t>
  </si>
  <si>
    <t>Personnel Expenses</t>
  </si>
  <si>
    <t>IT Services</t>
  </si>
  <si>
    <t>Liability Insurance</t>
  </si>
  <si>
    <t>Bank Accoutns</t>
  </si>
  <si>
    <t>Accounts Receivable</t>
  </si>
  <si>
    <t xml:space="preserve">Museum Endowment </t>
  </si>
  <si>
    <t>Net Income</t>
  </si>
  <si>
    <t xml:space="preserve">Accounts Payable </t>
  </si>
  <si>
    <t>Credit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</si>
</sst>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9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9"/>
      <name val="Arial"/>
    </font>
    <font>
      <b/>
      <sz val="8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0" fontId="2" fillId="0" borderId="3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4" fontId="8" fillId="0" borderId="0" xfId="0" applyNumberFormat="1" applyFont="1" applyAlignment="1">
      <alignment horizontal="left" wrapText="1"/>
    </xf>
    <xf numFmtId="164" fontId="0" fillId="0" borderId="0" xfId="0" applyNumberFormat="1"/>
    <xf numFmtId="164" fontId="3" fillId="2" borderId="0" xfId="0" applyNumberFormat="1" applyFont="1" applyFill="1" applyAlignment="1">
      <alignment horizontal="right"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Income as of May 8,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'BVA Collapsed'!$J$10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Collapsed'!$I$11:$I$13</c:f>
              <c:strCache>
                <c:ptCount val="3"/>
                <c:pt idx="0">
                  <c:v>Fund Development</c:v>
                </c:pt>
                <c:pt idx="1">
                  <c:v>Earned Revenue</c:v>
                </c:pt>
                <c:pt idx="2">
                  <c:v>Grants</c:v>
                </c:pt>
              </c:strCache>
            </c:strRef>
          </c:cat>
          <c:val>
            <c:numRef>
              <c:f>'BVA Collapsed'!$J$11:$J$13</c:f>
              <c:numCache>
                <c:formatCode>#,##0.00\ _€</c:formatCode>
                <c:ptCount val="3"/>
                <c:pt idx="0">
                  <c:v>10559.51</c:v>
                </c:pt>
                <c:pt idx="1">
                  <c:v>6242.42</c:v>
                </c:pt>
                <c:pt idx="2">
                  <c:v>275741.25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A-42C9-9552-8E771B1EF809}"/>
            </c:ext>
          </c:extLst>
        </c:ser>
        <c:ser>
          <c:idx val="1"/>
          <c:order val="1"/>
          <c:tx>
            <c:strRef>
              <c:f>'BVA Collapsed'!$K$10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Collapsed'!$I$11:$I$13</c:f>
              <c:strCache>
                <c:ptCount val="3"/>
                <c:pt idx="0">
                  <c:v>Fund Development</c:v>
                </c:pt>
                <c:pt idx="1">
                  <c:v>Earned Revenue</c:v>
                </c:pt>
                <c:pt idx="2">
                  <c:v>Grants</c:v>
                </c:pt>
              </c:strCache>
            </c:strRef>
          </c:cat>
          <c:val>
            <c:numRef>
              <c:f>'BVA Collapsed'!$K$11:$K$13</c:f>
              <c:numCache>
                <c:formatCode>#,##0.00\ _€</c:formatCode>
                <c:ptCount val="3"/>
                <c:pt idx="0">
                  <c:v>70700</c:v>
                </c:pt>
                <c:pt idx="1">
                  <c:v>196881.53</c:v>
                </c:pt>
                <c:pt idx="2">
                  <c:v>543500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A-42C9-9552-8E771B1EF8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44502304"/>
        <c:axId val="544494624"/>
      </c:barChart>
      <c:catAx>
        <c:axId val="54450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494624"/>
        <c:crosses val="autoZero"/>
        <c:auto val="1"/>
        <c:lblAlgn val="ctr"/>
        <c:lblOffset val="100"/>
        <c:noMultiLvlLbl val="0"/>
      </c:catAx>
      <c:valAx>
        <c:axId val="54449462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4450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Notable Expenses as of May 8,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'BVA Collapsed'!$J$37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Collapsed'!$I$38:$I$40</c:f>
              <c:strCache>
                <c:ptCount val="3"/>
                <c:pt idx="0">
                  <c:v>Utilities</c:v>
                </c:pt>
                <c:pt idx="1">
                  <c:v>Bad Debt</c:v>
                </c:pt>
                <c:pt idx="2">
                  <c:v>Training &amp; Education</c:v>
                </c:pt>
              </c:strCache>
            </c:strRef>
          </c:cat>
          <c:val>
            <c:numRef>
              <c:f>'BVA Collapsed'!$J$38:$J$40</c:f>
              <c:numCache>
                <c:formatCode>#,##0.00\ _€</c:formatCode>
                <c:ptCount val="3"/>
                <c:pt idx="0">
                  <c:v>25494.76</c:v>
                </c:pt>
                <c:pt idx="1">
                  <c:v>101.25</c:v>
                </c:pt>
                <c:pt idx="2">
                  <c:v>6023.85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2-4839-8569-EA88259B65BA}"/>
            </c:ext>
          </c:extLst>
        </c:ser>
        <c:ser>
          <c:idx val="1"/>
          <c:order val="1"/>
          <c:tx>
            <c:strRef>
              <c:f>'BVA Collapsed'!$K$37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Collapsed'!$I$38:$I$40</c:f>
              <c:strCache>
                <c:ptCount val="3"/>
                <c:pt idx="0">
                  <c:v>Utilities</c:v>
                </c:pt>
                <c:pt idx="1">
                  <c:v>Bad Debt</c:v>
                </c:pt>
                <c:pt idx="2">
                  <c:v>Training &amp; Education</c:v>
                </c:pt>
              </c:strCache>
            </c:strRef>
          </c:cat>
          <c:val>
            <c:numRef>
              <c:f>'BVA Collapsed'!$K$38:$K$40</c:f>
              <c:numCache>
                <c:formatCode>#,##0.00\ _€</c:formatCode>
                <c:ptCount val="3"/>
                <c:pt idx="0">
                  <c:v>64980</c:v>
                </c:pt>
                <c:pt idx="1">
                  <c:v>0</c:v>
                </c:pt>
                <c:pt idx="2">
                  <c:v>7750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12-4839-8569-EA88259B65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053744160"/>
        <c:axId val="2053750400"/>
      </c:barChart>
      <c:catAx>
        <c:axId val="205374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750400"/>
        <c:crosses val="autoZero"/>
        <c:auto val="1"/>
        <c:lblAlgn val="ctr"/>
        <c:lblOffset val="100"/>
        <c:noMultiLvlLbl val="0"/>
      </c:catAx>
      <c:valAx>
        <c:axId val="205375040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05374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Income comparison as of April 30,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'SOA Collapsed'!$J$9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Collapsed'!$I$10:$I$12</c:f>
              <c:strCache>
                <c:ptCount val="3"/>
                <c:pt idx="0">
                  <c:v>Fud Development</c:v>
                </c:pt>
                <c:pt idx="1">
                  <c:v>Earned Revnue</c:v>
                </c:pt>
                <c:pt idx="2">
                  <c:v>Grants</c:v>
                </c:pt>
              </c:strCache>
            </c:strRef>
          </c:cat>
          <c:val>
            <c:numRef>
              <c:f>'SOA Collapsed'!$J$10:$J$12</c:f>
              <c:numCache>
                <c:formatCode>#,##0.00\ _€</c:formatCode>
                <c:ptCount val="3"/>
                <c:pt idx="0">
                  <c:v>10343.450000000001</c:v>
                </c:pt>
                <c:pt idx="1">
                  <c:v>5278.45</c:v>
                </c:pt>
                <c:pt idx="2">
                  <c:v>275741.25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F-4EA4-9ABC-98E2780BFE2B}"/>
            </c:ext>
          </c:extLst>
        </c:ser>
        <c:ser>
          <c:idx val="1"/>
          <c:order val="1"/>
          <c:tx>
            <c:strRef>
              <c:f>'SOA Collapsed'!$K$9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Collapsed'!$I$10:$I$12</c:f>
              <c:strCache>
                <c:ptCount val="3"/>
                <c:pt idx="0">
                  <c:v>Fud Development</c:v>
                </c:pt>
                <c:pt idx="1">
                  <c:v>Earned Revnue</c:v>
                </c:pt>
                <c:pt idx="2">
                  <c:v>Grants</c:v>
                </c:pt>
              </c:strCache>
            </c:strRef>
          </c:cat>
          <c:val>
            <c:numRef>
              <c:f>'SOA Collapsed'!$K$10:$K$12</c:f>
              <c:numCache>
                <c:formatCode>#,##0.00\ _€</c:formatCode>
                <c:ptCount val="3"/>
                <c:pt idx="0">
                  <c:v>12590.11</c:v>
                </c:pt>
                <c:pt idx="1">
                  <c:v>6382.28</c:v>
                </c:pt>
                <c:pt idx="2">
                  <c:v>277400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1F-4EA4-9ABC-98E2780BFE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420016128"/>
        <c:axId val="1420018048"/>
      </c:barChart>
      <c:catAx>
        <c:axId val="142001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018048"/>
        <c:crosses val="autoZero"/>
        <c:auto val="1"/>
        <c:lblAlgn val="ctr"/>
        <c:lblOffset val="100"/>
        <c:noMultiLvlLbl val="0"/>
      </c:catAx>
      <c:valAx>
        <c:axId val="142001804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42001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 Comparison as of April</a:t>
            </a:r>
            <a:r>
              <a:rPr lang="en-US" baseline="0"/>
              <a:t> 30, 2023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'SOA Collapsed'!$J$33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Collapsed'!$I$34:$I$38</c:f>
              <c:strCache>
                <c:ptCount val="5"/>
                <c:pt idx="0">
                  <c:v>IT Services</c:v>
                </c:pt>
                <c:pt idx="1">
                  <c:v>Utilities</c:v>
                </c:pt>
                <c:pt idx="2">
                  <c:v>Personnel Expenses</c:v>
                </c:pt>
                <c:pt idx="3">
                  <c:v>Training &amp; Education</c:v>
                </c:pt>
                <c:pt idx="4">
                  <c:v>Liability Insurance</c:v>
                </c:pt>
              </c:strCache>
            </c:strRef>
          </c:cat>
          <c:val>
            <c:numRef>
              <c:f>'SOA Collapsed'!$J$34:$J$38</c:f>
              <c:numCache>
                <c:formatCode>#,##0.00\ _€</c:formatCode>
                <c:ptCount val="5"/>
                <c:pt idx="0">
                  <c:v>4265.32</c:v>
                </c:pt>
                <c:pt idx="1">
                  <c:v>24712.97</c:v>
                </c:pt>
                <c:pt idx="2">
                  <c:v>148582.01999999999</c:v>
                </c:pt>
                <c:pt idx="3">
                  <c:v>4996.66</c:v>
                </c:pt>
                <c:pt idx="4">
                  <c:v>32572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A-44E3-8928-50148AFE8B5D}"/>
            </c:ext>
          </c:extLst>
        </c:ser>
        <c:ser>
          <c:idx val="1"/>
          <c:order val="1"/>
          <c:tx>
            <c:strRef>
              <c:f>'SOA Collapsed'!$K$33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Collapsed'!$I$34:$I$38</c:f>
              <c:strCache>
                <c:ptCount val="5"/>
                <c:pt idx="0">
                  <c:v>IT Services</c:v>
                </c:pt>
                <c:pt idx="1">
                  <c:v>Utilities</c:v>
                </c:pt>
                <c:pt idx="2">
                  <c:v>Personnel Expenses</c:v>
                </c:pt>
                <c:pt idx="3">
                  <c:v>Training &amp; Education</c:v>
                </c:pt>
                <c:pt idx="4">
                  <c:v>Liability Insurance</c:v>
                </c:pt>
              </c:strCache>
            </c:strRef>
          </c:cat>
          <c:val>
            <c:numRef>
              <c:f>'SOA Collapsed'!$K$34:$K$38</c:f>
              <c:numCache>
                <c:formatCode>#,##0.00\ _€</c:formatCode>
                <c:ptCount val="5"/>
                <c:pt idx="0">
                  <c:v>6916.67</c:v>
                </c:pt>
                <c:pt idx="1">
                  <c:v>31774.14</c:v>
                </c:pt>
                <c:pt idx="2">
                  <c:v>153304.04999999999</c:v>
                </c:pt>
                <c:pt idx="3">
                  <c:v>0</c:v>
                </c:pt>
                <c:pt idx="4">
                  <c:v>26378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A-44E3-8928-50148AFE8B5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053752320"/>
        <c:axId val="2053756640"/>
      </c:barChart>
      <c:catAx>
        <c:axId val="205375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756640"/>
        <c:crosses val="autoZero"/>
        <c:auto val="1"/>
        <c:lblAlgn val="ctr"/>
        <c:lblOffset val="100"/>
        <c:noMultiLvlLbl val="0"/>
      </c:catAx>
      <c:valAx>
        <c:axId val="205375664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05375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of assets as of april 30,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SOF!$I$13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SOF!$H$14:$H$16</c:f>
              <c:strCache>
                <c:ptCount val="3"/>
                <c:pt idx="0">
                  <c:v>Museum Endowment </c:v>
                </c:pt>
                <c:pt idx="1">
                  <c:v>Accounts Receivable</c:v>
                </c:pt>
                <c:pt idx="2">
                  <c:v>Bank Accoutns</c:v>
                </c:pt>
              </c:strCache>
            </c:strRef>
          </c:cat>
          <c:val>
            <c:numRef>
              <c:f>SOF!$I$14:$I$16</c:f>
              <c:numCache>
                <c:formatCode>"$"* #,##0.00\ _€</c:formatCode>
                <c:ptCount val="3"/>
                <c:pt idx="0" formatCode="#,##0.00\ _€">
                  <c:v>1192182</c:v>
                </c:pt>
                <c:pt idx="1">
                  <c:v>200</c:v>
                </c:pt>
                <c:pt idx="2">
                  <c:v>346832.51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0-4D80-9A24-DD8FC02D9A42}"/>
            </c:ext>
          </c:extLst>
        </c:ser>
        <c:ser>
          <c:idx val="1"/>
          <c:order val="1"/>
          <c:tx>
            <c:strRef>
              <c:f>SOF!$J$13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SOF!$H$14:$H$16</c:f>
              <c:strCache>
                <c:ptCount val="3"/>
                <c:pt idx="0">
                  <c:v>Museum Endowment </c:v>
                </c:pt>
                <c:pt idx="1">
                  <c:v>Accounts Receivable</c:v>
                </c:pt>
                <c:pt idx="2">
                  <c:v>Bank Accoutns</c:v>
                </c:pt>
              </c:strCache>
            </c:strRef>
          </c:cat>
          <c:val>
            <c:numRef>
              <c:f>SOF!$J$14:$J$16</c:f>
              <c:numCache>
                <c:formatCode>"$"* #,##0.00\ _€</c:formatCode>
                <c:ptCount val="3"/>
                <c:pt idx="0" formatCode="#,##0.00\ _€">
                  <c:v>1300447</c:v>
                </c:pt>
                <c:pt idx="1">
                  <c:v>100</c:v>
                </c:pt>
                <c:pt idx="2">
                  <c:v>323282.21000000002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0-4D80-9A24-DD8FC02D9A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40772384"/>
        <c:axId val="1540774304"/>
      </c:barChart>
      <c:catAx>
        <c:axId val="154077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0774304"/>
        <c:crosses val="autoZero"/>
        <c:auto val="1"/>
        <c:lblAlgn val="ctr"/>
        <c:lblOffset val="100"/>
        <c:noMultiLvlLbl val="0"/>
      </c:catAx>
      <c:valAx>
        <c:axId val="154077430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5407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of Liabilities as of April 30,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SOF!$I$43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SOF!$H$44:$H$46</c:f>
              <c:strCache>
                <c:ptCount val="3"/>
                <c:pt idx="0">
                  <c:v>Credit Card</c:v>
                </c:pt>
                <c:pt idx="1">
                  <c:v>Accounts Payable </c:v>
                </c:pt>
                <c:pt idx="2">
                  <c:v>Net Income</c:v>
                </c:pt>
              </c:strCache>
            </c:strRef>
          </c:cat>
          <c:val>
            <c:numRef>
              <c:f>SOF!$I$44:$I$46</c:f>
              <c:numCache>
                <c:formatCode>"$"* #,##0.00\ _€</c:formatCode>
                <c:ptCount val="3"/>
                <c:pt idx="0">
                  <c:v>356.71</c:v>
                </c:pt>
                <c:pt idx="1">
                  <c:v>6942.28</c:v>
                </c:pt>
                <c:pt idx="2" formatCode="#,##0.00\ _€">
                  <c:v>35796.51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E-4611-83D4-A6B970A2B325}"/>
            </c:ext>
          </c:extLst>
        </c:ser>
        <c:ser>
          <c:idx val="1"/>
          <c:order val="1"/>
          <c:tx>
            <c:strRef>
              <c:f>SOF!$J$43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SOF!$H$44:$H$46</c:f>
              <c:strCache>
                <c:ptCount val="3"/>
                <c:pt idx="0">
                  <c:v>Credit Card</c:v>
                </c:pt>
                <c:pt idx="1">
                  <c:v>Accounts Payable </c:v>
                </c:pt>
                <c:pt idx="2">
                  <c:v>Net Income</c:v>
                </c:pt>
              </c:strCache>
            </c:strRef>
          </c:cat>
          <c:val>
            <c:numRef>
              <c:f>SOF!$J$44:$J$46</c:f>
              <c:numCache>
                <c:formatCode>"$"* #,##0.00\ _€</c:formatCode>
                <c:ptCount val="3"/>
                <c:pt idx="0">
                  <c:v>-558.98</c:v>
                </c:pt>
                <c:pt idx="1">
                  <c:v>12348.83</c:v>
                </c:pt>
                <c:pt idx="2" formatCode="#,##0.00\ _€">
                  <c:v>28485.3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0E-4611-83D4-A6B970A2B3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02757088"/>
        <c:axId val="1802764288"/>
      </c:barChart>
      <c:catAx>
        <c:axId val="180275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764288"/>
        <c:crosses val="autoZero"/>
        <c:auto val="1"/>
        <c:lblAlgn val="ctr"/>
        <c:lblOffset val="100"/>
        <c:noMultiLvlLbl val="0"/>
      </c:catAx>
      <c:valAx>
        <c:axId val="180276428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0275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16</xdr:row>
      <xdr:rowOff>119062</xdr:rowOff>
    </xdr:from>
    <xdr:to>
      <xdr:col>17</xdr:col>
      <xdr:colOff>28574</xdr:colOff>
      <xdr:row>30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410FC0-3F6B-6AB5-668B-015D1911FF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433387</xdr:colOff>
      <xdr:row>42</xdr:row>
      <xdr:rowOff>33337</xdr:rowOff>
    </xdr:from>
    <xdr:to>
      <xdr:col>15</xdr:col>
      <xdr:colOff>238125</xdr:colOff>
      <xdr:row>56</xdr:row>
      <xdr:rowOff>109537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3C4CB2-599D-4040-8225-56ACAA3791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233361</xdr:colOff>
      <xdr:row>13</xdr:row>
      <xdr:rowOff>14287</xdr:rowOff>
    </xdr:from>
    <xdr:to>
      <xdr:col>15</xdr:col>
      <xdr:colOff>361949</xdr:colOff>
      <xdr:row>27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9F26D1-4DCE-86F4-B884-E8848F2C6C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357186</xdr:colOff>
      <xdr:row>44</xdr:row>
      <xdr:rowOff>4762</xdr:rowOff>
    </xdr:from>
    <xdr:to>
      <xdr:col>15</xdr:col>
      <xdr:colOff>342899</xdr:colOff>
      <xdr:row>58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18DA41-5F0F-AC75-7C8C-EFF790D6FD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538161</xdr:colOff>
      <xdr:row>18</xdr:row>
      <xdr:rowOff>52387</xdr:rowOff>
    </xdr:from>
    <xdr:to>
      <xdr:col>14</xdr:col>
      <xdr:colOff>333374</xdr:colOff>
      <xdr:row>32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BF5689-E3F8-D0B9-5298-6D667468EF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614361</xdr:colOff>
      <xdr:row>47</xdr:row>
      <xdr:rowOff>23811</xdr:rowOff>
    </xdr:from>
    <xdr:to>
      <xdr:col>17</xdr:col>
      <xdr:colOff>428625</xdr:colOff>
      <xdr:row>64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DEF472-7B24-5F47-10FD-613401E8D5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8"/>
  <sheetViews>
    <sheetView topLeftCell="A108" workbookViewId="0">
      <selection sqref="A1:E1"/>
    </sheetView>
  </sheetViews>
  <sheetFormatPr defaultRowHeight="15" x14ac:dyDescent="0.25"/>
  <cols>
    <col min="1" max="1" width="35.28515625" customWidth="1"/>
    <col min="2" max="5" width="18" customWidth="1"/>
  </cols>
  <sheetData>
    <row r="1" spans="1:5" ht="18" x14ac:dyDescent="0.25">
      <c r="A1" s="15" t="s">
        <v>174</v>
      </c>
      <c r="B1" s="14"/>
      <c r="C1" s="14"/>
      <c r="D1" s="14"/>
      <c r="E1" s="14"/>
    </row>
    <row r="2" spans="1:5" ht="18" x14ac:dyDescent="0.25">
      <c r="A2" s="15" t="s">
        <v>175</v>
      </c>
      <c r="B2" s="14"/>
      <c r="C2" s="14"/>
      <c r="D2" s="14"/>
      <c r="E2" s="14"/>
    </row>
    <row r="3" spans="1:5" x14ac:dyDescent="0.25">
      <c r="A3" s="16" t="s">
        <v>176</v>
      </c>
      <c r="B3" s="14"/>
      <c r="C3" s="14"/>
      <c r="D3" s="14"/>
      <c r="E3" s="14"/>
    </row>
    <row r="5" spans="1:5" x14ac:dyDescent="0.25">
      <c r="A5" s="1"/>
      <c r="B5" s="11" t="s">
        <v>0</v>
      </c>
      <c r="C5" s="12"/>
      <c r="D5" s="12"/>
      <c r="E5" s="12"/>
    </row>
    <row r="6" spans="1:5" x14ac:dyDescent="0.25">
      <c r="A6" s="1"/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25">
      <c r="A7" s="3" t="s">
        <v>5</v>
      </c>
      <c r="B7" s="4"/>
      <c r="C7" s="4"/>
      <c r="D7" s="4"/>
      <c r="E7" s="4"/>
    </row>
    <row r="8" spans="1:5" x14ac:dyDescent="0.25">
      <c r="A8" s="3" t="s">
        <v>6</v>
      </c>
      <c r="B8" s="4"/>
      <c r="C8" s="4"/>
      <c r="D8" s="5">
        <f t="shared" ref="D8:D39" si="0">(B8)-(C8)</f>
        <v>0</v>
      </c>
      <c r="E8" s="6" t="str">
        <f t="shared" ref="E8:E39" si="1">IF(C8=0,"",(B8)/(C8))</f>
        <v/>
      </c>
    </row>
    <row r="9" spans="1:5" x14ac:dyDescent="0.25">
      <c r="A9" s="3" t="s">
        <v>7</v>
      </c>
      <c r="B9" s="4"/>
      <c r="C9" s="5">
        <f>5000</f>
        <v>5000</v>
      </c>
      <c r="D9" s="5">
        <f t="shared" si="0"/>
        <v>-5000</v>
      </c>
      <c r="E9" s="6">
        <f t="shared" si="1"/>
        <v>0</v>
      </c>
    </row>
    <row r="10" spans="1:5" x14ac:dyDescent="0.25">
      <c r="A10" s="3" t="s">
        <v>8</v>
      </c>
      <c r="B10" s="5">
        <f>267500</f>
        <v>267500</v>
      </c>
      <c r="C10" s="5">
        <f>535000</f>
        <v>535000</v>
      </c>
      <c r="D10" s="5">
        <f t="shared" si="0"/>
        <v>-267500</v>
      </c>
      <c r="E10" s="6">
        <f t="shared" si="1"/>
        <v>0.5</v>
      </c>
    </row>
    <row r="11" spans="1:5" x14ac:dyDescent="0.25">
      <c r="A11" s="3" t="s">
        <v>9</v>
      </c>
      <c r="B11" s="5">
        <f>8241.25</f>
        <v>8241.25</v>
      </c>
      <c r="C11" s="5">
        <f>3500</f>
        <v>3500</v>
      </c>
      <c r="D11" s="5">
        <f t="shared" si="0"/>
        <v>4741.25</v>
      </c>
      <c r="E11" s="6">
        <f t="shared" si="1"/>
        <v>2.3546428571428573</v>
      </c>
    </row>
    <row r="12" spans="1:5" x14ac:dyDescent="0.25">
      <c r="A12" s="3" t="s">
        <v>10</v>
      </c>
      <c r="B12" s="7">
        <f>(((B8)+(B9))+(B10))+(B11)</f>
        <v>275741.25</v>
      </c>
      <c r="C12" s="7">
        <f>(((C8)+(C9))+(C10))+(C11)</f>
        <v>543500</v>
      </c>
      <c r="D12" s="7">
        <f t="shared" si="0"/>
        <v>-267758.75</v>
      </c>
      <c r="E12" s="8">
        <f t="shared" si="1"/>
        <v>0.50734360625574981</v>
      </c>
    </row>
    <row r="13" spans="1:5" x14ac:dyDescent="0.25">
      <c r="A13" s="3" t="s">
        <v>11</v>
      </c>
      <c r="B13" s="4"/>
      <c r="C13" s="4"/>
      <c r="D13" s="5">
        <f t="shared" si="0"/>
        <v>0</v>
      </c>
      <c r="E13" s="6" t="str">
        <f t="shared" si="1"/>
        <v/>
      </c>
    </row>
    <row r="14" spans="1:5" x14ac:dyDescent="0.25">
      <c r="A14" s="3" t="s">
        <v>12</v>
      </c>
      <c r="B14" s="4"/>
      <c r="C14" s="4"/>
      <c r="D14" s="5">
        <f t="shared" si="0"/>
        <v>0</v>
      </c>
      <c r="E14" s="6" t="str">
        <f t="shared" si="1"/>
        <v/>
      </c>
    </row>
    <row r="15" spans="1:5" x14ac:dyDescent="0.25">
      <c r="A15" s="3" t="s">
        <v>13</v>
      </c>
      <c r="B15" s="5">
        <f>819.51</f>
        <v>819.51</v>
      </c>
      <c r="C15" s="5">
        <f>6750</f>
        <v>6750</v>
      </c>
      <c r="D15" s="5">
        <f t="shared" si="0"/>
        <v>-5930.49</v>
      </c>
      <c r="E15" s="6">
        <f t="shared" si="1"/>
        <v>0.12140888888888889</v>
      </c>
    </row>
    <row r="16" spans="1:5" x14ac:dyDescent="0.25">
      <c r="A16" s="3" t="s">
        <v>14</v>
      </c>
      <c r="B16" s="5">
        <f>100</f>
        <v>100</v>
      </c>
      <c r="C16" s="5">
        <f>13250</f>
        <v>13250</v>
      </c>
      <c r="D16" s="5">
        <f t="shared" si="0"/>
        <v>-13150</v>
      </c>
      <c r="E16" s="6">
        <f t="shared" si="1"/>
        <v>7.5471698113207548E-3</v>
      </c>
    </row>
    <row r="17" spans="1:5" x14ac:dyDescent="0.25">
      <c r="A17" s="3" t="s">
        <v>15</v>
      </c>
      <c r="B17" s="7">
        <f>((B14)+(B15))+(B16)</f>
        <v>919.51</v>
      </c>
      <c r="C17" s="7">
        <f>((C14)+(C15))+(C16)</f>
        <v>20000</v>
      </c>
      <c r="D17" s="7">
        <f t="shared" si="0"/>
        <v>-19080.490000000002</v>
      </c>
      <c r="E17" s="8">
        <f t="shared" si="1"/>
        <v>4.5975500000000002E-2</v>
      </c>
    </row>
    <row r="18" spans="1:5" x14ac:dyDescent="0.25">
      <c r="A18" s="3" t="s">
        <v>16</v>
      </c>
      <c r="B18" s="5">
        <f>1200</f>
        <v>1200</v>
      </c>
      <c r="C18" s="5">
        <f>10000</f>
        <v>10000</v>
      </c>
      <c r="D18" s="5">
        <f t="shared" si="0"/>
        <v>-8800</v>
      </c>
      <c r="E18" s="6">
        <f t="shared" si="1"/>
        <v>0.12</v>
      </c>
    </row>
    <row r="19" spans="1:5" x14ac:dyDescent="0.25">
      <c r="A19" s="3" t="s">
        <v>17</v>
      </c>
      <c r="B19" s="5">
        <f>3625</f>
        <v>3625</v>
      </c>
      <c r="C19" s="5">
        <f>4200</f>
        <v>4200</v>
      </c>
      <c r="D19" s="5">
        <f t="shared" si="0"/>
        <v>-575</v>
      </c>
      <c r="E19" s="6">
        <f t="shared" si="1"/>
        <v>0.86309523809523814</v>
      </c>
    </row>
    <row r="20" spans="1:5" x14ac:dyDescent="0.25">
      <c r="A20" s="3" t="s">
        <v>18</v>
      </c>
      <c r="B20" s="4"/>
      <c r="C20" s="5">
        <f>4000</f>
        <v>4000</v>
      </c>
      <c r="D20" s="5">
        <f t="shared" si="0"/>
        <v>-4000</v>
      </c>
      <c r="E20" s="6">
        <f t="shared" si="1"/>
        <v>0</v>
      </c>
    </row>
    <row r="21" spans="1:5" x14ac:dyDescent="0.25">
      <c r="A21" s="3" t="s">
        <v>19</v>
      </c>
      <c r="B21" s="4"/>
      <c r="C21" s="5">
        <f>20000</f>
        <v>20000</v>
      </c>
      <c r="D21" s="5">
        <f t="shared" si="0"/>
        <v>-20000</v>
      </c>
      <c r="E21" s="6">
        <f t="shared" si="1"/>
        <v>0</v>
      </c>
    </row>
    <row r="22" spans="1:5" x14ac:dyDescent="0.25">
      <c r="A22" s="3" t="s">
        <v>20</v>
      </c>
      <c r="B22" s="5">
        <f>4790</f>
        <v>4790</v>
      </c>
      <c r="C22" s="5">
        <f>12500</f>
        <v>12500</v>
      </c>
      <c r="D22" s="5">
        <f t="shared" si="0"/>
        <v>-7710</v>
      </c>
      <c r="E22" s="6">
        <f t="shared" si="1"/>
        <v>0.38319999999999999</v>
      </c>
    </row>
    <row r="23" spans="1:5" x14ac:dyDescent="0.25">
      <c r="A23" s="3" t="s">
        <v>21</v>
      </c>
      <c r="B23" s="4"/>
      <c r="C23" s="4"/>
      <c r="D23" s="5">
        <f t="shared" si="0"/>
        <v>0</v>
      </c>
      <c r="E23" s="6" t="str">
        <f t="shared" si="1"/>
        <v/>
      </c>
    </row>
    <row r="24" spans="1:5" x14ac:dyDescent="0.25">
      <c r="A24" s="3" t="s">
        <v>22</v>
      </c>
      <c r="B24" s="5">
        <f>25</f>
        <v>25</v>
      </c>
      <c r="C24" s="4"/>
      <c r="D24" s="5">
        <f t="shared" si="0"/>
        <v>25</v>
      </c>
      <c r="E24" s="6" t="str">
        <f t="shared" si="1"/>
        <v/>
      </c>
    </row>
    <row r="25" spans="1:5" x14ac:dyDescent="0.25">
      <c r="A25" s="3" t="s">
        <v>23</v>
      </c>
      <c r="B25" s="7">
        <f>(B23)+(B24)</f>
        <v>25</v>
      </c>
      <c r="C25" s="7">
        <f>(C23)+(C24)</f>
        <v>0</v>
      </c>
      <c r="D25" s="7">
        <f t="shared" si="0"/>
        <v>25</v>
      </c>
      <c r="E25" s="8" t="str">
        <f t="shared" si="1"/>
        <v/>
      </c>
    </row>
    <row r="26" spans="1:5" x14ac:dyDescent="0.25">
      <c r="A26" s="3" t="s">
        <v>24</v>
      </c>
      <c r="B26" s="7">
        <f>(((((((B13)+(B17))+(B18))+(B19))+(B20))+(B21))+(B22))+(B25)</f>
        <v>10559.51</v>
      </c>
      <c r="C26" s="7">
        <f>(((((((C13)+(C17))+(C18))+(C19))+(C20))+(C21))+(C22))+(C25)</f>
        <v>70700</v>
      </c>
      <c r="D26" s="7">
        <f t="shared" si="0"/>
        <v>-60140.49</v>
      </c>
      <c r="E26" s="8">
        <f t="shared" si="1"/>
        <v>0.14935657708628006</v>
      </c>
    </row>
    <row r="27" spans="1:5" x14ac:dyDescent="0.25">
      <c r="A27" s="3" t="s">
        <v>25</v>
      </c>
      <c r="B27" s="5">
        <f>1216.03</f>
        <v>1216.03</v>
      </c>
      <c r="C27" s="5">
        <f>3000</f>
        <v>3000</v>
      </c>
      <c r="D27" s="5">
        <f t="shared" si="0"/>
        <v>-1783.97</v>
      </c>
      <c r="E27" s="6">
        <f t="shared" si="1"/>
        <v>0.40534333333333333</v>
      </c>
    </row>
    <row r="28" spans="1:5" x14ac:dyDescent="0.25">
      <c r="A28" s="3" t="s">
        <v>26</v>
      </c>
      <c r="B28" s="4"/>
      <c r="C28" s="4"/>
      <c r="D28" s="5">
        <f t="shared" si="0"/>
        <v>0</v>
      </c>
      <c r="E28" s="6" t="str">
        <f t="shared" si="1"/>
        <v/>
      </c>
    </row>
    <row r="29" spans="1:5" x14ac:dyDescent="0.25">
      <c r="A29" s="3" t="s">
        <v>27</v>
      </c>
      <c r="B29" s="5">
        <f>10</f>
        <v>10</v>
      </c>
      <c r="C29" s="5">
        <f>75</f>
        <v>75</v>
      </c>
      <c r="D29" s="5">
        <f t="shared" si="0"/>
        <v>-65</v>
      </c>
      <c r="E29" s="6">
        <f t="shared" si="1"/>
        <v>0.13333333333333333</v>
      </c>
    </row>
    <row r="30" spans="1:5" x14ac:dyDescent="0.25">
      <c r="A30" s="3" t="s">
        <v>28</v>
      </c>
      <c r="B30" s="4"/>
      <c r="C30" s="4"/>
      <c r="D30" s="5">
        <f t="shared" si="0"/>
        <v>0</v>
      </c>
      <c r="E30" s="6" t="str">
        <f t="shared" si="1"/>
        <v/>
      </c>
    </row>
    <row r="31" spans="1:5" x14ac:dyDescent="0.25">
      <c r="A31" s="3" t="s">
        <v>29</v>
      </c>
      <c r="B31" s="4"/>
      <c r="C31" s="5">
        <f>15000</f>
        <v>15000</v>
      </c>
      <c r="D31" s="5">
        <f t="shared" si="0"/>
        <v>-15000</v>
      </c>
      <c r="E31" s="6">
        <f t="shared" si="1"/>
        <v>0</v>
      </c>
    </row>
    <row r="32" spans="1:5" x14ac:dyDescent="0.25">
      <c r="A32" s="3" t="s">
        <v>30</v>
      </c>
      <c r="B32" s="4"/>
      <c r="C32" s="5">
        <f>51000</f>
        <v>51000</v>
      </c>
      <c r="D32" s="5">
        <f t="shared" si="0"/>
        <v>-51000</v>
      </c>
      <c r="E32" s="6">
        <f t="shared" si="1"/>
        <v>0</v>
      </c>
    </row>
    <row r="33" spans="1:5" x14ac:dyDescent="0.25">
      <c r="A33" s="3" t="s">
        <v>31</v>
      </c>
      <c r="B33" s="5">
        <f>225</f>
        <v>225</v>
      </c>
      <c r="C33" s="5">
        <f>1000</f>
        <v>1000</v>
      </c>
      <c r="D33" s="5">
        <f t="shared" si="0"/>
        <v>-775</v>
      </c>
      <c r="E33" s="6">
        <f t="shared" si="1"/>
        <v>0.22500000000000001</v>
      </c>
    </row>
    <row r="34" spans="1:5" x14ac:dyDescent="0.25">
      <c r="A34" s="3" t="s">
        <v>32</v>
      </c>
      <c r="B34" s="5">
        <f>2717</f>
        <v>2717</v>
      </c>
      <c r="C34" s="5">
        <f>65250</f>
        <v>65250</v>
      </c>
      <c r="D34" s="5">
        <f t="shared" si="0"/>
        <v>-62533</v>
      </c>
      <c r="E34" s="6">
        <f t="shared" si="1"/>
        <v>4.1639846743295017E-2</v>
      </c>
    </row>
    <row r="35" spans="1:5" x14ac:dyDescent="0.25">
      <c r="A35" s="3" t="s">
        <v>33</v>
      </c>
      <c r="B35" s="5">
        <f>300</f>
        <v>300</v>
      </c>
      <c r="C35" s="5">
        <f>1500</f>
        <v>1500</v>
      </c>
      <c r="D35" s="5">
        <f t="shared" si="0"/>
        <v>-1200</v>
      </c>
      <c r="E35" s="6">
        <f t="shared" si="1"/>
        <v>0.2</v>
      </c>
    </row>
    <row r="36" spans="1:5" x14ac:dyDescent="0.25">
      <c r="A36" s="3" t="s">
        <v>34</v>
      </c>
      <c r="B36" s="7">
        <f>(((((B30)+(B31))+(B32))+(B33))+(B34))+(B35)</f>
        <v>3242</v>
      </c>
      <c r="C36" s="7">
        <f>(((((C30)+(C31))+(C32))+(C33))+(C34))+(C35)</f>
        <v>133750</v>
      </c>
      <c r="D36" s="7">
        <f t="shared" si="0"/>
        <v>-130508</v>
      </c>
      <c r="E36" s="8">
        <f t="shared" si="1"/>
        <v>2.4239252336448597E-2</v>
      </c>
    </row>
    <row r="37" spans="1:5" x14ac:dyDescent="0.25">
      <c r="A37" s="3" t="s">
        <v>35</v>
      </c>
      <c r="B37" s="4"/>
      <c r="C37" s="4"/>
      <c r="D37" s="5">
        <f t="shared" si="0"/>
        <v>0</v>
      </c>
      <c r="E37" s="6" t="str">
        <f t="shared" si="1"/>
        <v/>
      </c>
    </row>
    <row r="38" spans="1:5" x14ac:dyDescent="0.25">
      <c r="A38" s="3" t="s">
        <v>36</v>
      </c>
      <c r="B38" s="5">
        <f>10</f>
        <v>10</v>
      </c>
      <c r="C38" s="4"/>
      <c r="D38" s="5">
        <f t="shared" si="0"/>
        <v>10</v>
      </c>
      <c r="E38" s="6" t="str">
        <f t="shared" si="1"/>
        <v/>
      </c>
    </row>
    <row r="39" spans="1:5" x14ac:dyDescent="0.25">
      <c r="A39" s="3" t="s">
        <v>37</v>
      </c>
      <c r="B39" s="5">
        <f>21.9</f>
        <v>21.9</v>
      </c>
      <c r="C39" s="4"/>
      <c r="D39" s="5">
        <f t="shared" si="0"/>
        <v>21.9</v>
      </c>
      <c r="E39" s="6" t="str">
        <f t="shared" si="1"/>
        <v/>
      </c>
    </row>
    <row r="40" spans="1:5" x14ac:dyDescent="0.25">
      <c r="A40" s="3" t="s">
        <v>38</v>
      </c>
      <c r="B40" s="7">
        <f>((B37)+(B38))+(B39)</f>
        <v>31.9</v>
      </c>
      <c r="C40" s="7">
        <f>((C37)+(C38))+(C39)</f>
        <v>0</v>
      </c>
      <c r="D40" s="7">
        <f t="shared" ref="D40:D71" si="2">(B40)-(C40)</f>
        <v>31.9</v>
      </c>
      <c r="E40" s="8" t="str">
        <f t="shared" ref="E40:E71" si="3">IF(C40=0,"",(B40)/(C40))</f>
        <v/>
      </c>
    </row>
    <row r="41" spans="1:5" x14ac:dyDescent="0.25">
      <c r="A41" s="3" t="s">
        <v>39</v>
      </c>
      <c r="B41" s="5">
        <f>19</f>
        <v>19</v>
      </c>
      <c r="C41" s="4"/>
      <c r="D41" s="5">
        <f t="shared" si="2"/>
        <v>19</v>
      </c>
      <c r="E41" s="6" t="str">
        <f t="shared" si="3"/>
        <v/>
      </c>
    </row>
    <row r="42" spans="1:5" x14ac:dyDescent="0.25">
      <c r="A42" s="3" t="s">
        <v>40</v>
      </c>
      <c r="B42" s="5">
        <f>390</f>
        <v>390</v>
      </c>
      <c r="C42" s="5">
        <f>1000</f>
        <v>1000</v>
      </c>
      <c r="D42" s="5">
        <f t="shared" si="2"/>
        <v>-610</v>
      </c>
      <c r="E42" s="6">
        <f t="shared" si="3"/>
        <v>0.39</v>
      </c>
    </row>
    <row r="43" spans="1:5" x14ac:dyDescent="0.25">
      <c r="A43" s="3" t="s">
        <v>41</v>
      </c>
      <c r="B43" s="7">
        <f>(B41)+(B42)</f>
        <v>409</v>
      </c>
      <c r="C43" s="7">
        <f>(C41)+(C42)</f>
        <v>1000</v>
      </c>
      <c r="D43" s="7">
        <f t="shared" si="2"/>
        <v>-591</v>
      </c>
      <c r="E43" s="8">
        <f t="shared" si="3"/>
        <v>0.40899999999999997</v>
      </c>
    </row>
    <row r="44" spans="1:5" x14ac:dyDescent="0.25">
      <c r="A44" s="3" t="s">
        <v>42</v>
      </c>
      <c r="B44" s="4"/>
      <c r="C44" s="4"/>
      <c r="D44" s="5">
        <f t="shared" si="2"/>
        <v>0</v>
      </c>
      <c r="E44" s="6" t="str">
        <f t="shared" si="3"/>
        <v/>
      </c>
    </row>
    <row r="45" spans="1:5" x14ac:dyDescent="0.25">
      <c r="A45" s="3" t="s">
        <v>43</v>
      </c>
      <c r="B45" s="4"/>
      <c r="C45" s="5">
        <f>350</f>
        <v>350</v>
      </c>
      <c r="D45" s="5">
        <f t="shared" si="2"/>
        <v>-350</v>
      </c>
      <c r="E45" s="6">
        <f t="shared" si="3"/>
        <v>0</v>
      </c>
    </row>
    <row r="46" spans="1:5" x14ac:dyDescent="0.25">
      <c r="A46" s="3" t="s">
        <v>44</v>
      </c>
      <c r="B46" s="5">
        <f>811.44</f>
        <v>811.44</v>
      </c>
      <c r="C46" s="5">
        <f>7710.53</f>
        <v>7710.53</v>
      </c>
      <c r="D46" s="5">
        <f t="shared" si="2"/>
        <v>-6899.09</v>
      </c>
      <c r="E46" s="6">
        <f t="shared" si="3"/>
        <v>0.1052379019341083</v>
      </c>
    </row>
    <row r="47" spans="1:5" x14ac:dyDescent="0.25">
      <c r="A47" s="3" t="s">
        <v>45</v>
      </c>
      <c r="B47" s="5">
        <f>37.91</f>
        <v>37.909999999999997</v>
      </c>
      <c r="C47" s="5">
        <f>2750</f>
        <v>2750</v>
      </c>
      <c r="D47" s="5">
        <f t="shared" si="2"/>
        <v>-2712.09</v>
      </c>
      <c r="E47" s="6">
        <f t="shared" si="3"/>
        <v>1.3785454545454543E-2</v>
      </c>
    </row>
    <row r="48" spans="1:5" x14ac:dyDescent="0.25">
      <c r="A48" s="3" t="s">
        <v>46</v>
      </c>
      <c r="B48" s="5">
        <f>253.82</f>
        <v>253.82</v>
      </c>
      <c r="C48" s="5">
        <f>7500</f>
        <v>7500</v>
      </c>
      <c r="D48" s="5">
        <f t="shared" si="2"/>
        <v>-7246.18</v>
      </c>
      <c r="E48" s="6">
        <f t="shared" si="3"/>
        <v>3.3842666666666667E-2</v>
      </c>
    </row>
    <row r="49" spans="1:5" x14ac:dyDescent="0.25">
      <c r="A49" s="3" t="s">
        <v>47</v>
      </c>
      <c r="B49" s="5">
        <f>4.5</f>
        <v>4.5</v>
      </c>
      <c r="C49" s="5">
        <f>200</f>
        <v>200</v>
      </c>
      <c r="D49" s="5">
        <f t="shared" si="2"/>
        <v>-195.5</v>
      </c>
      <c r="E49" s="6">
        <f t="shared" si="3"/>
        <v>2.2499999999999999E-2</v>
      </c>
    </row>
    <row r="50" spans="1:5" x14ac:dyDescent="0.25">
      <c r="A50" s="3" t="s">
        <v>48</v>
      </c>
      <c r="B50" s="5">
        <f>30</f>
        <v>30</v>
      </c>
      <c r="C50" s="5">
        <f>1750</f>
        <v>1750</v>
      </c>
      <c r="D50" s="5">
        <f t="shared" si="2"/>
        <v>-1720</v>
      </c>
      <c r="E50" s="6">
        <f t="shared" si="3"/>
        <v>1.7142857142857144E-2</v>
      </c>
    </row>
    <row r="51" spans="1:5" x14ac:dyDescent="0.25">
      <c r="A51" s="3" t="s">
        <v>49</v>
      </c>
      <c r="B51" s="4"/>
      <c r="C51" s="5">
        <f>1</f>
        <v>1</v>
      </c>
      <c r="D51" s="5">
        <f t="shared" si="2"/>
        <v>-1</v>
      </c>
      <c r="E51" s="6">
        <f t="shared" si="3"/>
        <v>0</v>
      </c>
    </row>
    <row r="52" spans="1:5" x14ac:dyDescent="0.25">
      <c r="A52" s="3" t="s">
        <v>50</v>
      </c>
      <c r="B52" s="5">
        <f>24</f>
        <v>24</v>
      </c>
      <c r="C52" s="5">
        <f>1500</f>
        <v>1500</v>
      </c>
      <c r="D52" s="5">
        <f t="shared" si="2"/>
        <v>-1476</v>
      </c>
      <c r="E52" s="6">
        <f t="shared" si="3"/>
        <v>1.6E-2</v>
      </c>
    </row>
    <row r="53" spans="1:5" x14ac:dyDescent="0.25">
      <c r="A53" s="3" t="s">
        <v>51</v>
      </c>
      <c r="B53" s="5">
        <f>75.8</f>
        <v>75.8</v>
      </c>
      <c r="C53" s="5">
        <f>2000</f>
        <v>2000</v>
      </c>
      <c r="D53" s="5">
        <f t="shared" si="2"/>
        <v>-1924.2</v>
      </c>
      <c r="E53" s="6">
        <f t="shared" si="3"/>
        <v>3.7899999999999996E-2</v>
      </c>
    </row>
    <row r="54" spans="1:5" x14ac:dyDescent="0.25">
      <c r="A54" s="3" t="s">
        <v>52</v>
      </c>
      <c r="B54" s="5">
        <f>14.5</f>
        <v>14.5</v>
      </c>
      <c r="C54" s="5">
        <f>350</f>
        <v>350</v>
      </c>
      <c r="D54" s="5">
        <f t="shared" si="2"/>
        <v>-335.5</v>
      </c>
      <c r="E54" s="6">
        <f t="shared" si="3"/>
        <v>4.1428571428571426E-2</v>
      </c>
    </row>
    <row r="55" spans="1:5" x14ac:dyDescent="0.25">
      <c r="A55" s="3" t="s">
        <v>53</v>
      </c>
      <c r="B55" s="5">
        <f>133.5</f>
        <v>133.5</v>
      </c>
      <c r="C55" s="5">
        <f>4000</f>
        <v>4000</v>
      </c>
      <c r="D55" s="5">
        <f t="shared" si="2"/>
        <v>-3866.5</v>
      </c>
      <c r="E55" s="6">
        <f t="shared" si="3"/>
        <v>3.3375000000000002E-2</v>
      </c>
    </row>
    <row r="56" spans="1:5" x14ac:dyDescent="0.25">
      <c r="A56" s="3" t="s">
        <v>54</v>
      </c>
      <c r="B56" s="4"/>
      <c r="C56" s="5">
        <f>250</f>
        <v>250</v>
      </c>
      <c r="D56" s="5">
        <f t="shared" si="2"/>
        <v>-250</v>
      </c>
      <c r="E56" s="6">
        <f t="shared" si="3"/>
        <v>0</v>
      </c>
    </row>
    <row r="57" spans="1:5" x14ac:dyDescent="0.25">
      <c r="A57" s="3" t="s">
        <v>55</v>
      </c>
      <c r="B57" s="5">
        <f>49.1</f>
        <v>49.1</v>
      </c>
      <c r="C57" s="5">
        <f>750</f>
        <v>750</v>
      </c>
      <c r="D57" s="5">
        <f t="shared" si="2"/>
        <v>-700.9</v>
      </c>
      <c r="E57" s="6">
        <f t="shared" si="3"/>
        <v>6.5466666666666673E-2</v>
      </c>
    </row>
    <row r="58" spans="1:5" x14ac:dyDescent="0.25">
      <c r="A58" s="3" t="s">
        <v>56</v>
      </c>
      <c r="B58" s="5">
        <f>53.5</f>
        <v>53.5</v>
      </c>
      <c r="C58" s="5">
        <f>2250</f>
        <v>2250</v>
      </c>
      <c r="D58" s="5">
        <f t="shared" si="2"/>
        <v>-2196.5</v>
      </c>
      <c r="E58" s="6">
        <f t="shared" si="3"/>
        <v>2.3777777777777776E-2</v>
      </c>
    </row>
    <row r="59" spans="1:5" x14ac:dyDescent="0.25">
      <c r="A59" s="3" t="s">
        <v>57</v>
      </c>
      <c r="B59" s="4"/>
      <c r="C59" s="5">
        <f>50</f>
        <v>50</v>
      </c>
      <c r="D59" s="5">
        <f t="shared" si="2"/>
        <v>-50</v>
      </c>
      <c r="E59" s="6">
        <f t="shared" si="3"/>
        <v>0</v>
      </c>
    </row>
    <row r="60" spans="1:5" x14ac:dyDescent="0.25">
      <c r="A60" s="3" t="s">
        <v>58</v>
      </c>
      <c r="B60" s="5">
        <f>98.1</f>
        <v>98.1</v>
      </c>
      <c r="C60" s="5">
        <f>2250</f>
        <v>2250</v>
      </c>
      <c r="D60" s="5">
        <f t="shared" si="2"/>
        <v>-2151.9</v>
      </c>
      <c r="E60" s="6">
        <f t="shared" si="3"/>
        <v>4.36E-2</v>
      </c>
    </row>
    <row r="61" spans="1:5" x14ac:dyDescent="0.25">
      <c r="A61" s="3" t="s">
        <v>59</v>
      </c>
      <c r="B61" s="5">
        <f>189.92</f>
        <v>189.92</v>
      </c>
      <c r="C61" s="5">
        <f>3500</f>
        <v>3500</v>
      </c>
      <c r="D61" s="5">
        <f t="shared" si="2"/>
        <v>-3310.08</v>
      </c>
      <c r="E61" s="6">
        <f t="shared" si="3"/>
        <v>5.426285714285714E-2</v>
      </c>
    </row>
    <row r="62" spans="1:5" x14ac:dyDescent="0.25">
      <c r="A62" s="3" t="s">
        <v>60</v>
      </c>
      <c r="B62" s="4"/>
      <c r="C62" s="5">
        <f>2000</f>
        <v>2000</v>
      </c>
      <c r="D62" s="5">
        <f t="shared" si="2"/>
        <v>-2000</v>
      </c>
      <c r="E62" s="6">
        <f t="shared" si="3"/>
        <v>0</v>
      </c>
    </row>
    <row r="63" spans="1:5" x14ac:dyDescent="0.25">
      <c r="A63" s="3" t="s">
        <v>61</v>
      </c>
      <c r="B63" s="5">
        <f>-54.57</f>
        <v>-54.57</v>
      </c>
      <c r="C63" s="5">
        <f>-750</f>
        <v>-750</v>
      </c>
      <c r="D63" s="5">
        <f t="shared" si="2"/>
        <v>695.43</v>
      </c>
      <c r="E63" s="6">
        <f t="shared" si="3"/>
        <v>7.2760000000000005E-2</v>
      </c>
    </row>
    <row r="64" spans="1:5" x14ac:dyDescent="0.25">
      <c r="A64" s="3" t="s">
        <v>62</v>
      </c>
      <c r="B64" s="4"/>
      <c r="C64" s="5">
        <f>250</f>
        <v>250</v>
      </c>
      <c r="D64" s="5">
        <f t="shared" si="2"/>
        <v>-250</v>
      </c>
      <c r="E64" s="6">
        <f t="shared" si="3"/>
        <v>0</v>
      </c>
    </row>
    <row r="65" spans="1:5" x14ac:dyDescent="0.25">
      <c r="A65" s="3" t="s">
        <v>63</v>
      </c>
      <c r="B65" s="4"/>
      <c r="C65" s="5">
        <f>75</f>
        <v>75</v>
      </c>
      <c r="D65" s="5">
        <f t="shared" si="2"/>
        <v>-75</v>
      </c>
      <c r="E65" s="6">
        <f t="shared" si="3"/>
        <v>0</v>
      </c>
    </row>
    <row r="66" spans="1:5" x14ac:dyDescent="0.25">
      <c r="A66" s="3" t="s">
        <v>64</v>
      </c>
      <c r="B66" s="5">
        <f>134</f>
        <v>134</v>
      </c>
      <c r="C66" s="5">
        <f>2500</f>
        <v>2500</v>
      </c>
      <c r="D66" s="5">
        <f t="shared" si="2"/>
        <v>-2366</v>
      </c>
      <c r="E66" s="6">
        <f t="shared" si="3"/>
        <v>5.3600000000000002E-2</v>
      </c>
    </row>
    <row r="67" spans="1:5" x14ac:dyDescent="0.25">
      <c r="A67" s="3" t="s">
        <v>65</v>
      </c>
      <c r="B67" s="4"/>
      <c r="C67" s="5">
        <f>200</f>
        <v>200</v>
      </c>
      <c r="D67" s="5">
        <f t="shared" si="2"/>
        <v>-200</v>
      </c>
      <c r="E67" s="6">
        <f t="shared" si="3"/>
        <v>0</v>
      </c>
    </row>
    <row r="68" spans="1:5" x14ac:dyDescent="0.25">
      <c r="A68" s="3" t="s">
        <v>66</v>
      </c>
      <c r="B68" s="5">
        <f>158.5</f>
        <v>158.5</v>
      </c>
      <c r="C68" s="5">
        <f>7500</f>
        <v>7500</v>
      </c>
      <c r="D68" s="5">
        <f t="shared" si="2"/>
        <v>-7341.5</v>
      </c>
      <c r="E68" s="6">
        <f t="shared" si="3"/>
        <v>2.1133333333333334E-2</v>
      </c>
    </row>
    <row r="69" spans="1:5" x14ac:dyDescent="0.25">
      <c r="A69" s="3" t="s">
        <v>67</v>
      </c>
      <c r="B69" s="5">
        <f>21</f>
        <v>21</v>
      </c>
      <c r="C69" s="5">
        <f>375</f>
        <v>375</v>
      </c>
      <c r="D69" s="5">
        <f t="shared" si="2"/>
        <v>-354</v>
      </c>
      <c r="E69" s="6">
        <f t="shared" si="3"/>
        <v>5.6000000000000001E-2</v>
      </c>
    </row>
    <row r="70" spans="1:5" x14ac:dyDescent="0.25">
      <c r="A70" s="3" t="s">
        <v>68</v>
      </c>
      <c r="B70" s="5">
        <f>12</f>
        <v>12</v>
      </c>
      <c r="C70" s="5">
        <f>3000</f>
        <v>3000</v>
      </c>
      <c r="D70" s="5">
        <f t="shared" si="2"/>
        <v>-2988</v>
      </c>
      <c r="E70" s="6">
        <f t="shared" si="3"/>
        <v>4.0000000000000001E-3</v>
      </c>
    </row>
    <row r="71" spans="1:5" x14ac:dyDescent="0.25">
      <c r="A71" s="3" t="s">
        <v>69</v>
      </c>
      <c r="B71" s="5">
        <f>58.5</f>
        <v>58.5</v>
      </c>
      <c r="C71" s="5">
        <f>750</f>
        <v>750</v>
      </c>
      <c r="D71" s="5">
        <f t="shared" si="2"/>
        <v>-691.5</v>
      </c>
      <c r="E71" s="6">
        <f t="shared" si="3"/>
        <v>7.8E-2</v>
      </c>
    </row>
    <row r="72" spans="1:5" x14ac:dyDescent="0.25">
      <c r="A72" s="3" t="s">
        <v>70</v>
      </c>
      <c r="B72" s="5">
        <f>30</f>
        <v>30</v>
      </c>
      <c r="C72" s="5">
        <f>75</f>
        <v>75</v>
      </c>
      <c r="D72" s="5">
        <f t="shared" ref="D72:D103" si="4">(B72)-(C72)</f>
        <v>-45</v>
      </c>
      <c r="E72" s="6">
        <f t="shared" ref="E72:E91" si="5">IF(C72=0,"",(B72)/(C72))</f>
        <v>0.4</v>
      </c>
    </row>
    <row r="73" spans="1:5" x14ac:dyDescent="0.25">
      <c r="A73" s="3" t="s">
        <v>71</v>
      </c>
      <c r="B73" s="5">
        <f>64</f>
        <v>64</v>
      </c>
      <c r="C73" s="5">
        <f>375</f>
        <v>375</v>
      </c>
      <c r="D73" s="5">
        <f t="shared" si="4"/>
        <v>-311</v>
      </c>
      <c r="E73" s="6">
        <f t="shared" si="5"/>
        <v>0.17066666666666666</v>
      </c>
    </row>
    <row r="74" spans="1:5" x14ac:dyDescent="0.25">
      <c r="A74" s="3" t="s">
        <v>72</v>
      </c>
      <c r="B74" s="4"/>
      <c r="C74" s="5">
        <f>75</f>
        <v>75</v>
      </c>
      <c r="D74" s="5">
        <f t="shared" si="4"/>
        <v>-75</v>
      </c>
      <c r="E74" s="6">
        <f t="shared" si="5"/>
        <v>0</v>
      </c>
    </row>
    <row r="75" spans="1:5" x14ac:dyDescent="0.25">
      <c r="A75" s="3" t="s">
        <v>73</v>
      </c>
      <c r="B75" s="5">
        <f>40</f>
        <v>40</v>
      </c>
      <c r="C75" s="5">
        <f>1250</f>
        <v>1250</v>
      </c>
      <c r="D75" s="5">
        <f t="shared" si="4"/>
        <v>-1210</v>
      </c>
      <c r="E75" s="6">
        <f t="shared" si="5"/>
        <v>3.2000000000000001E-2</v>
      </c>
    </row>
    <row r="76" spans="1:5" x14ac:dyDescent="0.25">
      <c r="A76" s="3" t="s">
        <v>74</v>
      </c>
      <c r="B76" s="5">
        <f>6</f>
        <v>6</v>
      </c>
      <c r="C76" s="5">
        <f>300</f>
        <v>300</v>
      </c>
      <c r="D76" s="5">
        <f t="shared" si="4"/>
        <v>-294</v>
      </c>
      <c r="E76" s="6">
        <f t="shared" si="5"/>
        <v>0.02</v>
      </c>
    </row>
    <row r="77" spans="1:5" x14ac:dyDescent="0.25">
      <c r="A77" s="3" t="s">
        <v>75</v>
      </c>
      <c r="B77" s="4"/>
      <c r="C77" s="5">
        <f>300</f>
        <v>300</v>
      </c>
      <c r="D77" s="5">
        <f t="shared" si="4"/>
        <v>-300</v>
      </c>
      <c r="E77" s="6">
        <f t="shared" si="5"/>
        <v>0</v>
      </c>
    </row>
    <row r="78" spans="1:5" x14ac:dyDescent="0.25">
      <c r="A78" s="3" t="s">
        <v>76</v>
      </c>
      <c r="B78" s="4"/>
      <c r="C78" s="5">
        <f>75</f>
        <v>75</v>
      </c>
      <c r="D78" s="5">
        <f t="shared" si="4"/>
        <v>-75</v>
      </c>
      <c r="E78" s="6">
        <f t="shared" si="5"/>
        <v>0</v>
      </c>
    </row>
    <row r="79" spans="1:5" x14ac:dyDescent="0.25">
      <c r="A79" s="3" t="s">
        <v>77</v>
      </c>
      <c r="B79" s="5">
        <f>36</f>
        <v>36</v>
      </c>
      <c r="C79" s="5">
        <f>1250</f>
        <v>1250</v>
      </c>
      <c r="D79" s="5">
        <f t="shared" si="4"/>
        <v>-1214</v>
      </c>
      <c r="E79" s="6">
        <f t="shared" si="5"/>
        <v>2.8799999999999999E-2</v>
      </c>
    </row>
    <row r="80" spans="1:5" x14ac:dyDescent="0.25">
      <c r="A80" s="3" t="s">
        <v>78</v>
      </c>
      <c r="B80" s="4"/>
      <c r="C80" s="5">
        <f>75</f>
        <v>75</v>
      </c>
      <c r="D80" s="5">
        <f t="shared" si="4"/>
        <v>-75</v>
      </c>
      <c r="E80" s="6">
        <f t="shared" si="5"/>
        <v>0</v>
      </c>
    </row>
    <row r="81" spans="1:5" x14ac:dyDescent="0.25">
      <c r="A81" s="3" t="s">
        <v>79</v>
      </c>
      <c r="B81" s="5">
        <f>24</f>
        <v>24</v>
      </c>
      <c r="C81" s="5">
        <f>500</f>
        <v>500</v>
      </c>
      <c r="D81" s="5">
        <f t="shared" si="4"/>
        <v>-476</v>
      </c>
      <c r="E81" s="6">
        <f t="shared" si="5"/>
        <v>4.8000000000000001E-2</v>
      </c>
    </row>
    <row r="82" spans="1:5" x14ac:dyDescent="0.25">
      <c r="A82" s="3" t="s">
        <v>80</v>
      </c>
      <c r="B82" s="5">
        <f>69</f>
        <v>69</v>
      </c>
      <c r="C82" s="5">
        <f>1000</f>
        <v>1000</v>
      </c>
      <c r="D82" s="5">
        <f t="shared" si="4"/>
        <v>-931</v>
      </c>
      <c r="E82" s="6">
        <f t="shared" si="5"/>
        <v>6.9000000000000006E-2</v>
      </c>
    </row>
    <row r="83" spans="1:5" x14ac:dyDescent="0.25">
      <c r="A83" s="3" t="s">
        <v>81</v>
      </c>
      <c r="B83" s="4"/>
      <c r="C83" s="5">
        <f>1000</f>
        <v>1000</v>
      </c>
      <c r="D83" s="5">
        <f t="shared" si="4"/>
        <v>-1000</v>
      </c>
      <c r="E83" s="6">
        <f t="shared" si="5"/>
        <v>0</v>
      </c>
    </row>
    <row r="84" spans="1:5" x14ac:dyDescent="0.25">
      <c r="A84" s="3" t="s">
        <v>82</v>
      </c>
      <c r="B84" s="5">
        <f>40</f>
        <v>40</v>
      </c>
      <c r="C84" s="5">
        <f>120</f>
        <v>120</v>
      </c>
      <c r="D84" s="5">
        <f t="shared" si="4"/>
        <v>-80</v>
      </c>
      <c r="E84" s="6">
        <f t="shared" si="5"/>
        <v>0.33333333333333331</v>
      </c>
    </row>
    <row r="85" spans="1:5" x14ac:dyDescent="0.25">
      <c r="A85" s="3" t="s">
        <v>83</v>
      </c>
      <c r="B85" s="5">
        <f>45</f>
        <v>45</v>
      </c>
      <c r="C85" s="5">
        <f>1000</f>
        <v>1000</v>
      </c>
      <c r="D85" s="5">
        <f t="shared" si="4"/>
        <v>-955</v>
      </c>
      <c r="E85" s="6">
        <f t="shared" si="5"/>
        <v>4.4999999999999998E-2</v>
      </c>
    </row>
    <row r="86" spans="1:5" x14ac:dyDescent="0.25">
      <c r="A86" s="3" t="s">
        <v>84</v>
      </c>
      <c r="B86" s="4"/>
      <c r="C86" s="5">
        <f>100</f>
        <v>100</v>
      </c>
      <c r="D86" s="5">
        <f t="shared" si="4"/>
        <v>-100</v>
      </c>
      <c r="E86" s="6">
        <f t="shared" si="5"/>
        <v>0</v>
      </c>
    </row>
    <row r="87" spans="1:5" x14ac:dyDescent="0.25">
      <c r="A87" s="3" t="s">
        <v>85</v>
      </c>
      <c r="B87" s="5">
        <f>90</f>
        <v>90</v>
      </c>
      <c r="C87" s="5">
        <f>1500</f>
        <v>1500</v>
      </c>
      <c r="D87" s="5">
        <f t="shared" si="4"/>
        <v>-1410</v>
      </c>
      <c r="E87" s="6">
        <f t="shared" si="5"/>
        <v>0.06</v>
      </c>
    </row>
    <row r="88" spans="1:5" x14ac:dyDescent="0.25">
      <c r="A88" s="3" t="s">
        <v>86</v>
      </c>
      <c r="B88" s="7">
        <f>(((((((((((((((((((((((((((((((((((((((((((B44)+(B45))+(B46))+(B47))+(B48))+(B49))+(B50))+(B51))+(B52))+(B53))+(B54))+(B55))+(B56))+(B57))+(B58))+(B59))+(B60))+(B61))+(B62))+(B63))+(B64))+(B65))+(B66))+(B67))+(B68))+(B69))+(B70))+(B71))+(B72))+(B73))+(B74))+(B75))+(B76))+(B77))+(B78))+(B79))+(B80))+(B81))+(B82))+(B83))+(B84))+(B85))+(B86))+(B87)</f>
        <v>2549.52</v>
      </c>
      <c r="C88" s="7">
        <f>(((((((((((((((((((((((((((((((((((((((((((C44)+(C45))+(C46))+(C47))+(C48))+(C49))+(C50))+(C51))+(C52))+(C53))+(C54))+(C55))+(C56))+(C57))+(C58))+(C59))+(C60))+(C61))+(C62))+(C63))+(C64))+(C65))+(C66))+(C67))+(C68))+(C69))+(C70))+(C71))+(C72))+(C73))+(C74))+(C75))+(C76))+(C77))+(C78))+(C79))+(C80))+(C81))+(C82))+(C83))+(C84))+(C85))+(C86))+(C87)</f>
        <v>62056.53</v>
      </c>
      <c r="D88" s="7">
        <f t="shared" si="4"/>
        <v>-59507.01</v>
      </c>
      <c r="E88" s="8">
        <f t="shared" si="5"/>
        <v>4.1083831145570016E-2</v>
      </c>
    </row>
    <row r="89" spans="1:5" x14ac:dyDescent="0.25">
      <c r="A89" s="3" t="s">
        <v>87</v>
      </c>
      <c r="B89" s="7">
        <f>(((((B28)+(B29))+(B36))+(B40))+(B43))+(B88)</f>
        <v>6242.42</v>
      </c>
      <c r="C89" s="7">
        <f>(((((C28)+(C29))+(C36))+(C40))+(C43))+(C88)</f>
        <v>196881.53</v>
      </c>
      <c r="D89" s="7">
        <f t="shared" si="4"/>
        <v>-190639.11</v>
      </c>
      <c r="E89" s="8">
        <f t="shared" si="5"/>
        <v>3.1706478510198491E-2</v>
      </c>
    </row>
    <row r="90" spans="1:5" x14ac:dyDescent="0.25">
      <c r="A90" s="3" t="s">
        <v>88</v>
      </c>
      <c r="B90" s="5">
        <f>184.51</f>
        <v>184.51</v>
      </c>
      <c r="C90" s="5">
        <f>300</f>
        <v>300</v>
      </c>
      <c r="D90" s="5">
        <f t="shared" si="4"/>
        <v>-115.49000000000001</v>
      </c>
      <c r="E90" s="6">
        <f t="shared" si="5"/>
        <v>0.61503333333333332</v>
      </c>
    </row>
    <row r="91" spans="1:5" x14ac:dyDescent="0.25">
      <c r="A91" s="3" t="s">
        <v>89</v>
      </c>
      <c r="B91" s="7">
        <f>((((B12)+(B26))+(B27))+(B89))+(B90)</f>
        <v>293943.72000000003</v>
      </c>
      <c r="C91" s="7">
        <f>((((C12)+(C26))+(C27))+(C89))+(C90)</f>
        <v>814381.53</v>
      </c>
      <c r="D91" s="7">
        <f t="shared" si="4"/>
        <v>-520437.81</v>
      </c>
      <c r="E91" s="8">
        <f t="shared" si="5"/>
        <v>0.36094104442668296</v>
      </c>
    </row>
    <row r="92" spans="1:5" x14ac:dyDescent="0.25">
      <c r="A92" s="3" t="s">
        <v>90</v>
      </c>
      <c r="B92" s="4"/>
      <c r="C92" s="4"/>
      <c r="D92" s="4"/>
      <c r="E92" s="4"/>
    </row>
    <row r="93" spans="1:5" x14ac:dyDescent="0.25">
      <c r="A93" s="3" t="s">
        <v>91</v>
      </c>
      <c r="B93" s="5">
        <f>2504.92</f>
        <v>2504.92</v>
      </c>
      <c r="C93" s="5">
        <f>25000</f>
        <v>25000</v>
      </c>
      <c r="D93" s="5">
        <f>(B93)-(C93)</f>
        <v>-22495.08</v>
      </c>
      <c r="E93" s="6">
        <f>IF(C93=0,"",(B93)/(C93))</f>
        <v>0.1001968</v>
      </c>
    </row>
    <row r="94" spans="1:5" x14ac:dyDescent="0.25">
      <c r="A94" s="3" t="s">
        <v>92</v>
      </c>
      <c r="B94" s="5">
        <f>205.18</f>
        <v>205.18</v>
      </c>
      <c r="C94" s="5">
        <f>5000</f>
        <v>5000</v>
      </c>
      <c r="D94" s="5">
        <f>(B94)-(C94)</f>
        <v>-4794.82</v>
      </c>
      <c r="E94" s="6">
        <f>IF(C94=0,"",(B94)/(C94))</f>
        <v>4.1036000000000003E-2</v>
      </c>
    </row>
    <row r="95" spans="1:5" x14ac:dyDescent="0.25">
      <c r="A95" s="3" t="s">
        <v>93</v>
      </c>
      <c r="B95" s="7">
        <f>(B93)+(B94)</f>
        <v>2710.1</v>
      </c>
      <c r="C95" s="7">
        <f>(C93)+(C94)</f>
        <v>30000</v>
      </c>
      <c r="D95" s="7">
        <f>(B95)-(C95)</f>
        <v>-27289.9</v>
      </c>
      <c r="E95" s="8">
        <f>IF(C95=0,"",(B95)/(C95))</f>
        <v>9.0336666666666662E-2</v>
      </c>
    </row>
    <row r="96" spans="1:5" x14ac:dyDescent="0.25">
      <c r="A96" s="3" t="s">
        <v>94</v>
      </c>
      <c r="B96" s="7">
        <f>(B91)-(B95)</f>
        <v>291233.62000000005</v>
      </c>
      <c r="C96" s="7">
        <f>(C91)-(C95)</f>
        <v>784381.53</v>
      </c>
      <c r="D96" s="7">
        <f>(B96)-(C96)</f>
        <v>-493147.91</v>
      </c>
      <c r="E96" s="8">
        <f>IF(C96=0,"",(B96)/(C96))</f>
        <v>0.37129076713471321</v>
      </c>
    </row>
    <row r="97" spans="1:5" x14ac:dyDescent="0.25">
      <c r="A97" s="3" t="s">
        <v>95</v>
      </c>
      <c r="B97" s="4"/>
      <c r="C97" s="4"/>
      <c r="D97" s="4"/>
      <c r="E97" s="4"/>
    </row>
    <row r="98" spans="1:5" x14ac:dyDescent="0.25">
      <c r="A98" s="3" t="s">
        <v>96</v>
      </c>
      <c r="B98" s="4"/>
      <c r="C98" s="4"/>
      <c r="D98" s="5">
        <f t="shared" ref="D98:D129" si="6">(B98)-(C98)</f>
        <v>0</v>
      </c>
      <c r="E98" s="6" t="str">
        <f t="shared" ref="E98:E129" si="7">IF(C98=0,"",(B98)/(C98))</f>
        <v/>
      </c>
    </row>
    <row r="99" spans="1:5" x14ac:dyDescent="0.25">
      <c r="A99" s="3" t="s">
        <v>97</v>
      </c>
      <c r="B99" s="5">
        <f>32572</f>
        <v>32572</v>
      </c>
      <c r="C99" s="5">
        <f>33500</f>
        <v>33500</v>
      </c>
      <c r="D99" s="5">
        <f t="shared" si="6"/>
        <v>-928</v>
      </c>
      <c r="E99" s="6">
        <f t="shared" si="7"/>
        <v>0.97229850746268653</v>
      </c>
    </row>
    <row r="100" spans="1:5" x14ac:dyDescent="0.25">
      <c r="A100" s="3" t="s">
        <v>98</v>
      </c>
      <c r="B100" s="7">
        <f>(B98)+(B99)</f>
        <v>32572</v>
      </c>
      <c r="C100" s="7">
        <f>(C98)+(C99)</f>
        <v>33500</v>
      </c>
      <c r="D100" s="7">
        <f t="shared" si="6"/>
        <v>-928</v>
      </c>
      <c r="E100" s="8">
        <f t="shared" si="7"/>
        <v>0.97229850746268653</v>
      </c>
    </row>
    <row r="101" spans="1:5" x14ac:dyDescent="0.25">
      <c r="A101" s="3" t="s">
        <v>99</v>
      </c>
      <c r="B101" s="5">
        <f>250</f>
        <v>250</v>
      </c>
      <c r="C101" s="5">
        <f>13000</f>
        <v>13000</v>
      </c>
      <c r="D101" s="5">
        <f t="shared" si="6"/>
        <v>-12750</v>
      </c>
      <c r="E101" s="6">
        <f t="shared" si="7"/>
        <v>1.9230769230769232E-2</v>
      </c>
    </row>
    <row r="102" spans="1:5" x14ac:dyDescent="0.25">
      <c r="A102" s="3" t="s">
        <v>100</v>
      </c>
      <c r="B102" s="5">
        <f>551.69</f>
        <v>551.69000000000005</v>
      </c>
      <c r="C102" s="5">
        <f>2500</f>
        <v>2500</v>
      </c>
      <c r="D102" s="5">
        <f t="shared" si="6"/>
        <v>-1948.31</v>
      </c>
      <c r="E102" s="6">
        <f t="shared" si="7"/>
        <v>0.22067600000000001</v>
      </c>
    </row>
    <row r="103" spans="1:5" x14ac:dyDescent="0.25">
      <c r="A103" s="3" t="s">
        <v>101</v>
      </c>
      <c r="B103" s="5">
        <f>4274.32</f>
        <v>4274.32</v>
      </c>
      <c r="C103" s="5">
        <f>15250</f>
        <v>15250</v>
      </c>
      <c r="D103" s="5">
        <f t="shared" si="6"/>
        <v>-10975.68</v>
      </c>
      <c r="E103" s="6">
        <f t="shared" si="7"/>
        <v>0.2802832786885246</v>
      </c>
    </row>
    <row r="104" spans="1:5" x14ac:dyDescent="0.25">
      <c r="A104" s="3" t="s">
        <v>102</v>
      </c>
      <c r="B104" s="5">
        <f>45.77</f>
        <v>45.77</v>
      </c>
      <c r="C104" s="5">
        <f>1500</f>
        <v>1500</v>
      </c>
      <c r="D104" s="5">
        <f t="shared" si="6"/>
        <v>-1454.23</v>
      </c>
      <c r="E104" s="6">
        <f t="shared" si="7"/>
        <v>3.0513333333333337E-2</v>
      </c>
    </row>
    <row r="105" spans="1:5" x14ac:dyDescent="0.25">
      <c r="A105" s="3" t="s">
        <v>103</v>
      </c>
      <c r="B105" s="4"/>
      <c r="C105" s="4"/>
      <c r="D105" s="5">
        <f t="shared" si="6"/>
        <v>0</v>
      </c>
      <c r="E105" s="6" t="str">
        <f t="shared" si="7"/>
        <v/>
      </c>
    </row>
    <row r="106" spans="1:5" x14ac:dyDescent="0.25">
      <c r="A106" s="3" t="s">
        <v>104</v>
      </c>
      <c r="B106" s="4"/>
      <c r="C106" s="5">
        <f>1500</f>
        <v>1500</v>
      </c>
      <c r="D106" s="5">
        <f t="shared" si="6"/>
        <v>-1500</v>
      </c>
      <c r="E106" s="6">
        <f t="shared" si="7"/>
        <v>0</v>
      </c>
    </row>
    <row r="107" spans="1:5" x14ac:dyDescent="0.25">
      <c r="A107" s="3" t="s">
        <v>105</v>
      </c>
      <c r="B107" s="4"/>
      <c r="C107" s="5">
        <f>150</f>
        <v>150</v>
      </c>
      <c r="D107" s="5">
        <f t="shared" si="6"/>
        <v>-150</v>
      </c>
      <c r="E107" s="6">
        <f t="shared" si="7"/>
        <v>0</v>
      </c>
    </row>
    <row r="108" spans="1:5" x14ac:dyDescent="0.25">
      <c r="A108" s="3" t="s">
        <v>106</v>
      </c>
      <c r="B108" s="7">
        <f>((B105)+(B106))+(B107)</f>
        <v>0</v>
      </c>
      <c r="C108" s="7">
        <f>((C105)+(C106))+(C107)</f>
        <v>1650</v>
      </c>
      <c r="D108" s="7">
        <f t="shared" si="6"/>
        <v>-1650</v>
      </c>
      <c r="E108" s="8">
        <f t="shared" si="7"/>
        <v>0</v>
      </c>
    </row>
    <row r="109" spans="1:5" x14ac:dyDescent="0.25">
      <c r="A109" s="3" t="s">
        <v>107</v>
      </c>
      <c r="B109" s="4"/>
      <c r="C109" s="4"/>
      <c r="D109" s="5">
        <f t="shared" si="6"/>
        <v>0</v>
      </c>
      <c r="E109" s="6" t="str">
        <f t="shared" si="7"/>
        <v/>
      </c>
    </row>
    <row r="110" spans="1:5" x14ac:dyDescent="0.25">
      <c r="A110" s="3" t="s">
        <v>108</v>
      </c>
      <c r="B110" s="5">
        <f>5070.68</f>
        <v>5070.68</v>
      </c>
      <c r="C110" s="5">
        <f>15250</f>
        <v>15250</v>
      </c>
      <c r="D110" s="5">
        <f t="shared" si="6"/>
        <v>-10179.32</v>
      </c>
      <c r="E110" s="6">
        <f t="shared" si="7"/>
        <v>0.3325036065573771</v>
      </c>
    </row>
    <row r="111" spans="1:5" x14ac:dyDescent="0.25">
      <c r="A111" s="3" t="s">
        <v>109</v>
      </c>
      <c r="B111" s="7">
        <f>(B109)+(B110)</f>
        <v>5070.68</v>
      </c>
      <c r="C111" s="7">
        <f>(C109)+(C110)</f>
        <v>15250</v>
      </c>
      <c r="D111" s="7">
        <f t="shared" si="6"/>
        <v>-10179.32</v>
      </c>
      <c r="E111" s="8">
        <f t="shared" si="7"/>
        <v>0.3325036065573771</v>
      </c>
    </row>
    <row r="112" spans="1:5" x14ac:dyDescent="0.25">
      <c r="A112" s="3" t="s">
        <v>110</v>
      </c>
      <c r="B112" s="4"/>
      <c r="C112" s="4"/>
      <c r="D112" s="5">
        <f t="shared" si="6"/>
        <v>0</v>
      </c>
      <c r="E112" s="6" t="str">
        <f t="shared" si="7"/>
        <v/>
      </c>
    </row>
    <row r="113" spans="1:5" x14ac:dyDescent="0.25">
      <c r="A113" s="3" t="s">
        <v>111</v>
      </c>
      <c r="B113" s="5">
        <f>13864.39</f>
        <v>13864.39</v>
      </c>
      <c r="C113" s="5">
        <f>41500</f>
        <v>41500</v>
      </c>
      <c r="D113" s="5">
        <f t="shared" si="6"/>
        <v>-27635.61</v>
      </c>
      <c r="E113" s="6">
        <f t="shared" si="7"/>
        <v>0.33408168674698796</v>
      </c>
    </row>
    <row r="114" spans="1:5" x14ac:dyDescent="0.25">
      <c r="A114" s="3" t="s">
        <v>112</v>
      </c>
      <c r="B114" s="5">
        <f>11491.65</f>
        <v>11491.65</v>
      </c>
      <c r="C114" s="5">
        <f>23200</f>
        <v>23200</v>
      </c>
      <c r="D114" s="5">
        <f t="shared" si="6"/>
        <v>-11708.35</v>
      </c>
      <c r="E114" s="6">
        <f t="shared" si="7"/>
        <v>0.49532974137931035</v>
      </c>
    </row>
    <row r="115" spans="1:5" x14ac:dyDescent="0.25">
      <c r="A115" s="3" t="s">
        <v>113</v>
      </c>
      <c r="B115" s="5">
        <f>138.72</f>
        <v>138.72</v>
      </c>
      <c r="C115" s="5">
        <f>280</f>
        <v>280</v>
      </c>
      <c r="D115" s="5">
        <f t="shared" si="6"/>
        <v>-141.28</v>
      </c>
      <c r="E115" s="6">
        <f t="shared" si="7"/>
        <v>0.49542857142857144</v>
      </c>
    </row>
    <row r="116" spans="1:5" x14ac:dyDescent="0.25">
      <c r="A116" s="3" t="s">
        <v>114</v>
      </c>
      <c r="B116" s="7">
        <f>(((B112)+(B113))+(B114))+(B115)</f>
        <v>25494.760000000002</v>
      </c>
      <c r="C116" s="7">
        <f>(((C112)+(C113))+(C114))+(C115)</f>
        <v>64980</v>
      </c>
      <c r="D116" s="7">
        <f t="shared" si="6"/>
        <v>-39485.24</v>
      </c>
      <c r="E116" s="8">
        <f t="shared" si="7"/>
        <v>0.39234779932286862</v>
      </c>
    </row>
    <row r="117" spans="1:5" x14ac:dyDescent="0.25">
      <c r="A117" s="3" t="s">
        <v>115</v>
      </c>
      <c r="B117" s="4"/>
      <c r="C117" s="4"/>
      <c r="D117" s="5">
        <f t="shared" si="6"/>
        <v>0</v>
      </c>
      <c r="E117" s="6" t="str">
        <f t="shared" si="7"/>
        <v/>
      </c>
    </row>
    <row r="118" spans="1:5" x14ac:dyDescent="0.25">
      <c r="A118" s="3" t="s">
        <v>116</v>
      </c>
      <c r="B118" s="5">
        <f>1139.17</f>
        <v>1139.17</v>
      </c>
      <c r="C118" s="5">
        <f>4000</f>
        <v>4000</v>
      </c>
      <c r="D118" s="5">
        <f t="shared" si="6"/>
        <v>-2860.83</v>
      </c>
      <c r="E118" s="6">
        <f t="shared" si="7"/>
        <v>0.2847925</v>
      </c>
    </row>
    <row r="119" spans="1:5" x14ac:dyDescent="0.25">
      <c r="A119" s="3" t="s">
        <v>117</v>
      </c>
      <c r="B119" s="5">
        <f>770.65</f>
        <v>770.65</v>
      </c>
      <c r="C119" s="5">
        <f>2250</f>
        <v>2250</v>
      </c>
      <c r="D119" s="5">
        <f t="shared" si="6"/>
        <v>-1479.35</v>
      </c>
      <c r="E119" s="6">
        <f t="shared" si="7"/>
        <v>0.3425111111111111</v>
      </c>
    </row>
    <row r="120" spans="1:5" x14ac:dyDescent="0.25">
      <c r="A120" s="3" t="s">
        <v>118</v>
      </c>
      <c r="B120" s="5">
        <f>2882.63</f>
        <v>2882.63</v>
      </c>
      <c r="C120" s="5">
        <f>8500</f>
        <v>8500</v>
      </c>
      <c r="D120" s="5">
        <f t="shared" si="6"/>
        <v>-5617.37</v>
      </c>
      <c r="E120" s="6">
        <f t="shared" si="7"/>
        <v>0.33913294117647058</v>
      </c>
    </row>
    <row r="121" spans="1:5" x14ac:dyDescent="0.25">
      <c r="A121" s="3" t="s">
        <v>119</v>
      </c>
      <c r="B121" s="7">
        <f>(((B117)+(B118))+(B119))+(B120)</f>
        <v>4792.4500000000007</v>
      </c>
      <c r="C121" s="7">
        <f>(((C117)+(C118))+(C119))+(C120)</f>
        <v>14750</v>
      </c>
      <c r="D121" s="7">
        <f t="shared" si="6"/>
        <v>-9957.5499999999993</v>
      </c>
      <c r="E121" s="8">
        <f t="shared" si="7"/>
        <v>0.32491186440677972</v>
      </c>
    </row>
    <row r="122" spans="1:5" x14ac:dyDescent="0.25">
      <c r="A122" s="3" t="s">
        <v>120</v>
      </c>
      <c r="B122" s="5">
        <f>2687.85</f>
        <v>2687.85</v>
      </c>
      <c r="C122" s="5">
        <f>8000</f>
        <v>8000</v>
      </c>
      <c r="D122" s="5">
        <f t="shared" si="6"/>
        <v>-5312.15</v>
      </c>
      <c r="E122" s="6">
        <f t="shared" si="7"/>
        <v>0.33598125000000001</v>
      </c>
    </row>
    <row r="123" spans="1:5" x14ac:dyDescent="0.25">
      <c r="A123" s="3" t="s">
        <v>121</v>
      </c>
      <c r="B123" s="4"/>
      <c r="C123" s="4"/>
      <c r="D123" s="5">
        <f t="shared" si="6"/>
        <v>0</v>
      </c>
      <c r="E123" s="6" t="str">
        <f t="shared" si="7"/>
        <v/>
      </c>
    </row>
    <row r="124" spans="1:5" x14ac:dyDescent="0.25">
      <c r="A124" s="3" t="s">
        <v>122</v>
      </c>
      <c r="B124" s="5">
        <f>272.12</f>
        <v>272.12</v>
      </c>
      <c r="C124" s="5">
        <f>1500</f>
        <v>1500</v>
      </c>
      <c r="D124" s="5">
        <f t="shared" si="6"/>
        <v>-1227.8800000000001</v>
      </c>
      <c r="E124" s="6">
        <f t="shared" si="7"/>
        <v>0.18141333333333334</v>
      </c>
    </row>
    <row r="125" spans="1:5" x14ac:dyDescent="0.25">
      <c r="A125" s="3" t="s">
        <v>123</v>
      </c>
      <c r="B125" s="5">
        <f>2442.09</f>
        <v>2442.09</v>
      </c>
      <c r="C125" s="5">
        <f>10000</f>
        <v>10000</v>
      </c>
      <c r="D125" s="5">
        <f t="shared" si="6"/>
        <v>-7557.91</v>
      </c>
      <c r="E125" s="6">
        <f t="shared" si="7"/>
        <v>0.24420900000000001</v>
      </c>
    </row>
    <row r="126" spans="1:5" x14ac:dyDescent="0.25">
      <c r="A126" s="3" t="s">
        <v>124</v>
      </c>
      <c r="B126" s="7">
        <f>((B123)+(B124))+(B125)</f>
        <v>2714.21</v>
      </c>
      <c r="C126" s="7">
        <f>((C123)+(C124))+(C125)</f>
        <v>11500</v>
      </c>
      <c r="D126" s="7">
        <f t="shared" si="6"/>
        <v>-8785.7900000000009</v>
      </c>
      <c r="E126" s="8">
        <f t="shared" si="7"/>
        <v>0.23601826086956523</v>
      </c>
    </row>
    <row r="127" spans="1:5" x14ac:dyDescent="0.25">
      <c r="A127" s="3" t="s">
        <v>125</v>
      </c>
      <c r="B127" s="5">
        <f>849.06</f>
        <v>849.06</v>
      </c>
      <c r="C127" s="5">
        <f>3000</f>
        <v>3000</v>
      </c>
      <c r="D127" s="5">
        <f t="shared" si="6"/>
        <v>-2150.94</v>
      </c>
      <c r="E127" s="6">
        <f t="shared" si="7"/>
        <v>0.28301999999999999</v>
      </c>
    </row>
    <row r="128" spans="1:5" x14ac:dyDescent="0.25">
      <c r="A128" s="3" t="s">
        <v>126</v>
      </c>
      <c r="B128" s="4"/>
      <c r="C128" s="5">
        <f>841.67</f>
        <v>841.67</v>
      </c>
      <c r="D128" s="5">
        <f t="shared" si="6"/>
        <v>-841.67</v>
      </c>
      <c r="E128" s="6">
        <f t="shared" si="7"/>
        <v>0</v>
      </c>
    </row>
    <row r="129" spans="1:5" x14ac:dyDescent="0.25">
      <c r="A129" s="3" t="s">
        <v>127</v>
      </c>
      <c r="B129" s="4"/>
      <c r="C129" s="4"/>
      <c r="D129" s="5">
        <f t="shared" si="6"/>
        <v>0</v>
      </c>
      <c r="E129" s="6" t="str">
        <f t="shared" si="7"/>
        <v/>
      </c>
    </row>
    <row r="130" spans="1:5" x14ac:dyDescent="0.25">
      <c r="A130" s="3" t="s">
        <v>128</v>
      </c>
      <c r="B130" s="5">
        <f>112086.11</f>
        <v>112086.11</v>
      </c>
      <c r="C130" s="5">
        <f>348022.79</f>
        <v>348022.79</v>
      </c>
      <c r="D130" s="5">
        <f t="shared" ref="D130:D161" si="8">(B130)-(C130)</f>
        <v>-235936.68</v>
      </c>
      <c r="E130" s="6">
        <f t="shared" ref="E130:E161" si="9">IF(C130=0,"",(B130)/(C130))</f>
        <v>0.32206543140465027</v>
      </c>
    </row>
    <row r="131" spans="1:5" x14ac:dyDescent="0.25">
      <c r="A131" s="3" t="s">
        <v>129</v>
      </c>
      <c r="B131" s="4"/>
      <c r="C131" s="5">
        <f>3828.25</f>
        <v>3828.25</v>
      </c>
      <c r="D131" s="5">
        <f t="shared" si="8"/>
        <v>-3828.25</v>
      </c>
      <c r="E131" s="6">
        <f t="shared" si="9"/>
        <v>0</v>
      </c>
    </row>
    <row r="132" spans="1:5" x14ac:dyDescent="0.25">
      <c r="A132" s="3" t="s">
        <v>130</v>
      </c>
      <c r="B132" s="5">
        <f>10208.19</f>
        <v>10208.19</v>
      </c>
      <c r="C132" s="5">
        <f>32888.15</f>
        <v>32888.15</v>
      </c>
      <c r="D132" s="5">
        <f t="shared" si="8"/>
        <v>-22679.96</v>
      </c>
      <c r="E132" s="6">
        <f t="shared" si="9"/>
        <v>0.31039112871961483</v>
      </c>
    </row>
    <row r="133" spans="1:5" x14ac:dyDescent="0.25">
      <c r="A133" s="3" t="s">
        <v>131</v>
      </c>
      <c r="B133" s="5">
        <f>3832.11</f>
        <v>3832.11</v>
      </c>
      <c r="C133" s="5">
        <f>13307.87</f>
        <v>13307.87</v>
      </c>
      <c r="D133" s="5">
        <f t="shared" si="8"/>
        <v>-9475.76</v>
      </c>
      <c r="E133" s="6">
        <f t="shared" si="9"/>
        <v>0.28795817813068508</v>
      </c>
    </row>
    <row r="134" spans="1:5" x14ac:dyDescent="0.25">
      <c r="A134" s="3" t="s">
        <v>132</v>
      </c>
      <c r="B134" s="5">
        <f>37580.76</f>
        <v>37580.76</v>
      </c>
      <c r="C134" s="5">
        <f>112852.8</f>
        <v>112852.8</v>
      </c>
      <c r="D134" s="5">
        <f t="shared" si="8"/>
        <v>-75272.040000000008</v>
      </c>
      <c r="E134" s="6">
        <f t="shared" si="9"/>
        <v>0.33300689039173154</v>
      </c>
    </row>
    <row r="135" spans="1:5" x14ac:dyDescent="0.25">
      <c r="A135" s="3" t="s">
        <v>133</v>
      </c>
      <c r="B135" s="7">
        <f>(((((B129)+(B130))+(B131))+(B132))+(B133))+(B134)</f>
        <v>163707.17000000001</v>
      </c>
      <c r="C135" s="7">
        <f>(((((C129)+(C130))+(C131))+(C132))+(C133))+(C134)</f>
        <v>510899.86</v>
      </c>
      <c r="D135" s="7">
        <f t="shared" si="8"/>
        <v>-347192.68999999994</v>
      </c>
      <c r="E135" s="8">
        <f t="shared" si="9"/>
        <v>0.32042907586625685</v>
      </c>
    </row>
    <row r="136" spans="1:5" x14ac:dyDescent="0.25">
      <c r="A136" s="3" t="s">
        <v>134</v>
      </c>
      <c r="B136" s="4"/>
      <c r="C136" s="4"/>
      <c r="D136" s="5">
        <f t="shared" si="8"/>
        <v>0</v>
      </c>
      <c r="E136" s="6" t="str">
        <f t="shared" si="9"/>
        <v/>
      </c>
    </row>
    <row r="137" spans="1:5" x14ac:dyDescent="0.25">
      <c r="A137" s="3" t="s">
        <v>135</v>
      </c>
      <c r="B137" s="5">
        <f>10000</f>
        <v>10000</v>
      </c>
      <c r="C137" s="5">
        <f>18000</f>
        <v>18000</v>
      </c>
      <c r="D137" s="5">
        <f t="shared" si="8"/>
        <v>-8000</v>
      </c>
      <c r="E137" s="6">
        <f t="shared" si="9"/>
        <v>0.55555555555555558</v>
      </c>
    </row>
    <row r="138" spans="1:5" x14ac:dyDescent="0.25">
      <c r="A138" s="3" t="s">
        <v>136</v>
      </c>
      <c r="B138" s="4"/>
      <c r="C138" s="5">
        <f>400</f>
        <v>400</v>
      </c>
      <c r="D138" s="5">
        <f t="shared" si="8"/>
        <v>-400</v>
      </c>
      <c r="E138" s="6">
        <f t="shared" si="9"/>
        <v>0</v>
      </c>
    </row>
    <row r="139" spans="1:5" x14ac:dyDescent="0.25">
      <c r="A139" s="3" t="s">
        <v>137</v>
      </c>
      <c r="B139" s="7">
        <f>((B136)+(B137))+(B138)</f>
        <v>10000</v>
      </c>
      <c r="C139" s="7">
        <f>((C136)+(C137))+(C138)</f>
        <v>18400</v>
      </c>
      <c r="D139" s="7">
        <f t="shared" si="8"/>
        <v>-8400</v>
      </c>
      <c r="E139" s="8">
        <f t="shared" si="9"/>
        <v>0.54347826086956519</v>
      </c>
    </row>
    <row r="140" spans="1:5" x14ac:dyDescent="0.25">
      <c r="A140" s="3" t="s">
        <v>138</v>
      </c>
      <c r="B140" s="4"/>
      <c r="C140" s="5">
        <f>2500</f>
        <v>2500</v>
      </c>
      <c r="D140" s="5">
        <f t="shared" si="8"/>
        <v>-2500</v>
      </c>
      <c r="E140" s="6">
        <f t="shared" si="9"/>
        <v>0</v>
      </c>
    </row>
    <row r="141" spans="1:5" x14ac:dyDescent="0.25">
      <c r="A141" s="3" t="s">
        <v>139</v>
      </c>
      <c r="B141" s="4"/>
      <c r="C141" s="4"/>
      <c r="D141" s="5">
        <f t="shared" si="8"/>
        <v>0</v>
      </c>
      <c r="E141" s="6" t="str">
        <f t="shared" si="9"/>
        <v/>
      </c>
    </row>
    <row r="142" spans="1:5" x14ac:dyDescent="0.25">
      <c r="A142" s="3" t="s">
        <v>140</v>
      </c>
      <c r="B142" s="4"/>
      <c r="C142" s="5">
        <f>75</f>
        <v>75</v>
      </c>
      <c r="D142" s="5">
        <f t="shared" si="8"/>
        <v>-75</v>
      </c>
      <c r="E142" s="6">
        <f t="shared" si="9"/>
        <v>0</v>
      </c>
    </row>
    <row r="143" spans="1:5" x14ac:dyDescent="0.25">
      <c r="A143" s="3" t="s">
        <v>141</v>
      </c>
      <c r="B143" s="5">
        <f>1073.1</f>
        <v>1073.0999999999999</v>
      </c>
      <c r="C143" s="5">
        <f>2750</f>
        <v>2750</v>
      </c>
      <c r="D143" s="5">
        <f t="shared" si="8"/>
        <v>-1676.9</v>
      </c>
      <c r="E143" s="6">
        <f t="shared" si="9"/>
        <v>0.3902181818181818</v>
      </c>
    </row>
    <row r="144" spans="1:5" x14ac:dyDescent="0.25">
      <c r="A144" s="3" t="s">
        <v>142</v>
      </c>
      <c r="B144" s="5">
        <f>1420.65</f>
        <v>1420.65</v>
      </c>
      <c r="C144" s="5">
        <f>3500</f>
        <v>3500</v>
      </c>
      <c r="D144" s="5">
        <f t="shared" si="8"/>
        <v>-2079.35</v>
      </c>
      <c r="E144" s="6">
        <f t="shared" si="9"/>
        <v>0.40590000000000004</v>
      </c>
    </row>
    <row r="145" spans="1:5" x14ac:dyDescent="0.25">
      <c r="A145" s="3" t="s">
        <v>143</v>
      </c>
      <c r="B145" s="5">
        <f>0</f>
        <v>0</v>
      </c>
      <c r="C145" s="5">
        <f>150</f>
        <v>150</v>
      </c>
      <c r="D145" s="5">
        <f t="shared" si="8"/>
        <v>-150</v>
      </c>
      <c r="E145" s="6">
        <f t="shared" si="9"/>
        <v>0</v>
      </c>
    </row>
    <row r="146" spans="1:5" x14ac:dyDescent="0.25">
      <c r="A146" s="3" t="s">
        <v>144</v>
      </c>
      <c r="B146" s="4"/>
      <c r="C146" s="5">
        <f>50</f>
        <v>50</v>
      </c>
      <c r="D146" s="5">
        <f t="shared" si="8"/>
        <v>-50</v>
      </c>
      <c r="E146" s="6">
        <f t="shared" si="9"/>
        <v>0</v>
      </c>
    </row>
    <row r="147" spans="1:5" x14ac:dyDescent="0.25">
      <c r="A147" s="3" t="s">
        <v>145</v>
      </c>
      <c r="B147" s="5">
        <f>498.23</f>
        <v>498.23</v>
      </c>
      <c r="C147" s="5">
        <f>1200</f>
        <v>1200</v>
      </c>
      <c r="D147" s="5">
        <f t="shared" si="8"/>
        <v>-701.77</v>
      </c>
      <c r="E147" s="6">
        <f t="shared" si="9"/>
        <v>0.41519166666666668</v>
      </c>
    </row>
    <row r="148" spans="1:5" x14ac:dyDescent="0.25">
      <c r="A148" s="3" t="s">
        <v>146</v>
      </c>
      <c r="B148" s="7">
        <f>((((((B141)+(B142))+(B143))+(B144))+(B145))+(B146))+(B147)</f>
        <v>2991.98</v>
      </c>
      <c r="C148" s="7">
        <f>((((((C141)+(C142))+(C143))+(C144))+(C145))+(C146))+(C147)</f>
        <v>7725</v>
      </c>
      <c r="D148" s="7">
        <f t="shared" si="8"/>
        <v>-4733.0200000000004</v>
      </c>
      <c r="E148" s="8">
        <f t="shared" si="9"/>
        <v>0.38731132686084141</v>
      </c>
    </row>
    <row r="149" spans="1:5" x14ac:dyDescent="0.25">
      <c r="A149" s="3" t="s">
        <v>147</v>
      </c>
      <c r="B149" s="5">
        <f>445.32</f>
        <v>445.32</v>
      </c>
      <c r="C149" s="5">
        <f>2250</f>
        <v>2250</v>
      </c>
      <c r="D149" s="5">
        <f t="shared" si="8"/>
        <v>-1804.68</v>
      </c>
      <c r="E149" s="6">
        <f t="shared" si="9"/>
        <v>0.19791999999999998</v>
      </c>
    </row>
    <row r="150" spans="1:5" x14ac:dyDescent="0.25">
      <c r="A150" s="3" t="s">
        <v>148</v>
      </c>
      <c r="B150" s="5">
        <f>5804.27</f>
        <v>5804.27</v>
      </c>
      <c r="C150" s="5">
        <f>11500</f>
        <v>11500</v>
      </c>
      <c r="D150" s="5">
        <f t="shared" si="8"/>
        <v>-5695.73</v>
      </c>
      <c r="E150" s="6">
        <f t="shared" si="9"/>
        <v>0.50471913043478267</v>
      </c>
    </row>
    <row r="151" spans="1:5" x14ac:dyDescent="0.25">
      <c r="A151" s="3" t="s">
        <v>149</v>
      </c>
      <c r="B151" s="5">
        <f>2446.91</f>
        <v>2446.91</v>
      </c>
      <c r="C151" s="5">
        <f>6000</f>
        <v>6000</v>
      </c>
      <c r="D151" s="5">
        <f t="shared" si="8"/>
        <v>-3553.09</v>
      </c>
      <c r="E151" s="6">
        <f t="shared" si="9"/>
        <v>0.40781833333333328</v>
      </c>
    </row>
    <row r="152" spans="1:5" x14ac:dyDescent="0.25">
      <c r="A152" s="3" t="s">
        <v>150</v>
      </c>
      <c r="B152" s="4"/>
      <c r="C152" s="4"/>
      <c r="D152" s="5">
        <f t="shared" si="8"/>
        <v>0</v>
      </c>
      <c r="E152" s="6" t="str">
        <f t="shared" si="9"/>
        <v/>
      </c>
    </row>
    <row r="153" spans="1:5" x14ac:dyDescent="0.25">
      <c r="A153" s="3" t="s">
        <v>151</v>
      </c>
      <c r="B153" s="5">
        <f>10</f>
        <v>10</v>
      </c>
      <c r="C153" s="5">
        <f>10</f>
        <v>10</v>
      </c>
      <c r="D153" s="5">
        <f t="shared" si="8"/>
        <v>0</v>
      </c>
      <c r="E153" s="6">
        <f t="shared" si="9"/>
        <v>1</v>
      </c>
    </row>
    <row r="154" spans="1:5" x14ac:dyDescent="0.25">
      <c r="A154" s="3" t="s">
        <v>152</v>
      </c>
      <c r="B154" s="5">
        <f>1200</f>
        <v>1200</v>
      </c>
      <c r="C154" s="5">
        <f>1200</f>
        <v>1200</v>
      </c>
      <c r="D154" s="5">
        <f t="shared" si="8"/>
        <v>0</v>
      </c>
      <c r="E154" s="6">
        <f t="shared" si="9"/>
        <v>1</v>
      </c>
    </row>
    <row r="155" spans="1:5" x14ac:dyDescent="0.25">
      <c r="A155" s="3" t="s">
        <v>153</v>
      </c>
      <c r="B155" s="7">
        <f>((B152)+(B153))+(B154)</f>
        <v>1210</v>
      </c>
      <c r="C155" s="7">
        <f>((C152)+(C153))+(C154)</f>
        <v>1210</v>
      </c>
      <c r="D155" s="7">
        <f t="shared" si="8"/>
        <v>0</v>
      </c>
      <c r="E155" s="8">
        <f t="shared" si="9"/>
        <v>1</v>
      </c>
    </row>
    <row r="156" spans="1:5" x14ac:dyDescent="0.25">
      <c r="A156" s="3" t="s">
        <v>154</v>
      </c>
      <c r="B156" s="5">
        <f>1208.82</f>
        <v>1208.82</v>
      </c>
      <c r="C156" s="5">
        <f>6500</f>
        <v>6500</v>
      </c>
      <c r="D156" s="5">
        <f t="shared" si="8"/>
        <v>-5291.18</v>
      </c>
      <c r="E156" s="6">
        <f t="shared" si="9"/>
        <v>0.18597230769230769</v>
      </c>
    </row>
    <row r="157" spans="1:5" x14ac:dyDescent="0.25">
      <c r="A157" s="3" t="s">
        <v>155</v>
      </c>
      <c r="B157" s="5">
        <f>25.87</f>
        <v>25.87</v>
      </c>
      <c r="C157" s="4"/>
      <c r="D157" s="5">
        <f t="shared" si="8"/>
        <v>25.87</v>
      </c>
      <c r="E157" s="6" t="str">
        <f t="shared" si="9"/>
        <v/>
      </c>
    </row>
    <row r="158" spans="1:5" x14ac:dyDescent="0.25">
      <c r="A158" s="3" t="s">
        <v>156</v>
      </c>
      <c r="B158" s="5">
        <f>177.87</f>
        <v>177.87</v>
      </c>
      <c r="C158" s="4"/>
      <c r="D158" s="5">
        <f t="shared" si="8"/>
        <v>177.87</v>
      </c>
      <c r="E158" s="6" t="str">
        <f t="shared" si="9"/>
        <v/>
      </c>
    </row>
    <row r="159" spans="1:5" x14ac:dyDescent="0.25">
      <c r="A159" s="3" t="s">
        <v>157</v>
      </c>
      <c r="B159" s="7">
        <f>((B156)+(B157))+(B158)</f>
        <v>1412.56</v>
      </c>
      <c r="C159" s="7">
        <f>((C156)+(C157))+(C158)</f>
        <v>6500</v>
      </c>
      <c r="D159" s="7">
        <f t="shared" si="8"/>
        <v>-5087.4400000000005</v>
      </c>
      <c r="E159" s="8">
        <f t="shared" si="9"/>
        <v>0.21731692307692307</v>
      </c>
    </row>
    <row r="160" spans="1:5" x14ac:dyDescent="0.25">
      <c r="A160" s="3" t="s">
        <v>158</v>
      </c>
      <c r="B160" s="5">
        <f>118</f>
        <v>118</v>
      </c>
      <c r="C160" s="5">
        <f>175</f>
        <v>175</v>
      </c>
      <c r="D160" s="5">
        <f t="shared" si="8"/>
        <v>-57</v>
      </c>
      <c r="E160" s="6">
        <f t="shared" si="9"/>
        <v>0.67428571428571427</v>
      </c>
    </row>
    <row r="161" spans="1:5" x14ac:dyDescent="0.25">
      <c r="A161" s="3" t="s">
        <v>159</v>
      </c>
      <c r="B161" s="5">
        <f>6023.85</f>
        <v>6023.85</v>
      </c>
      <c r="C161" s="5">
        <f>7750</f>
        <v>7750</v>
      </c>
      <c r="D161" s="5">
        <f t="shared" si="8"/>
        <v>-1726.1499999999996</v>
      </c>
      <c r="E161" s="6">
        <f t="shared" si="9"/>
        <v>0.77727096774193549</v>
      </c>
    </row>
    <row r="162" spans="1:5" x14ac:dyDescent="0.25">
      <c r="A162" s="3" t="s">
        <v>160</v>
      </c>
      <c r="B162" s="5">
        <f>35</f>
        <v>35</v>
      </c>
      <c r="C162" s="5">
        <f>750</f>
        <v>750</v>
      </c>
      <c r="D162" s="5">
        <f t="shared" ref="D162:D193" si="10">(B162)-(C162)</f>
        <v>-715</v>
      </c>
      <c r="E162" s="6">
        <f t="shared" ref="E162:E174" si="11">IF(C162=0,"",(B162)/(C162))</f>
        <v>4.6666666666666669E-2</v>
      </c>
    </row>
    <row r="163" spans="1:5" x14ac:dyDescent="0.25">
      <c r="A163" s="3" t="s">
        <v>161</v>
      </c>
      <c r="B163" s="4"/>
      <c r="C163" s="4"/>
      <c r="D163" s="5">
        <f t="shared" si="10"/>
        <v>0</v>
      </c>
      <c r="E163" s="6" t="str">
        <f t="shared" si="11"/>
        <v/>
      </c>
    </row>
    <row r="164" spans="1:5" x14ac:dyDescent="0.25">
      <c r="A164" s="3" t="s">
        <v>162</v>
      </c>
      <c r="B164" s="5">
        <f>100</f>
        <v>100</v>
      </c>
      <c r="C164" s="5">
        <f>13250</f>
        <v>13250</v>
      </c>
      <c r="D164" s="5">
        <f t="shared" si="10"/>
        <v>-13150</v>
      </c>
      <c r="E164" s="6">
        <f t="shared" si="11"/>
        <v>7.5471698113207548E-3</v>
      </c>
    </row>
    <row r="165" spans="1:5" x14ac:dyDescent="0.25">
      <c r="A165" s="3" t="s">
        <v>163</v>
      </c>
      <c r="B165" s="7">
        <f>(B163)+(B164)</f>
        <v>100</v>
      </c>
      <c r="C165" s="7">
        <f>(C163)+(C164)</f>
        <v>13250</v>
      </c>
      <c r="D165" s="7">
        <f t="shared" si="10"/>
        <v>-13150</v>
      </c>
      <c r="E165" s="8">
        <f t="shared" si="11"/>
        <v>7.5471698113207548E-3</v>
      </c>
    </row>
    <row r="166" spans="1:5" x14ac:dyDescent="0.25">
      <c r="A166" s="3" t="s">
        <v>164</v>
      </c>
      <c r="B166" s="5">
        <f>367.25</f>
        <v>367.25</v>
      </c>
      <c r="C166" s="5">
        <f>3250</f>
        <v>3250</v>
      </c>
      <c r="D166" s="5">
        <f t="shared" si="10"/>
        <v>-2882.75</v>
      </c>
      <c r="E166" s="6">
        <f t="shared" si="11"/>
        <v>0.113</v>
      </c>
    </row>
    <row r="167" spans="1:5" x14ac:dyDescent="0.25">
      <c r="A167" s="3" t="s">
        <v>165</v>
      </c>
      <c r="B167" s="5">
        <f>101.25</f>
        <v>101.25</v>
      </c>
      <c r="C167" s="4"/>
      <c r="D167" s="5">
        <f t="shared" si="10"/>
        <v>101.25</v>
      </c>
      <c r="E167" s="6" t="str">
        <f t="shared" si="11"/>
        <v/>
      </c>
    </row>
    <row r="168" spans="1:5" x14ac:dyDescent="0.25">
      <c r="A168" s="3" t="s">
        <v>166</v>
      </c>
      <c r="B168" s="4"/>
      <c r="C168" s="4"/>
      <c r="D168" s="5">
        <f t="shared" si="10"/>
        <v>0</v>
      </c>
      <c r="E168" s="6" t="str">
        <f t="shared" si="11"/>
        <v/>
      </c>
    </row>
    <row r="169" spans="1:5" x14ac:dyDescent="0.25">
      <c r="A169" s="3" t="s">
        <v>167</v>
      </c>
      <c r="B169" s="4"/>
      <c r="C169" s="5">
        <f>1500</f>
        <v>1500</v>
      </c>
      <c r="D169" s="5">
        <f t="shared" si="10"/>
        <v>-1500</v>
      </c>
      <c r="E169" s="6">
        <f t="shared" si="11"/>
        <v>0</v>
      </c>
    </row>
    <row r="170" spans="1:5" x14ac:dyDescent="0.25">
      <c r="A170" s="3" t="s">
        <v>168</v>
      </c>
      <c r="B170" s="5">
        <f>2008.23</f>
        <v>2008.23</v>
      </c>
      <c r="C170" s="5">
        <f>5000</f>
        <v>5000</v>
      </c>
      <c r="D170" s="5">
        <f t="shared" si="10"/>
        <v>-2991.77</v>
      </c>
      <c r="E170" s="6">
        <f t="shared" si="11"/>
        <v>0.401646</v>
      </c>
    </row>
    <row r="171" spans="1:5" x14ac:dyDescent="0.25">
      <c r="A171" s="3" t="s">
        <v>169</v>
      </c>
      <c r="B171" s="7">
        <f>((B168)+(B169))+(B170)</f>
        <v>2008.23</v>
      </c>
      <c r="C171" s="7">
        <f>((C168)+(C169))+(C170)</f>
        <v>6500</v>
      </c>
      <c r="D171" s="7">
        <f t="shared" si="10"/>
        <v>-4491.7700000000004</v>
      </c>
      <c r="E171" s="8">
        <f t="shared" si="11"/>
        <v>0.30895846153846152</v>
      </c>
    </row>
    <row r="172" spans="1:5" x14ac:dyDescent="0.25">
      <c r="A172" s="3" t="s">
        <v>170</v>
      </c>
      <c r="B172" s="7">
        <f>((((((((((((((((((((((((((((B100)+(B101))+(B102))+(B103))+(B104))+(B108))+(B111))+(B116))+(B121))+(B122))+(B126))+(B127))+(B128))+(B135))+(B139))+(B140))+(B148))+(B149))+(B150))+(B151))+(B155))+(B159))+(B160))+(B161))+(B162))+(B165))+(B166))+(B167))+(B171)</f>
        <v>276074.57999999996</v>
      </c>
      <c r="C172" s="7">
        <f>((((((((((((((((((((((((((((C100)+(C101))+(C102))+(C103))+(C104))+(C108))+(C111))+(C116))+(C121))+(C122))+(C126))+(C127))+(C128))+(C135))+(C139))+(C140))+(C148))+(C149))+(C150))+(C151))+(C155))+(C159))+(C160))+(C161))+(C162))+(C165))+(C166))+(C167))+(C171)</f>
        <v>784381.53</v>
      </c>
      <c r="D172" s="7">
        <f t="shared" si="10"/>
        <v>-508306.95000000007</v>
      </c>
      <c r="E172" s="8">
        <f t="shared" si="11"/>
        <v>0.35196466189100595</v>
      </c>
    </row>
    <row r="173" spans="1:5" x14ac:dyDescent="0.25">
      <c r="A173" s="3" t="s">
        <v>171</v>
      </c>
      <c r="B173" s="7">
        <f>(B96)-(B172)</f>
        <v>15159.040000000095</v>
      </c>
      <c r="C173" s="7">
        <f>(C96)-(C172)</f>
        <v>0</v>
      </c>
      <c r="D173" s="7">
        <f t="shared" si="10"/>
        <v>15159.040000000095</v>
      </c>
      <c r="E173" s="8" t="str">
        <f t="shared" si="11"/>
        <v/>
      </c>
    </row>
    <row r="174" spans="1:5" x14ac:dyDescent="0.25">
      <c r="A174" s="3" t="s">
        <v>172</v>
      </c>
      <c r="B174" s="9">
        <f>(B173)+(0)</f>
        <v>15159.040000000095</v>
      </c>
      <c r="C174" s="9">
        <f>(C173)+(0)</f>
        <v>0</v>
      </c>
      <c r="D174" s="9">
        <f t="shared" si="10"/>
        <v>15159.040000000095</v>
      </c>
      <c r="E174" s="10" t="str">
        <f t="shared" si="11"/>
        <v/>
      </c>
    </row>
    <row r="175" spans="1:5" x14ac:dyDescent="0.25">
      <c r="A175" s="3"/>
      <c r="B175" s="4"/>
      <c r="C175" s="4"/>
      <c r="D175" s="4"/>
      <c r="E175" s="4"/>
    </row>
    <row r="178" spans="1:5" x14ac:dyDescent="0.25">
      <c r="A178" s="13" t="s">
        <v>173</v>
      </c>
      <c r="B178" s="14"/>
      <c r="C178" s="14"/>
      <c r="D178" s="14"/>
      <c r="E178" s="14"/>
    </row>
  </sheetData>
  <mergeCells count="5">
    <mergeCell ref="B5:E5"/>
    <mergeCell ref="A178:E178"/>
    <mergeCell ref="A1:E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EF9C-3109-41FE-B0FC-0F8F0518DFFC}">
  <sheetPr>
    <tabColor rgb="FFFF0000"/>
  </sheetPr>
  <dimension ref="A1:K55"/>
  <sheetViews>
    <sheetView topLeftCell="A15" workbookViewId="0">
      <selection activeCell="I37" sqref="I37:K40"/>
    </sheetView>
  </sheetViews>
  <sheetFormatPr defaultRowHeight="15" x14ac:dyDescent="0.25"/>
  <cols>
    <col min="1" max="1" width="30.140625" customWidth="1"/>
    <col min="2" max="5" width="18" customWidth="1"/>
    <col min="9" max="9" width="18.28515625" bestFit="1" customWidth="1"/>
    <col min="10" max="11" width="11.5703125" bestFit="1" customWidth="1"/>
  </cols>
  <sheetData>
    <row r="1" spans="1:11" ht="18" x14ac:dyDescent="0.25">
      <c r="A1" s="15" t="s">
        <v>174</v>
      </c>
      <c r="B1" s="14"/>
      <c r="C1" s="14"/>
      <c r="D1" s="14"/>
      <c r="E1" s="14"/>
    </row>
    <row r="2" spans="1:11" ht="18" x14ac:dyDescent="0.25">
      <c r="A2" s="15" t="s">
        <v>175</v>
      </c>
      <c r="B2" s="14"/>
      <c r="C2" s="14"/>
      <c r="D2" s="14"/>
      <c r="E2" s="14"/>
    </row>
    <row r="3" spans="1:11" x14ac:dyDescent="0.25">
      <c r="A3" s="16" t="s">
        <v>176</v>
      </c>
      <c r="B3" s="14"/>
      <c r="C3" s="14"/>
      <c r="D3" s="14"/>
      <c r="E3" s="14"/>
    </row>
    <row r="5" spans="1:11" x14ac:dyDescent="0.25">
      <c r="A5" s="1"/>
      <c r="B5" s="11" t="s">
        <v>0</v>
      </c>
      <c r="C5" s="12"/>
      <c r="D5" s="12"/>
      <c r="E5" s="12"/>
    </row>
    <row r="6" spans="1:11" x14ac:dyDescent="0.25">
      <c r="A6" s="1"/>
      <c r="B6" s="2" t="s">
        <v>1</v>
      </c>
      <c r="C6" s="2" t="s">
        <v>2</v>
      </c>
      <c r="D6" s="2" t="s">
        <v>3</v>
      </c>
      <c r="E6" s="2" t="s">
        <v>4</v>
      </c>
    </row>
    <row r="7" spans="1:11" x14ac:dyDescent="0.25">
      <c r="A7" s="3" t="s">
        <v>5</v>
      </c>
      <c r="B7" s="4"/>
      <c r="C7" s="4"/>
      <c r="D7" s="4"/>
      <c r="E7" s="4"/>
    </row>
    <row r="8" spans="1:11" x14ac:dyDescent="0.25">
      <c r="A8" s="3" t="s">
        <v>6</v>
      </c>
      <c r="B8" s="5">
        <f>275741.25</f>
        <v>275741.25</v>
      </c>
      <c r="C8" s="5">
        <f>543500</f>
        <v>543500</v>
      </c>
      <c r="D8" s="5">
        <f t="shared" ref="D8:D13" si="0">(B8)-(C8)</f>
        <v>-267758.75</v>
      </c>
      <c r="E8" s="6">
        <f t="shared" ref="E8:E13" si="1">IF(C8=0,"",(B8)/(C8))</f>
        <v>0.50734360625574981</v>
      </c>
    </row>
    <row r="9" spans="1:11" x14ac:dyDescent="0.25">
      <c r="A9" s="3" t="s">
        <v>11</v>
      </c>
      <c r="B9" s="5">
        <f>10559.51</f>
        <v>10559.51</v>
      </c>
      <c r="C9" s="5">
        <f>70700</f>
        <v>70700</v>
      </c>
      <c r="D9" s="5">
        <f t="shared" si="0"/>
        <v>-60140.49</v>
      </c>
      <c r="E9" s="6">
        <f t="shared" si="1"/>
        <v>0.14935657708628006</v>
      </c>
    </row>
    <row r="10" spans="1:11" x14ac:dyDescent="0.25">
      <c r="A10" s="3" t="s">
        <v>25</v>
      </c>
      <c r="B10" s="5">
        <f>1216.03</f>
        <v>1216.03</v>
      </c>
      <c r="C10" s="5">
        <f>3000</f>
        <v>3000</v>
      </c>
      <c r="D10" s="5">
        <f t="shared" si="0"/>
        <v>-1783.97</v>
      </c>
      <c r="E10" s="6">
        <f t="shared" si="1"/>
        <v>0.40534333333333333</v>
      </c>
      <c r="J10" t="s">
        <v>1</v>
      </c>
      <c r="K10" t="s">
        <v>2</v>
      </c>
    </row>
    <row r="11" spans="1:11" x14ac:dyDescent="0.25">
      <c r="A11" s="3" t="s">
        <v>26</v>
      </c>
      <c r="B11" s="5">
        <f>6242.42</f>
        <v>6242.42</v>
      </c>
      <c r="C11" s="5">
        <f>196881.53</f>
        <v>196881.53</v>
      </c>
      <c r="D11" s="5">
        <f t="shared" si="0"/>
        <v>-190639.11</v>
      </c>
      <c r="E11" s="6">
        <f t="shared" si="1"/>
        <v>3.1706478510198491E-2</v>
      </c>
      <c r="I11" t="s">
        <v>364</v>
      </c>
      <c r="J11" s="21">
        <f>B9</f>
        <v>10559.51</v>
      </c>
      <c r="K11" s="21">
        <f>C9</f>
        <v>70700</v>
      </c>
    </row>
    <row r="12" spans="1:11" x14ac:dyDescent="0.25">
      <c r="A12" s="3" t="s">
        <v>88</v>
      </c>
      <c r="B12" s="5">
        <f>184.51</f>
        <v>184.51</v>
      </c>
      <c r="C12" s="5">
        <f>300</f>
        <v>300</v>
      </c>
      <c r="D12" s="5">
        <f t="shared" si="0"/>
        <v>-115.49000000000001</v>
      </c>
      <c r="E12" s="6">
        <f t="shared" si="1"/>
        <v>0.61503333333333332</v>
      </c>
      <c r="I12" t="s">
        <v>363</v>
      </c>
      <c r="J12" s="21">
        <f>B11</f>
        <v>6242.42</v>
      </c>
      <c r="K12" s="21">
        <f>C11</f>
        <v>196881.53</v>
      </c>
    </row>
    <row r="13" spans="1:11" x14ac:dyDescent="0.25">
      <c r="A13" s="3" t="s">
        <v>89</v>
      </c>
      <c r="B13" s="9">
        <f>((((B8)+(B9))+(B10))+(B11))+(B12)</f>
        <v>293943.72000000003</v>
      </c>
      <c r="C13" s="9">
        <f>((((C8)+(C9))+(C10))+(C11))+(C12)</f>
        <v>814381.53</v>
      </c>
      <c r="D13" s="9">
        <f t="shared" si="0"/>
        <v>-520437.81</v>
      </c>
      <c r="E13" s="10">
        <f t="shared" si="1"/>
        <v>0.36094104442668296</v>
      </c>
      <c r="I13" t="s">
        <v>362</v>
      </c>
      <c r="J13" s="21">
        <f>B8</f>
        <v>275741.25</v>
      </c>
      <c r="K13" s="21">
        <f>C8</f>
        <v>543500</v>
      </c>
    </row>
    <row r="14" spans="1:11" x14ac:dyDescent="0.25">
      <c r="A14" s="3" t="s">
        <v>90</v>
      </c>
      <c r="B14" s="4"/>
      <c r="C14" s="4"/>
      <c r="D14" s="4"/>
      <c r="E14" s="4"/>
    </row>
    <row r="15" spans="1:11" x14ac:dyDescent="0.25">
      <c r="A15" s="3" t="s">
        <v>91</v>
      </c>
      <c r="B15" s="5">
        <f>2504.92</f>
        <v>2504.92</v>
      </c>
      <c r="C15" s="5">
        <f>25000</f>
        <v>25000</v>
      </c>
      <c r="D15" s="5">
        <f>(B15)-(C15)</f>
        <v>-22495.08</v>
      </c>
      <c r="E15" s="6">
        <f>IF(C15=0,"",(B15)/(C15))</f>
        <v>0.1001968</v>
      </c>
    </row>
    <row r="16" spans="1:11" x14ac:dyDescent="0.25">
      <c r="A16" s="3" t="s">
        <v>92</v>
      </c>
      <c r="B16" s="5">
        <f>205.18</f>
        <v>205.18</v>
      </c>
      <c r="C16" s="5">
        <f>5000</f>
        <v>5000</v>
      </c>
      <c r="D16" s="5">
        <f>(B16)-(C16)</f>
        <v>-4794.82</v>
      </c>
      <c r="E16" s="6">
        <f>IF(C16=0,"",(B16)/(C16))</f>
        <v>4.1036000000000003E-2</v>
      </c>
    </row>
    <row r="17" spans="1:5" x14ac:dyDescent="0.25">
      <c r="A17" s="3" t="s">
        <v>93</v>
      </c>
      <c r="B17" s="9">
        <f>(B15)+(B16)</f>
        <v>2710.1</v>
      </c>
      <c r="C17" s="9">
        <f>(C15)+(C16)</f>
        <v>30000</v>
      </c>
      <c r="D17" s="9">
        <f>(B17)-(C17)</f>
        <v>-27289.9</v>
      </c>
      <c r="E17" s="10">
        <f>IF(C17=0,"",(B17)/(C17))</f>
        <v>9.0336666666666662E-2</v>
      </c>
    </row>
    <row r="18" spans="1:5" x14ac:dyDescent="0.25">
      <c r="A18" s="3" t="s">
        <v>94</v>
      </c>
      <c r="B18" s="9">
        <f>(B13)-(B17)</f>
        <v>291233.62000000005</v>
      </c>
      <c r="C18" s="9">
        <f>(C13)-(C17)</f>
        <v>784381.53</v>
      </c>
      <c r="D18" s="9">
        <f>(B18)-(C18)</f>
        <v>-493147.91</v>
      </c>
      <c r="E18" s="10">
        <f>IF(C18=0,"",(B18)/(C18))</f>
        <v>0.37129076713471321</v>
      </c>
    </row>
    <row r="19" spans="1:5" x14ac:dyDescent="0.25">
      <c r="A19" s="3" t="s">
        <v>95</v>
      </c>
      <c r="B19" s="4"/>
      <c r="C19" s="4"/>
      <c r="D19" s="4"/>
      <c r="E19" s="4"/>
    </row>
    <row r="20" spans="1:5" x14ac:dyDescent="0.25">
      <c r="A20" s="3" t="s">
        <v>96</v>
      </c>
      <c r="B20" s="5">
        <f>32572</f>
        <v>32572</v>
      </c>
      <c r="C20" s="5">
        <f>33500</f>
        <v>33500</v>
      </c>
      <c r="D20" s="5">
        <f t="shared" ref="D20:D51" si="2">(B20)-(C20)</f>
        <v>-928</v>
      </c>
      <c r="E20" s="6">
        <f t="shared" ref="E20:E51" si="3">IF(C20=0,"",(B20)/(C20))</f>
        <v>0.97229850746268653</v>
      </c>
    </row>
    <row r="21" spans="1:5" x14ac:dyDescent="0.25">
      <c r="A21" s="3" t="s">
        <v>99</v>
      </c>
      <c r="B21" s="5">
        <f>250</f>
        <v>250</v>
      </c>
      <c r="C21" s="5">
        <f>13000</f>
        <v>13000</v>
      </c>
      <c r="D21" s="5">
        <f t="shared" si="2"/>
        <v>-12750</v>
      </c>
      <c r="E21" s="6">
        <f t="shared" si="3"/>
        <v>1.9230769230769232E-2</v>
      </c>
    </row>
    <row r="22" spans="1:5" x14ac:dyDescent="0.25">
      <c r="A22" s="3" t="s">
        <v>100</v>
      </c>
      <c r="B22" s="5">
        <f>551.69</f>
        <v>551.69000000000005</v>
      </c>
      <c r="C22" s="5">
        <f>2500</f>
        <v>2500</v>
      </c>
      <c r="D22" s="5">
        <f t="shared" si="2"/>
        <v>-1948.31</v>
      </c>
      <c r="E22" s="6">
        <f t="shared" si="3"/>
        <v>0.22067600000000001</v>
      </c>
    </row>
    <row r="23" spans="1:5" x14ac:dyDescent="0.25">
      <c r="A23" s="3" t="s">
        <v>101</v>
      </c>
      <c r="B23" s="5">
        <f>4274.32</f>
        <v>4274.32</v>
      </c>
      <c r="C23" s="5">
        <f>15250</f>
        <v>15250</v>
      </c>
      <c r="D23" s="5">
        <f t="shared" si="2"/>
        <v>-10975.68</v>
      </c>
      <c r="E23" s="6">
        <f t="shared" si="3"/>
        <v>0.2802832786885246</v>
      </c>
    </row>
    <row r="24" spans="1:5" x14ac:dyDescent="0.25">
      <c r="A24" s="3" t="s">
        <v>102</v>
      </c>
      <c r="B24" s="5">
        <f>45.77</f>
        <v>45.77</v>
      </c>
      <c r="C24" s="5">
        <f>1500</f>
        <v>1500</v>
      </c>
      <c r="D24" s="5">
        <f t="shared" si="2"/>
        <v>-1454.23</v>
      </c>
      <c r="E24" s="6">
        <f t="shared" si="3"/>
        <v>3.0513333333333337E-2</v>
      </c>
    </row>
    <row r="25" spans="1:5" x14ac:dyDescent="0.25">
      <c r="A25" s="3" t="s">
        <v>103</v>
      </c>
      <c r="B25" s="4"/>
      <c r="C25" s="5">
        <f>1650</f>
        <v>1650</v>
      </c>
      <c r="D25" s="5">
        <f t="shared" si="2"/>
        <v>-1650</v>
      </c>
      <c r="E25" s="6">
        <f t="shared" si="3"/>
        <v>0</v>
      </c>
    </row>
    <row r="26" spans="1:5" x14ac:dyDescent="0.25">
      <c r="A26" s="3" t="s">
        <v>107</v>
      </c>
      <c r="B26" s="5">
        <f>5070.68</f>
        <v>5070.68</v>
      </c>
      <c r="C26" s="5">
        <f>15250</f>
        <v>15250</v>
      </c>
      <c r="D26" s="5">
        <f t="shared" si="2"/>
        <v>-10179.32</v>
      </c>
      <c r="E26" s="6">
        <f t="shared" si="3"/>
        <v>0.3325036065573771</v>
      </c>
    </row>
    <row r="27" spans="1:5" x14ac:dyDescent="0.25">
      <c r="A27" s="3" t="s">
        <v>110</v>
      </c>
      <c r="B27" s="22">
        <f>25494.76</f>
        <v>25494.76</v>
      </c>
      <c r="C27" s="5">
        <f>64980</f>
        <v>64980</v>
      </c>
      <c r="D27" s="5">
        <f t="shared" si="2"/>
        <v>-39485.240000000005</v>
      </c>
      <c r="E27" s="6">
        <f t="shared" si="3"/>
        <v>0.39234779932286856</v>
      </c>
    </row>
    <row r="28" spans="1:5" x14ac:dyDescent="0.25">
      <c r="A28" s="3" t="s">
        <v>115</v>
      </c>
      <c r="B28" s="5">
        <f>4792.45</f>
        <v>4792.45</v>
      </c>
      <c r="C28" s="5">
        <f>14750</f>
        <v>14750</v>
      </c>
      <c r="D28" s="5">
        <f t="shared" si="2"/>
        <v>-9957.5499999999993</v>
      </c>
      <c r="E28" s="6">
        <f t="shared" si="3"/>
        <v>0.32491186440677966</v>
      </c>
    </row>
    <row r="29" spans="1:5" x14ac:dyDescent="0.25">
      <c r="A29" s="3" t="s">
        <v>120</v>
      </c>
      <c r="B29" s="5">
        <f>2687.85</f>
        <v>2687.85</v>
      </c>
      <c r="C29" s="5">
        <f>8000</f>
        <v>8000</v>
      </c>
      <c r="D29" s="5">
        <f t="shared" si="2"/>
        <v>-5312.15</v>
      </c>
      <c r="E29" s="6">
        <f t="shared" si="3"/>
        <v>0.33598125000000001</v>
      </c>
    </row>
    <row r="30" spans="1:5" x14ac:dyDescent="0.25">
      <c r="A30" s="3" t="s">
        <v>121</v>
      </c>
      <c r="B30" s="5">
        <f>2714.21</f>
        <v>2714.21</v>
      </c>
      <c r="C30" s="5">
        <f>11500</f>
        <v>11500</v>
      </c>
      <c r="D30" s="5">
        <f t="shared" si="2"/>
        <v>-8785.7900000000009</v>
      </c>
      <c r="E30" s="6">
        <f t="shared" si="3"/>
        <v>0.23601826086956523</v>
      </c>
    </row>
    <row r="31" spans="1:5" x14ac:dyDescent="0.25">
      <c r="A31" s="3" t="s">
        <v>125</v>
      </c>
      <c r="B31" s="5">
        <f>849.06</f>
        <v>849.06</v>
      </c>
      <c r="C31" s="5">
        <f>3000</f>
        <v>3000</v>
      </c>
      <c r="D31" s="5">
        <f t="shared" si="2"/>
        <v>-2150.94</v>
      </c>
      <c r="E31" s="6">
        <f t="shared" si="3"/>
        <v>0.28301999999999999</v>
      </c>
    </row>
    <row r="32" spans="1:5" x14ac:dyDescent="0.25">
      <c r="A32" s="3" t="s">
        <v>126</v>
      </c>
      <c r="B32" s="4"/>
      <c r="C32" s="5">
        <f>841.67</f>
        <v>841.67</v>
      </c>
      <c r="D32" s="5">
        <f t="shared" si="2"/>
        <v>-841.67</v>
      </c>
      <c r="E32" s="6">
        <f t="shared" si="3"/>
        <v>0</v>
      </c>
    </row>
    <row r="33" spans="1:11" x14ac:dyDescent="0.25">
      <c r="A33" s="3" t="s">
        <v>127</v>
      </c>
      <c r="B33" s="5">
        <f>163707.17</f>
        <v>163707.17000000001</v>
      </c>
      <c r="C33" s="5">
        <f>510899.86</f>
        <v>510899.86</v>
      </c>
      <c r="D33" s="5">
        <f t="shared" si="2"/>
        <v>-347192.68999999994</v>
      </c>
      <c r="E33" s="6">
        <f t="shared" si="3"/>
        <v>0.32042907586625685</v>
      </c>
    </row>
    <row r="34" spans="1:11" x14ac:dyDescent="0.25">
      <c r="A34" s="3" t="s">
        <v>134</v>
      </c>
      <c r="B34" s="5">
        <f>10000</f>
        <v>10000</v>
      </c>
      <c r="C34" s="5">
        <f>18400</f>
        <v>18400</v>
      </c>
      <c r="D34" s="5">
        <f t="shared" si="2"/>
        <v>-8400</v>
      </c>
      <c r="E34" s="6">
        <f t="shared" si="3"/>
        <v>0.54347826086956519</v>
      </c>
    </row>
    <row r="35" spans="1:11" x14ac:dyDescent="0.25">
      <c r="A35" s="3" t="s">
        <v>138</v>
      </c>
      <c r="B35" s="4"/>
      <c r="C35" s="5">
        <f>2500</f>
        <v>2500</v>
      </c>
      <c r="D35" s="5">
        <f t="shared" si="2"/>
        <v>-2500</v>
      </c>
      <c r="E35" s="6">
        <f t="shared" si="3"/>
        <v>0</v>
      </c>
    </row>
    <row r="36" spans="1:11" x14ac:dyDescent="0.25">
      <c r="A36" s="3" t="s">
        <v>139</v>
      </c>
      <c r="B36" s="5">
        <f>2991.98</f>
        <v>2991.98</v>
      </c>
      <c r="C36" s="5">
        <f>7725</f>
        <v>7725</v>
      </c>
      <c r="D36" s="5">
        <f t="shared" si="2"/>
        <v>-4733.0200000000004</v>
      </c>
      <c r="E36" s="6">
        <f t="shared" si="3"/>
        <v>0.38731132686084141</v>
      </c>
    </row>
    <row r="37" spans="1:11" x14ac:dyDescent="0.25">
      <c r="A37" s="3" t="s">
        <v>147</v>
      </c>
      <c r="B37" s="5">
        <f>445.32</f>
        <v>445.32</v>
      </c>
      <c r="C37" s="5">
        <f>2250</f>
        <v>2250</v>
      </c>
      <c r="D37" s="5">
        <f t="shared" si="2"/>
        <v>-1804.68</v>
      </c>
      <c r="E37" s="6">
        <f t="shared" si="3"/>
        <v>0.19791999999999998</v>
      </c>
      <c r="J37" t="s">
        <v>1</v>
      </c>
      <c r="K37" t="s">
        <v>2</v>
      </c>
    </row>
    <row r="38" spans="1:11" x14ac:dyDescent="0.25">
      <c r="A38" s="3" t="s">
        <v>148</v>
      </c>
      <c r="B38" s="5">
        <f>5804.27</f>
        <v>5804.27</v>
      </c>
      <c r="C38" s="5">
        <f>11500</f>
        <v>11500</v>
      </c>
      <c r="D38" s="5">
        <f t="shared" si="2"/>
        <v>-5695.73</v>
      </c>
      <c r="E38" s="6">
        <f t="shared" si="3"/>
        <v>0.50471913043478267</v>
      </c>
      <c r="I38" t="s">
        <v>367</v>
      </c>
      <c r="J38" s="21">
        <f>B27</f>
        <v>25494.76</v>
      </c>
      <c r="K38" s="21">
        <f>C27</f>
        <v>64980</v>
      </c>
    </row>
    <row r="39" spans="1:11" x14ac:dyDescent="0.25">
      <c r="A39" s="3" t="s">
        <v>149</v>
      </c>
      <c r="B39" s="5">
        <f>2446.91</f>
        <v>2446.91</v>
      </c>
      <c r="C39" s="5">
        <f>6000</f>
        <v>6000</v>
      </c>
      <c r="D39" s="5">
        <f t="shared" si="2"/>
        <v>-3553.09</v>
      </c>
      <c r="E39" s="6">
        <f t="shared" si="3"/>
        <v>0.40781833333333328</v>
      </c>
      <c r="I39" t="s">
        <v>366</v>
      </c>
      <c r="J39" s="21">
        <f>B47</f>
        <v>101.25</v>
      </c>
      <c r="K39" s="21">
        <f>C47</f>
        <v>0</v>
      </c>
    </row>
    <row r="40" spans="1:11" x14ac:dyDescent="0.25">
      <c r="A40" s="3" t="s">
        <v>150</v>
      </c>
      <c r="B40" s="5">
        <f>1210</f>
        <v>1210</v>
      </c>
      <c r="C40" s="5">
        <f>1210</f>
        <v>1210</v>
      </c>
      <c r="D40" s="5">
        <f t="shared" si="2"/>
        <v>0</v>
      </c>
      <c r="E40" s="6">
        <f t="shared" si="3"/>
        <v>1</v>
      </c>
      <c r="I40" t="s">
        <v>365</v>
      </c>
      <c r="J40" s="21">
        <f>B43</f>
        <v>6023.85</v>
      </c>
      <c r="K40" s="21">
        <f>C43</f>
        <v>7750</v>
      </c>
    </row>
    <row r="41" spans="1:11" x14ac:dyDescent="0.25">
      <c r="A41" s="3" t="s">
        <v>154</v>
      </c>
      <c r="B41" s="5">
        <f>1412.56</f>
        <v>1412.56</v>
      </c>
      <c r="C41" s="5">
        <f>6500</f>
        <v>6500</v>
      </c>
      <c r="D41" s="5">
        <f t="shared" si="2"/>
        <v>-5087.4400000000005</v>
      </c>
      <c r="E41" s="6">
        <f t="shared" si="3"/>
        <v>0.21731692307692307</v>
      </c>
    </row>
    <row r="42" spans="1:11" x14ac:dyDescent="0.25">
      <c r="A42" s="3" t="s">
        <v>158</v>
      </c>
      <c r="B42" s="5">
        <f>118</f>
        <v>118</v>
      </c>
      <c r="C42" s="5">
        <f>175</f>
        <v>175</v>
      </c>
      <c r="D42" s="5">
        <f t="shared" si="2"/>
        <v>-57</v>
      </c>
      <c r="E42" s="6">
        <f t="shared" si="3"/>
        <v>0.67428571428571427</v>
      </c>
    </row>
    <row r="43" spans="1:11" x14ac:dyDescent="0.25">
      <c r="A43" s="3" t="s">
        <v>159</v>
      </c>
      <c r="B43" s="22">
        <f>6023.85</f>
        <v>6023.85</v>
      </c>
      <c r="C43" s="5">
        <f>7750</f>
        <v>7750</v>
      </c>
      <c r="D43" s="5">
        <f t="shared" si="2"/>
        <v>-1726.1499999999996</v>
      </c>
      <c r="E43" s="6">
        <f t="shared" si="3"/>
        <v>0.77727096774193549</v>
      </c>
    </row>
    <row r="44" spans="1:11" x14ac:dyDescent="0.25">
      <c r="A44" s="3" t="s">
        <v>160</v>
      </c>
      <c r="B44" s="5">
        <f>35</f>
        <v>35</v>
      </c>
      <c r="C44" s="5">
        <f>750</f>
        <v>750</v>
      </c>
      <c r="D44" s="5">
        <f t="shared" si="2"/>
        <v>-715</v>
      </c>
      <c r="E44" s="6">
        <f t="shared" si="3"/>
        <v>4.6666666666666669E-2</v>
      </c>
    </row>
    <row r="45" spans="1:11" x14ac:dyDescent="0.25">
      <c r="A45" s="3" t="s">
        <v>161</v>
      </c>
      <c r="B45" s="5">
        <f>100</f>
        <v>100</v>
      </c>
      <c r="C45" s="5">
        <f>13250</f>
        <v>13250</v>
      </c>
      <c r="D45" s="5">
        <f t="shared" si="2"/>
        <v>-13150</v>
      </c>
      <c r="E45" s="6">
        <f t="shared" si="3"/>
        <v>7.5471698113207548E-3</v>
      </c>
    </row>
    <row r="46" spans="1:11" x14ac:dyDescent="0.25">
      <c r="A46" s="3" t="s">
        <v>164</v>
      </c>
      <c r="B46" s="5">
        <f>367.25</f>
        <v>367.25</v>
      </c>
      <c r="C46" s="5">
        <f>3250</f>
        <v>3250</v>
      </c>
      <c r="D46" s="5">
        <f t="shared" si="2"/>
        <v>-2882.75</v>
      </c>
      <c r="E46" s="6">
        <f t="shared" si="3"/>
        <v>0.113</v>
      </c>
    </row>
    <row r="47" spans="1:11" x14ac:dyDescent="0.25">
      <c r="A47" s="3" t="s">
        <v>165</v>
      </c>
      <c r="B47" s="22">
        <f>101.25</f>
        <v>101.25</v>
      </c>
      <c r="C47" s="4"/>
      <c r="D47" s="5">
        <f t="shared" si="2"/>
        <v>101.25</v>
      </c>
      <c r="E47" s="6" t="str">
        <f t="shared" si="3"/>
        <v/>
      </c>
    </row>
    <row r="48" spans="1:11" x14ac:dyDescent="0.25">
      <c r="A48" s="3" t="s">
        <v>166</v>
      </c>
      <c r="B48" s="5">
        <f>2008.23</f>
        <v>2008.23</v>
      </c>
      <c r="C48" s="5">
        <f>6500</f>
        <v>6500</v>
      </c>
      <c r="D48" s="5">
        <f t="shared" si="2"/>
        <v>-4491.7700000000004</v>
      </c>
      <c r="E48" s="6">
        <f t="shared" si="3"/>
        <v>0.30895846153846152</v>
      </c>
    </row>
    <row r="49" spans="1:5" x14ac:dyDescent="0.25">
      <c r="A49" s="3" t="s">
        <v>170</v>
      </c>
      <c r="B49" s="9">
        <f>((((((((((((((((((((((((((((B20)+(B21))+(B22))+(B23))+(B24))+(B25))+(B26))+(B27))+(B28))+(B29))+(B30))+(B31))+(B32))+(B33))+(B34))+(B35))+(B36))+(B37))+(B38))+(B39))+(B40))+(B41))+(B42))+(B43))+(B44))+(B45))+(B46))+(B47))+(B48)</f>
        <v>276074.57999999996</v>
      </c>
      <c r="C49" s="9">
        <f>((((((((((((((((((((((((((((C20)+(C21))+(C22))+(C23))+(C24))+(C25))+(C26))+(C27))+(C28))+(C29))+(C30))+(C31))+(C32))+(C33))+(C34))+(C35))+(C36))+(C37))+(C38))+(C39))+(C40))+(C41))+(C42))+(C43))+(C44))+(C45))+(C46))+(C47))+(C48)</f>
        <v>784381.53</v>
      </c>
      <c r="D49" s="9">
        <f t="shared" si="2"/>
        <v>-508306.95000000007</v>
      </c>
      <c r="E49" s="10">
        <f t="shared" si="3"/>
        <v>0.35196466189100595</v>
      </c>
    </row>
    <row r="50" spans="1:5" x14ac:dyDescent="0.25">
      <c r="A50" s="3" t="s">
        <v>171</v>
      </c>
      <c r="B50" s="9">
        <f>(B18)-(B49)</f>
        <v>15159.040000000095</v>
      </c>
      <c r="C50" s="9">
        <f>(C18)-(C49)</f>
        <v>0</v>
      </c>
      <c r="D50" s="9">
        <f t="shared" si="2"/>
        <v>15159.040000000095</v>
      </c>
      <c r="E50" s="10" t="str">
        <f t="shared" si="3"/>
        <v/>
      </c>
    </row>
    <row r="51" spans="1:5" x14ac:dyDescent="0.25">
      <c r="A51" s="3" t="s">
        <v>172</v>
      </c>
      <c r="B51" s="9">
        <f>(B50)+(0)</f>
        <v>15159.040000000095</v>
      </c>
      <c r="C51" s="9">
        <f>(C50)+(0)</f>
        <v>0</v>
      </c>
      <c r="D51" s="9">
        <f t="shared" si="2"/>
        <v>15159.040000000095</v>
      </c>
      <c r="E51" s="10" t="str">
        <f t="shared" si="3"/>
        <v/>
      </c>
    </row>
    <row r="52" spans="1:5" x14ac:dyDescent="0.25">
      <c r="A52" s="3"/>
      <c r="B52" s="4"/>
      <c r="C52" s="4"/>
      <c r="D52" s="4"/>
      <c r="E52" s="4"/>
    </row>
    <row r="55" spans="1:5" x14ac:dyDescent="0.25">
      <c r="A55" s="13" t="s">
        <v>177</v>
      </c>
      <c r="B55" s="14"/>
      <c r="C55" s="14"/>
      <c r="D55" s="14"/>
      <c r="E55" s="14"/>
    </row>
  </sheetData>
  <mergeCells count="5">
    <mergeCell ref="A1:E1"/>
    <mergeCell ref="A2:E2"/>
    <mergeCell ref="A3:E3"/>
    <mergeCell ref="B5:E5"/>
    <mergeCell ref="A55:E5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9B4CF-D7F3-43BF-92D3-2D46EB0109D8}">
  <dimension ref="A1:E173"/>
  <sheetViews>
    <sheetView topLeftCell="A78" workbookViewId="0">
      <selection activeCell="C30" sqref="C30"/>
    </sheetView>
  </sheetViews>
  <sheetFormatPr defaultRowHeight="15" x14ac:dyDescent="0.25"/>
  <cols>
    <col min="1" max="1" width="34.42578125" customWidth="1"/>
    <col min="2" max="5" width="18" customWidth="1"/>
  </cols>
  <sheetData>
    <row r="1" spans="1:5" ht="18" x14ac:dyDescent="0.25">
      <c r="A1" s="15" t="s">
        <v>174</v>
      </c>
      <c r="B1" s="14"/>
      <c r="C1" s="14"/>
      <c r="D1" s="14"/>
      <c r="E1" s="14"/>
    </row>
    <row r="2" spans="1:5" ht="18" x14ac:dyDescent="0.25">
      <c r="A2" s="15" t="s">
        <v>178</v>
      </c>
      <c r="B2" s="14"/>
      <c r="C2" s="14"/>
      <c r="D2" s="14"/>
      <c r="E2" s="14"/>
    </row>
    <row r="3" spans="1:5" x14ac:dyDescent="0.25">
      <c r="A3" s="16" t="s">
        <v>179</v>
      </c>
      <c r="B3" s="14"/>
      <c r="C3" s="14"/>
      <c r="D3" s="14"/>
      <c r="E3" s="14"/>
    </row>
    <row r="5" spans="1:5" x14ac:dyDescent="0.25">
      <c r="A5" s="1"/>
      <c r="B5" s="11" t="s">
        <v>0</v>
      </c>
      <c r="C5" s="12"/>
      <c r="D5" s="12"/>
      <c r="E5" s="12"/>
    </row>
    <row r="6" spans="1:5" x14ac:dyDescent="0.25">
      <c r="A6" s="1"/>
      <c r="B6" s="2" t="s">
        <v>180</v>
      </c>
      <c r="C6" s="2" t="s">
        <v>181</v>
      </c>
      <c r="D6" s="2" t="s">
        <v>182</v>
      </c>
      <c r="E6" s="2" t="s">
        <v>183</v>
      </c>
    </row>
    <row r="7" spans="1:5" x14ac:dyDescent="0.25">
      <c r="A7" s="3" t="s">
        <v>5</v>
      </c>
      <c r="B7" s="4"/>
      <c r="C7" s="4"/>
      <c r="D7" s="4"/>
      <c r="E7" s="4"/>
    </row>
    <row r="8" spans="1:5" x14ac:dyDescent="0.25">
      <c r="A8" s="3" t="s">
        <v>6</v>
      </c>
      <c r="B8" s="4"/>
      <c r="C8" s="4"/>
      <c r="D8" s="5">
        <f t="shared" ref="D8:D71" si="0">(B8)-(C8)</f>
        <v>0</v>
      </c>
      <c r="E8" s="6" t="str">
        <f t="shared" ref="E8:E71" si="1">IF(ABS((C8))=0,"",((B8)-(C8))/(ABS((C8))))</f>
        <v/>
      </c>
    </row>
    <row r="9" spans="1:5" x14ac:dyDescent="0.25">
      <c r="A9" s="3" t="s">
        <v>7</v>
      </c>
      <c r="B9" s="4"/>
      <c r="C9" s="5">
        <f>32400</f>
        <v>32400</v>
      </c>
      <c r="D9" s="5">
        <f t="shared" si="0"/>
        <v>-32400</v>
      </c>
      <c r="E9" s="6">
        <f t="shared" si="1"/>
        <v>-1</v>
      </c>
    </row>
    <row r="10" spans="1:5" x14ac:dyDescent="0.25">
      <c r="A10" s="3" t="s">
        <v>8</v>
      </c>
      <c r="B10" s="5">
        <f>267500</f>
        <v>267500</v>
      </c>
      <c r="C10" s="5">
        <f>245000</f>
        <v>245000</v>
      </c>
      <c r="D10" s="5">
        <f t="shared" si="0"/>
        <v>22500</v>
      </c>
      <c r="E10" s="6">
        <f t="shared" si="1"/>
        <v>9.1836734693877556E-2</v>
      </c>
    </row>
    <row r="11" spans="1:5" x14ac:dyDescent="0.25">
      <c r="A11" s="3" t="s">
        <v>9</v>
      </c>
      <c r="B11" s="5">
        <f>8241.25</f>
        <v>8241.25</v>
      </c>
      <c r="C11" s="4"/>
      <c r="D11" s="5">
        <f t="shared" si="0"/>
        <v>8241.25</v>
      </c>
      <c r="E11" s="6" t="str">
        <f t="shared" si="1"/>
        <v/>
      </c>
    </row>
    <row r="12" spans="1:5" x14ac:dyDescent="0.25">
      <c r="A12" s="3" t="s">
        <v>10</v>
      </c>
      <c r="B12" s="9">
        <f>(((B8)+(B9))+(B10))+(B11)</f>
        <v>275741.25</v>
      </c>
      <c r="C12" s="9">
        <f>(((C8)+(C9))+(C10))+(C11)</f>
        <v>277400</v>
      </c>
      <c r="D12" s="9">
        <f t="shared" si="0"/>
        <v>-1658.75</v>
      </c>
      <c r="E12" s="10">
        <f t="shared" si="1"/>
        <v>-5.9796322999279023E-3</v>
      </c>
    </row>
    <row r="13" spans="1:5" x14ac:dyDescent="0.25">
      <c r="A13" s="3" t="s">
        <v>11</v>
      </c>
      <c r="B13" s="4"/>
      <c r="C13" s="4"/>
      <c r="D13" s="5">
        <f t="shared" si="0"/>
        <v>0</v>
      </c>
      <c r="E13" s="6" t="str">
        <f t="shared" si="1"/>
        <v/>
      </c>
    </row>
    <row r="14" spans="1:5" x14ac:dyDescent="0.25">
      <c r="A14" s="3" t="s">
        <v>12</v>
      </c>
      <c r="B14" s="4"/>
      <c r="C14" s="4"/>
      <c r="D14" s="5">
        <f t="shared" si="0"/>
        <v>0</v>
      </c>
      <c r="E14" s="6" t="str">
        <f t="shared" si="1"/>
        <v/>
      </c>
    </row>
    <row r="15" spans="1:5" x14ac:dyDescent="0.25">
      <c r="A15" s="3" t="s">
        <v>13</v>
      </c>
      <c r="B15" s="5">
        <f>803.45</f>
        <v>803.45</v>
      </c>
      <c r="C15" s="5">
        <f>1887.08</f>
        <v>1887.08</v>
      </c>
      <c r="D15" s="5">
        <f t="shared" si="0"/>
        <v>-1083.6299999999999</v>
      </c>
      <c r="E15" s="6">
        <f t="shared" si="1"/>
        <v>-0.57423638637471641</v>
      </c>
    </row>
    <row r="16" spans="1:5" x14ac:dyDescent="0.25">
      <c r="A16" s="3" t="s">
        <v>14</v>
      </c>
      <c r="B16" s="5">
        <f>100</f>
        <v>100</v>
      </c>
      <c r="C16" s="4"/>
      <c r="D16" s="5">
        <f t="shared" si="0"/>
        <v>100</v>
      </c>
      <c r="E16" s="6" t="str">
        <f t="shared" si="1"/>
        <v/>
      </c>
    </row>
    <row r="17" spans="1:5" x14ac:dyDescent="0.25">
      <c r="A17" s="3" t="s">
        <v>15</v>
      </c>
      <c r="B17" s="9">
        <f>((B14)+(B15))+(B16)</f>
        <v>903.45</v>
      </c>
      <c r="C17" s="9">
        <f>((C14)+(C15))+(C16)</f>
        <v>1887.08</v>
      </c>
      <c r="D17" s="9">
        <f t="shared" si="0"/>
        <v>-983.62999999999988</v>
      </c>
      <c r="E17" s="10">
        <f t="shared" si="1"/>
        <v>-0.52124446234393873</v>
      </c>
    </row>
    <row r="18" spans="1:5" x14ac:dyDescent="0.25">
      <c r="A18" s="3" t="s">
        <v>16</v>
      </c>
      <c r="B18" s="5">
        <f>1200</f>
        <v>1200</v>
      </c>
      <c r="C18" s="5">
        <f>1200</f>
        <v>1200</v>
      </c>
      <c r="D18" s="5">
        <f t="shared" si="0"/>
        <v>0</v>
      </c>
      <c r="E18" s="6">
        <f t="shared" si="1"/>
        <v>0</v>
      </c>
    </row>
    <row r="19" spans="1:5" x14ac:dyDescent="0.25">
      <c r="A19" s="3" t="s">
        <v>17</v>
      </c>
      <c r="B19" s="5">
        <f>3425</f>
        <v>3425</v>
      </c>
      <c r="C19" s="5">
        <f>3668.03</f>
        <v>3668.03</v>
      </c>
      <c r="D19" s="5">
        <f t="shared" si="0"/>
        <v>-243.0300000000002</v>
      </c>
      <c r="E19" s="6">
        <f t="shared" si="1"/>
        <v>-6.6256273803649415E-2</v>
      </c>
    </row>
    <row r="20" spans="1:5" x14ac:dyDescent="0.25">
      <c r="A20" s="3" t="s">
        <v>20</v>
      </c>
      <c r="B20" s="5">
        <f>4790</f>
        <v>4790</v>
      </c>
      <c r="C20" s="5">
        <f>5835</f>
        <v>5835</v>
      </c>
      <c r="D20" s="5">
        <f t="shared" si="0"/>
        <v>-1045</v>
      </c>
      <c r="E20" s="6">
        <f t="shared" si="1"/>
        <v>-0.17909168808911741</v>
      </c>
    </row>
    <row r="21" spans="1:5" x14ac:dyDescent="0.25">
      <c r="A21" s="3" t="s">
        <v>21</v>
      </c>
      <c r="B21" s="4"/>
      <c r="C21" s="4"/>
      <c r="D21" s="5">
        <f t="shared" si="0"/>
        <v>0</v>
      </c>
      <c r="E21" s="6" t="str">
        <f t="shared" si="1"/>
        <v/>
      </c>
    </row>
    <row r="22" spans="1:5" x14ac:dyDescent="0.25">
      <c r="A22" s="3" t="s">
        <v>22</v>
      </c>
      <c r="B22" s="5">
        <f>25</f>
        <v>25</v>
      </c>
      <c r="C22" s="4"/>
      <c r="D22" s="5">
        <f t="shared" si="0"/>
        <v>25</v>
      </c>
      <c r="E22" s="6" t="str">
        <f t="shared" si="1"/>
        <v/>
      </c>
    </row>
    <row r="23" spans="1:5" x14ac:dyDescent="0.25">
      <c r="A23" s="3" t="s">
        <v>23</v>
      </c>
      <c r="B23" s="9">
        <f>(B21)+(B22)</f>
        <v>25</v>
      </c>
      <c r="C23" s="9">
        <f>(C21)+(C22)</f>
        <v>0</v>
      </c>
      <c r="D23" s="9">
        <f t="shared" si="0"/>
        <v>25</v>
      </c>
      <c r="E23" s="10" t="str">
        <f t="shared" si="1"/>
        <v/>
      </c>
    </row>
    <row r="24" spans="1:5" x14ac:dyDescent="0.25">
      <c r="A24" s="3" t="s">
        <v>24</v>
      </c>
      <c r="B24" s="9">
        <f>(((((B13)+(B17))+(B18))+(B19))+(B20))+(B23)</f>
        <v>10343.450000000001</v>
      </c>
      <c r="C24" s="9">
        <f>(((((C13)+(C17))+(C18))+(C19))+(C20))+(C23)</f>
        <v>12590.11</v>
      </c>
      <c r="D24" s="9">
        <f t="shared" si="0"/>
        <v>-2246.66</v>
      </c>
      <c r="E24" s="10">
        <f t="shared" si="1"/>
        <v>-0.17844641548008713</v>
      </c>
    </row>
    <row r="25" spans="1:5" x14ac:dyDescent="0.25">
      <c r="A25" s="3" t="s">
        <v>184</v>
      </c>
      <c r="B25" s="4"/>
      <c r="C25" s="5">
        <f>0</f>
        <v>0</v>
      </c>
      <c r="D25" s="5">
        <f t="shared" si="0"/>
        <v>0</v>
      </c>
      <c r="E25" s="6" t="str">
        <f t="shared" si="1"/>
        <v/>
      </c>
    </row>
    <row r="26" spans="1:5" x14ac:dyDescent="0.25">
      <c r="A26" s="3" t="s">
        <v>25</v>
      </c>
      <c r="B26" s="5">
        <f>709.06</f>
        <v>709.06</v>
      </c>
      <c r="C26" s="5">
        <f>1787.86</f>
        <v>1787.86</v>
      </c>
      <c r="D26" s="5">
        <f t="shared" si="0"/>
        <v>-1078.8</v>
      </c>
      <c r="E26" s="6">
        <f t="shared" si="1"/>
        <v>-0.60340295101406149</v>
      </c>
    </row>
    <row r="27" spans="1:5" x14ac:dyDescent="0.25">
      <c r="A27" s="3" t="s">
        <v>26</v>
      </c>
      <c r="B27" s="4"/>
      <c r="C27" s="4"/>
      <c r="D27" s="5">
        <f t="shared" si="0"/>
        <v>0</v>
      </c>
      <c r="E27" s="6" t="str">
        <f t="shared" si="1"/>
        <v/>
      </c>
    </row>
    <row r="28" spans="1:5" x14ac:dyDescent="0.25">
      <c r="A28" s="3" t="s">
        <v>27</v>
      </c>
      <c r="B28" s="5">
        <f>10</f>
        <v>10</v>
      </c>
      <c r="C28" s="4"/>
      <c r="D28" s="5">
        <f t="shared" si="0"/>
        <v>10</v>
      </c>
      <c r="E28" s="6" t="str">
        <f t="shared" si="1"/>
        <v/>
      </c>
    </row>
    <row r="29" spans="1:5" x14ac:dyDescent="0.25">
      <c r="A29" s="3" t="s">
        <v>28</v>
      </c>
      <c r="B29" s="4"/>
      <c r="C29" s="4"/>
      <c r="D29" s="5">
        <f t="shared" si="0"/>
        <v>0</v>
      </c>
      <c r="E29" s="6" t="str">
        <f t="shared" si="1"/>
        <v/>
      </c>
    </row>
    <row r="30" spans="1:5" x14ac:dyDescent="0.25">
      <c r="A30" s="3" t="s">
        <v>31</v>
      </c>
      <c r="B30" s="5">
        <f>25</f>
        <v>25</v>
      </c>
      <c r="C30" s="5">
        <f>145</f>
        <v>145</v>
      </c>
      <c r="D30" s="5">
        <f t="shared" si="0"/>
        <v>-120</v>
      </c>
      <c r="E30" s="6">
        <f t="shared" si="1"/>
        <v>-0.82758620689655171</v>
      </c>
    </row>
    <row r="31" spans="1:5" x14ac:dyDescent="0.25">
      <c r="A31" s="3" t="s">
        <v>32</v>
      </c>
      <c r="B31" s="5">
        <f>2525</f>
        <v>2525</v>
      </c>
      <c r="C31" s="5">
        <f>1671</f>
        <v>1671</v>
      </c>
      <c r="D31" s="5">
        <f t="shared" si="0"/>
        <v>854</v>
      </c>
      <c r="E31" s="6">
        <f t="shared" si="1"/>
        <v>0.51107121484141238</v>
      </c>
    </row>
    <row r="32" spans="1:5" x14ac:dyDescent="0.25">
      <c r="A32" s="3" t="s">
        <v>34</v>
      </c>
      <c r="B32" s="9">
        <f>((B29)+(B30))+(B31)</f>
        <v>2550</v>
      </c>
      <c r="C32" s="9">
        <f>((C29)+(C30))+(C31)</f>
        <v>1816</v>
      </c>
      <c r="D32" s="9">
        <f t="shared" si="0"/>
        <v>734</v>
      </c>
      <c r="E32" s="10">
        <f t="shared" si="1"/>
        <v>0.4041850220264317</v>
      </c>
    </row>
    <row r="33" spans="1:5" x14ac:dyDescent="0.25">
      <c r="A33" s="3" t="s">
        <v>35</v>
      </c>
      <c r="B33" s="4"/>
      <c r="C33" s="4"/>
      <c r="D33" s="5">
        <f t="shared" si="0"/>
        <v>0</v>
      </c>
      <c r="E33" s="6" t="str">
        <f t="shared" si="1"/>
        <v/>
      </c>
    </row>
    <row r="34" spans="1:5" x14ac:dyDescent="0.25">
      <c r="A34" s="3" t="s">
        <v>36</v>
      </c>
      <c r="B34" s="5">
        <f>10</f>
        <v>10</v>
      </c>
      <c r="C34" s="4"/>
      <c r="D34" s="5">
        <f t="shared" si="0"/>
        <v>10</v>
      </c>
      <c r="E34" s="6" t="str">
        <f t="shared" si="1"/>
        <v/>
      </c>
    </row>
    <row r="35" spans="1:5" x14ac:dyDescent="0.25">
      <c r="A35" s="3" t="s">
        <v>185</v>
      </c>
      <c r="B35" s="4"/>
      <c r="C35" s="5">
        <f>25</f>
        <v>25</v>
      </c>
      <c r="D35" s="5">
        <f t="shared" si="0"/>
        <v>-25</v>
      </c>
      <c r="E35" s="6">
        <f t="shared" si="1"/>
        <v>-1</v>
      </c>
    </row>
    <row r="36" spans="1:5" x14ac:dyDescent="0.25">
      <c r="A36" s="3" t="s">
        <v>37</v>
      </c>
      <c r="B36" s="5">
        <f>10.95</f>
        <v>10.95</v>
      </c>
      <c r="C36" s="5">
        <f>-18.74</f>
        <v>-18.739999999999998</v>
      </c>
      <c r="D36" s="5">
        <f t="shared" si="0"/>
        <v>29.689999999999998</v>
      </c>
      <c r="E36" s="6">
        <f t="shared" si="1"/>
        <v>1.5843116328708644</v>
      </c>
    </row>
    <row r="37" spans="1:5" x14ac:dyDescent="0.25">
      <c r="A37" s="3" t="s">
        <v>38</v>
      </c>
      <c r="B37" s="9">
        <f>(((B33)+(B34))+(B35))+(B36)</f>
        <v>20.95</v>
      </c>
      <c r="C37" s="9">
        <f>(((C33)+(C34))+(C35))+(C36)</f>
        <v>6.2600000000000016</v>
      </c>
      <c r="D37" s="9">
        <f t="shared" si="0"/>
        <v>14.689999999999998</v>
      </c>
      <c r="E37" s="10">
        <f t="shared" si="1"/>
        <v>2.3466453674121395</v>
      </c>
    </row>
    <row r="38" spans="1:5" x14ac:dyDescent="0.25">
      <c r="A38" s="3" t="s">
        <v>39</v>
      </c>
      <c r="B38" s="5">
        <f>19</f>
        <v>19</v>
      </c>
      <c r="C38" s="5">
        <f>85</f>
        <v>85</v>
      </c>
      <c r="D38" s="5">
        <f t="shared" si="0"/>
        <v>-66</v>
      </c>
      <c r="E38" s="6">
        <f t="shared" si="1"/>
        <v>-0.77647058823529413</v>
      </c>
    </row>
    <row r="39" spans="1:5" x14ac:dyDescent="0.25">
      <c r="A39" s="3" t="s">
        <v>40</v>
      </c>
      <c r="B39" s="5">
        <f>390</f>
        <v>390</v>
      </c>
      <c r="C39" s="5">
        <f>260</f>
        <v>260</v>
      </c>
      <c r="D39" s="5">
        <f t="shared" si="0"/>
        <v>130</v>
      </c>
      <c r="E39" s="6">
        <f t="shared" si="1"/>
        <v>0.5</v>
      </c>
    </row>
    <row r="40" spans="1:5" x14ac:dyDescent="0.25">
      <c r="A40" s="3" t="s">
        <v>41</v>
      </c>
      <c r="B40" s="9">
        <f>(B38)+(B39)</f>
        <v>409</v>
      </c>
      <c r="C40" s="9">
        <f>(C38)+(C39)</f>
        <v>345</v>
      </c>
      <c r="D40" s="9">
        <f t="shared" si="0"/>
        <v>64</v>
      </c>
      <c r="E40" s="10">
        <f t="shared" si="1"/>
        <v>0.1855072463768116</v>
      </c>
    </row>
    <row r="41" spans="1:5" x14ac:dyDescent="0.25">
      <c r="A41" s="3" t="s">
        <v>42</v>
      </c>
      <c r="B41" s="4"/>
      <c r="C41" s="5">
        <f>-73.89</f>
        <v>-73.89</v>
      </c>
      <c r="D41" s="5">
        <f t="shared" si="0"/>
        <v>73.89</v>
      </c>
      <c r="E41" s="6">
        <f t="shared" si="1"/>
        <v>1</v>
      </c>
    </row>
    <row r="42" spans="1:5" x14ac:dyDescent="0.25">
      <c r="A42" s="3" t="s">
        <v>43</v>
      </c>
      <c r="B42" s="4"/>
      <c r="C42" s="5">
        <f>9.45</f>
        <v>9.4499999999999993</v>
      </c>
      <c r="D42" s="5">
        <f t="shared" si="0"/>
        <v>-9.4499999999999993</v>
      </c>
      <c r="E42" s="6">
        <f t="shared" si="1"/>
        <v>-1</v>
      </c>
    </row>
    <row r="43" spans="1:5" x14ac:dyDescent="0.25">
      <c r="A43" s="3" t="s">
        <v>44</v>
      </c>
      <c r="B43" s="5">
        <f>662.75</f>
        <v>662.75</v>
      </c>
      <c r="C43" s="5">
        <f>836.71</f>
        <v>836.71</v>
      </c>
      <c r="D43" s="5">
        <f t="shared" si="0"/>
        <v>-173.96000000000004</v>
      </c>
      <c r="E43" s="6">
        <f t="shared" si="1"/>
        <v>-0.2079095505013685</v>
      </c>
    </row>
    <row r="44" spans="1:5" x14ac:dyDescent="0.25">
      <c r="A44" s="3" t="s">
        <v>45</v>
      </c>
      <c r="B44" s="5">
        <f>37.91</f>
        <v>37.909999999999997</v>
      </c>
      <c r="C44" s="5">
        <f>285.66</f>
        <v>285.66000000000003</v>
      </c>
      <c r="D44" s="5">
        <f t="shared" si="0"/>
        <v>-247.75000000000003</v>
      </c>
      <c r="E44" s="6">
        <f t="shared" si="1"/>
        <v>-0.86728978505916121</v>
      </c>
    </row>
    <row r="45" spans="1:5" x14ac:dyDescent="0.25">
      <c r="A45" s="3" t="s">
        <v>46</v>
      </c>
      <c r="B45" s="5">
        <f>235.87</f>
        <v>235.87</v>
      </c>
      <c r="C45" s="5">
        <f>413.1</f>
        <v>413.1</v>
      </c>
      <c r="D45" s="5">
        <f t="shared" si="0"/>
        <v>-177.23000000000002</v>
      </c>
      <c r="E45" s="6">
        <f t="shared" si="1"/>
        <v>-0.42902444928588723</v>
      </c>
    </row>
    <row r="46" spans="1:5" x14ac:dyDescent="0.25">
      <c r="A46" s="3" t="s">
        <v>47</v>
      </c>
      <c r="B46" s="5">
        <f>4.5</f>
        <v>4.5</v>
      </c>
      <c r="C46" s="5">
        <f>18.25</f>
        <v>18.25</v>
      </c>
      <c r="D46" s="5">
        <f t="shared" si="0"/>
        <v>-13.75</v>
      </c>
      <c r="E46" s="6">
        <f t="shared" si="1"/>
        <v>-0.75342465753424659</v>
      </c>
    </row>
    <row r="47" spans="1:5" x14ac:dyDescent="0.25">
      <c r="A47" s="3" t="s">
        <v>48</v>
      </c>
      <c r="B47" s="5">
        <f>30</f>
        <v>30</v>
      </c>
      <c r="C47" s="5">
        <f>920</f>
        <v>920</v>
      </c>
      <c r="D47" s="5">
        <f t="shared" si="0"/>
        <v>-890</v>
      </c>
      <c r="E47" s="6">
        <f t="shared" si="1"/>
        <v>-0.96739130434782605</v>
      </c>
    </row>
    <row r="48" spans="1:5" x14ac:dyDescent="0.25">
      <c r="A48" s="3" t="s">
        <v>49</v>
      </c>
      <c r="B48" s="4"/>
      <c r="C48" s="5">
        <f>1</f>
        <v>1</v>
      </c>
      <c r="D48" s="5">
        <f t="shared" si="0"/>
        <v>-1</v>
      </c>
      <c r="E48" s="6">
        <f t="shared" si="1"/>
        <v>-1</v>
      </c>
    </row>
    <row r="49" spans="1:5" x14ac:dyDescent="0.25">
      <c r="A49" s="3" t="s">
        <v>50</v>
      </c>
      <c r="B49" s="5">
        <f>24</f>
        <v>24</v>
      </c>
      <c r="C49" s="5">
        <f>75.85</f>
        <v>75.849999999999994</v>
      </c>
      <c r="D49" s="5">
        <f t="shared" si="0"/>
        <v>-51.849999999999994</v>
      </c>
      <c r="E49" s="6">
        <f t="shared" si="1"/>
        <v>-0.68358602504943966</v>
      </c>
    </row>
    <row r="50" spans="1:5" x14ac:dyDescent="0.25">
      <c r="A50" s="3" t="s">
        <v>51</v>
      </c>
      <c r="B50" s="5">
        <f>75.8</f>
        <v>75.8</v>
      </c>
      <c r="C50" s="5">
        <f>49.9</f>
        <v>49.9</v>
      </c>
      <c r="D50" s="5">
        <f t="shared" si="0"/>
        <v>25.9</v>
      </c>
      <c r="E50" s="6">
        <f t="shared" si="1"/>
        <v>0.51903807615230457</v>
      </c>
    </row>
    <row r="51" spans="1:5" x14ac:dyDescent="0.25">
      <c r="A51" s="3" t="s">
        <v>52</v>
      </c>
      <c r="B51" s="5">
        <f>14.5</f>
        <v>14.5</v>
      </c>
      <c r="C51" s="5">
        <f>1</f>
        <v>1</v>
      </c>
      <c r="D51" s="5">
        <f t="shared" si="0"/>
        <v>13.5</v>
      </c>
      <c r="E51" s="6">
        <f t="shared" si="1"/>
        <v>13.5</v>
      </c>
    </row>
    <row r="52" spans="1:5" x14ac:dyDescent="0.25">
      <c r="A52" s="3" t="s">
        <v>53</v>
      </c>
      <c r="B52" s="5">
        <f>117.5</f>
        <v>117.5</v>
      </c>
      <c r="C52" s="5">
        <f>212.5</f>
        <v>212.5</v>
      </c>
      <c r="D52" s="5">
        <f t="shared" si="0"/>
        <v>-95</v>
      </c>
      <c r="E52" s="6">
        <f t="shared" si="1"/>
        <v>-0.44705882352941179</v>
      </c>
    </row>
    <row r="53" spans="1:5" x14ac:dyDescent="0.25">
      <c r="A53" s="3" t="s">
        <v>54</v>
      </c>
      <c r="B53" s="4"/>
      <c r="C53" s="5">
        <f>12</f>
        <v>12</v>
      </c>
      <c r="D53" s="5">
        <f t="shared" si="0"/>
        <v>-12</v>
      </c>
      <c r="E53" s="6">
        <f t="shared" si="1"/>
        <v>-1</v>
      </c>
    </row>
    <row r="54" spans="1:5" x14ac:dyDescent="0.25">
      <c r="A54" s="3" t="s">
        <v>55</v>
      </c>
      <c r="B54" s="5">
        <f>49.1</f>
        <v>49.1</v>
      </c>
      <c r="C54" s="5">
        <f>179</f>
        <v>179</v>
      </c>
      <c r="D54" s="5">
        <f t="shared" si="0"/>
        <v>-129.9</v>
      </c>
      <c r="E54" s="6">
        <f t="shared" si="1"/>
        <v>-0.72569832402234635</v>
      </c>
    </row>
    <row r="55" spans="1:5" x14ac:dyDescent="0.25">
      <c r="A55" s="3" t="s">
        <v>56</v>
      </c>
      <c r="B55" s="5">
        <f>53.5</f>
        <v>53.5</v>
      </c>
      <c r="C55" s="5">
        <f>47</f>
        <v>47</v>
      </c>
      <c r="D55" s="5">
        <f t="shared" si="0"/>
        <v>6.5</v>
      </c>
      <c r="E55" s="6">
        <f t="shared" si="1"/>
        <v>0.13829787234042554</v>
      </c>
    </row>
    <row r="56" spans="1:5" x14ac:dyDescent="0.25">
      <c r="A56" s="3" t="s">
        <v>57</v>
      </c>
      <c r="B56" s="4"/>
      <c r="C56" s="5">
        <f>1.5</f>
        <v>1.5</v>
      </c>
      <c r="D56" s="5">
        <f t="shared" si="0"/>
        <v>-1.5</v>
      </c>
      <c r="E56" s="6">
        <f t="shared" si="1"/>
        <v>-1</v>
      </c>
    </row>
    <row r="57" spans="1:5" x14ac:dyDescent="0.25">
      <c r="A57" s="3" t="s">
        <v>58</v>
      </c>
      <c r="B57" s="5">
        <f>84.25</f>
        <v>84.25</v>
      </c>
      <c r="C57" s="5">
        <f>73.4</f>
        <v>73.400000000000006</v>
      </c>
      <c r="D57" s="5">
        <f t="shared" si="0"/>
        <v>10.849999999999994</v>
      </c>
      <c r="E57" s="6">
        <f t="shared" si="1"/>
        <v>0.14782016348773833</v>
      </c>
    </row>
    <row r="58" spans="1:5" x14ac:dyDescent="0.25">
      <c r="A58" s="3" t="s">
        <v>59</v>
      </c>
      <c r="B58" s="5">
        <f>189.92</f>
        <v>189.92</v>
      </c>
      <c r="C58" s="5">
        <f>145</f>
        <v>145</v>
      </c>
      <c r="D58" s="5">
        <f t="shared" si="0"/>
        <v>44.919999999999987</v>
      </c>
      <c r="E58" s="6">
        <f t="shared" si="1"/>
        <v>0.30979310344827576</v>
      </c>
    </row>
    <row r="59" spans="1:5" x14ac:dyDescent="0.25">
      <c r="A59" s="3" t="s">
        <v>60</v>
      </c>
      <c r="B59" s="4"/>
      <c r="C59" s="5">
        <f>40</f>
        <v>40</v>
      </c>
      <c r="D59" s="5">
        <f t="shared" si="0"/>
        <v>-40</v>
      </c>
      <c r="E59" s="6">
        <f t="shared" si="1"/>
        <v>-1</v>
      </c>
    </row>
    <row r="60" spans="1:5" x14ac:dyDescent="0.25">
      <c r="A60" s="3" t="s">
        <v>61</v>
      </c>
      <c r="B60" s="5">
        <f>-38.6</f>
        <v>-38.6</v>
      </c>
      <c r="C60" s="5">
        <f>-196.61</f>
        <v>-196.61</v>
      </c>
      <c r="D60" s="5">
        <f t="shared" si="0"/>
        <v>158.01000000000002</v>
      </c>
      <c r="E60" s="6">
        <f t="shared" si="1"/>
        <v>0.80367224454503849</v>
      </c>
    </row>
    <row r="61" spans="1:5" x14ac:dyDescent="0.25">
      <c r="A61" s="3" t="s">
        <v>62</v>
      </c>
      <c r="B61" s="4"/>
      <c r="C61" s="5">
        <f>23</f>
        <v>23</v>
      </c>
      <c r="D61" s="5">
        <f t="shared" si="0"/>
        <v>-23</v>
      </c>
      <c r="E61" s="6">
        <f t="shared" si="1"/>
        <v>-1</v>
      </c>
    </row>
    <row r="62" spans="1:5" x14ac:dyDescent="0.25">
      <c r="A62" s="3" t="s">
        <v>64</v>
      </c>
      <c r="B62" s="5">
        <f>114.5</f>
        <v>114.5</v>
      </c>
      <c r="C62" s="5">
        <f>224.75</f>
        <v>224.75</v>
      </c>
      <c r="D62" s="5">
        <f t="shared" si="0"/>
        <v>-110.25</v>
      </c>
      <c r="E62" s="6">
        <f t="shared" si="1"/>
        <v>-0.49054505005561733</v>
      </c>
    </row>
    <row r="63" spans="1:5" x14ac:dyDescent="0.25">
      <c r="A63" s="3" t="s">
        <v>65</v>
      </c>
      <c r="B63" s="4"/>
      <c r="C63" s="5">
        <f>9</f>
        <v>9</v>
      </c>
      <c r="D63" s="5">
        <f t="shared" si="0"/>
        <v>-9</v>
      </c>
      <c r="E63" s="6">
        <f t="shared" si="1"/>
        <v>-1</v>
      </c>
    </row>
    <row r="64" spans="1:5" x14ac:dyDescent="0.25">
      <c r="A64" s="3" t="s">
        <v>66</v>
      </c>
      <c r="B64" s="5">
        <f>158.5</f>
        <v>158.5</v>
      </c>
      <c r="C64" s="5">
        <f>282</f>
        <v>282</v>
      </c>
      <c r="D64" s="5">
        <f t="shared" si="0"/>
        <v>-123.5</v>
      </c>
      <c r="E64" s="6">
        <f t="shared" si="1"/>
        <v>-0.43794326241134751</v>
      </c>
    </row>
    <row r="65" spans="1:5" x14ac:dyDescent="0.25">
      <c r="A65" s="3" t="s">
        <v>67</v>
      </c>
      <c r="B65" s="5">
        <f>15</f>
        <v>15</v>
      </c>
      <c r="C65" s="4"/>
      <c r="D65" s="5">
        <f t="shared" si="0"/>
        <v>15</v>
      </c>
      <c r="E65" s="6" t="str">
        <f t="shared" si="1"/>
        <v/>
      </c>
    </row>
    <row r="66" spans="1:5" x14ac:dyDescent="0.25">
      <c r="A66" s="3" t="s">
        <v>68</v>
      </c>
      <c r="B66" s="5">
        <f>12</f>
        <v>12</v>
      </c>
      <c r="C66" s="5">
        <f>12</f>
        <v>12</v>
      </c>
      <c r="D66" s="5">
        <f t="shared" si="0"/>
        <v>0</v>
      </c>
      <c r="E66" s="6">
        <f t="shared" si="1"/>
        <v>0</v>
      </c>
    </row>
    <row r="67" spans="1:5" x14ac:dyDescent="0.25">
      <c r="A67" s="3" t="s">
        <v>69</v>
      </c>
      <c r="B67" s="5">
        <f>46.5</f>
        <v>46.5</v>
      </c>
      <c r="C67" s="5">
        <f>9</f>
        <v>9</v>
      </c>
      <c r="D67" s="5">
        <f t="shared" si="0"/>
        <v>37.5</v>
      </c>
      <c r="E67" s="6">
        <f t="shared" si="1"/>
        <v>4.166666666666667</v>
      </c>
    </row>
    <row r="68" spans="1:5" x14ac:dyDescent="0.25">
      <c r="A68" s="3" t="s">
        <v>70</v>
      </c>
      <c r="B68" s="5">
        <f>30</f>
        <v>30</v>
      </c>
      <c r="C68" s="4"/>
      <c r="D68" s="5">
        <f t="shared" si="0"/>
        <v>30</v>
      </c>
      <c r="E68" s="6" t="str">
        <f t="shared" si="1"/>
        <v/>
      </c>
    </row>
    <row r="69" spans="1:5" x14ac:dyDescent="0.25">
      <c r="A69" s="3" t="s">
        <v>71</v>
      </c>
      <c r="B69" s="5">
        <f>64</f>
        <v>64</v>
      </c>
      <c r="C69" s="5">
        <f>64</f>
        <v>64</v>
      </c>
      <c r="D69" s="5">
        <f t="shared" si="0"/>
        <v>0</v>
      </c>
      <c r="E69" s="6">
        <f t="shared" si="1"/>
        <v>0</v>
      </c>
    </row>
    <row r="70" spans="1:5" x14ac:dyDescent="0.25">
      <c r="A70" s="3" t="s">
        <v>72</v>
      </c>
      <c r="B70" s="4"/>
      <c r="C70" s="5">
        <f>6</f>
        <v>6</v>
      </c>
      <c r="D70" s="5">
        <f t="shared" si="0"/>
        <v>-6</v>
      </c>
      <c r="E70" s="6">
        <f t="shared" si="1"/>
        <v>-1</v>
      </c>
    </row>
    <row r="71" spans="1:5" x14ac:dyDescent="0.25">
      <c r="A71" s="3" t="s">
        <v>73</v>
      </c>
      <c r="B71" s="5">
        <f>40</f>
        <v>40</v>
      </c>
      <c r="C71" s="5">
        <f>17</f>
        <v>17</v>
      </c>
      <c r="D71" s="5">
        <f t="shared" si="0"/>
        <v>23</v>
      </c>
      <c r="E71" s="6">
        <f t="shared" si="1"/>
        <v>1.3529411764705883</v>
      </c>
    </row>
    <row r="72" spans="1:5" x14ac:dyDescent="0.25">
      <c r="A72" s="3" t="s">
        <v>74</v>
      </c>
      <c r="B72" s="5">
        <f>6</f>
        <v>6</v>
      </c>
      <c r="C72" s="4"/>
      <c r="D72" s="5">
        <f t="shared" ref="D72:D86" si="2">(B72)-(C72)</f>
        <v>6</v>
      </c>
      <c r="E72" s="6" t="str">
        <f t="shared" ref="E72:E86" si="3">IF(ABS((C72))=0,"",((B72)-(C72))/(ABS((C72))))</f>
        <v/>
      </c>
    </row>
    <row r="73" spans="1:5" x14ac:dyDescent="0.25">
      <c r="A73" s="3" t="s">
        <v>75</v>
      </c>
      <c r="B73" s="4"/>
      <c r="C73" s="5">
        <f>100</f>
        <v>100</v>
      </c>
      <c r="D73" s="5">
        <f t="shared" si="2"/>
        <v>-100</v>
      </c>
      <c r="E73" s="6">
        <f t="shared" si="3"/>
        <v>-1</v>
      </c>
    </row>
    <row r="74" spans="1:5" x14ac:dyDescent="0.25">
      <c r="A74" s="3" t="s">
        <v>77</v>
      </c>
      <c r="B74" s="5">
        <f>31</f>
        <v>31</v>
      </c>
      <c r="C74" s="5">
        <f>195.45</f>
        <v>195.45</v>
      </c>
      <c r="D74" s="5">
        <f t="shared" si="2"/>
        <v>-164.45</v>
      </c>
      <c r="E74" s="6">
        <f t="shared" si="3"/>
        <v>-0.84139166027116907</v>
      </c>
    </row>
    <row r="75" spans="1:5" x14ac:dyDescent="0.25">
      <c r="A75" s="3" t="s">
        <v>79</v>
      </c>
      <c r="B75" s="5">
        <f>21</f>
        <v>21</v>
      </c>
      <c r="C75" s="4"/>
      <c r="D75" s="5">
        <f t="shared" si="2"/>
        <v>21</v>
      </c>
      <c r="E75" s="6" t="str">
        <f t="shared" si="3"/>
        <v/>
      </c>
    </row>
    <row r="76" spans="1:5" x14ac:dyDescent="0.25">
      <c r="A76" s="3" t="s">
        <v>80</v>
      </c>
      <c r="B76" s="5">
        <f>68</f>
        <v>68</v>
      </c>
      <c r="C76" s="5">
        <f>43</f>
        <v>43</v>
      </c>
      <c r="D76" s="5">
        <f t="shared" si="2"/>
        <v>25</v>
      </c>
      <c r="E76" s="6">
        <f t="shared" si="3"/>
        <v>0.58139534883720934</v>
      </c>
    </row>
    <row r="77" spans="1:5" x14ac:dyDescent="0.25">
      <c r="A77" s="3" t="s">
        <v>81</v>
      </c>
      <c r="B77" s="4"/>
      <c r="C77" s="5">
        <f>25</f>
        <v>25</v>
      </c>
      <c r="D77" s="5">
        <f t="shared" si="2"/>
        <v>-25</v>
      </c>
      <c r="E77" s="6">
        <f t="shared" si="3"/>
        <v>-1</v>
      </c>
    </row>
    <row r="78" spans="1:5" x14ac:dyDescent="0.25">
      <c r="A78" s="3" t="s">
        <v>82</v>
      </c>
      <c r="B78" s="5">
        <f>40</f>
        <v>40</v>
      </c>
      <c r="C78" s="5">
        <f>30</f>
        <v>30</v>
      </c>
      <c r="D78" s="5">
        <f t="shared" si="2"/>
        <v>10</v>
      </c>
      <c r="E78" s="6">
        <f t="shared" si="3"/>
        <v>0.33333333333333331</v>
      </c>
    </row>
    <row r="79" spans="1:5" x14ac:dyDescent="0.25">
      <c r="A79" s="3" t="s">
        <v>83</v>
      </c>
      <c r="B79" s="5">
        <f>45</f>
        <v>45</v>
      </c>
      <c r="C79" s="4"/>
      <c r="D79" s="5">
        <f t="shared" si="2"/>
        <v>45</v>
      </c>
      <c r="E79" s="6" t="str">
        <f t="shared" si="3"/>
        <v/>
      </c>
    </row>
    <row r="80" spans="1:5" x14ac:dyDescent="0.25">
      <c r="A80" s="3" t="s">
        <v>85</v>
      </c>
      <c r="B80" s="5">
        <f>56</f>
        <v>56</v>
      </c>
      <c r="C80" s="5">
        <f>124</f>
        <v>124</v>
      </c>
      <c r="D80" s="5">
        <f t="shared" si="2"/>
        <v>-68</v>
      </c>
      <c r="E80" s="6">
        <f t="shared" si="3"/>
        <v>-0.54838709677419351</v>
      </c>
    </row>
    <row r="81" spans="1:5" x14ac:dyDescent="0.25">
      <c r="A81" s="3" t="s">
        <v>86</v>
      </c>
      <c r="B81" s="9">
        <f>(((((((((((((((((((((((((((((((((((((((B41)+(B42))+(B43))+(B44))+(B45))+(B46))+(B47))+(B48))+(B49))+(B50))+(B51))+(B52))+(B53))+(B54))+(B55))+(B56))+(B57))+(B58))+(B59))+(B60))+(B61))+(B62))+(B63))+(B64))+(B65))+(B66))+(B67))+(B68))+(B69))+(B70))+(B71))+(B72))+(B73))+(B74))+(B75))+(B76))+(B77))+(B78))+(B79))+(B80)</f>
        <v>2288.5</v>
      </c>
      <c r="C81" s="9">
        <f>(((((((((((((((((((((((((((((((((((((((C41)+(C42))+(C43))+(C44))+(C45))+(C46))+(C47))+(C48))+(C49))+(C50))+(C51))+(C52))+(C53))+(C54))+(C55))+(C56))+(C57))+(C58))+(C59))+(C60))+(C61))+(C62))+(C63))+(C64))+(C65))+(C66))+(C67))+(C68))+(C69))+(C70))+(C71))+(C72))+(C73))+(C74))+(C75))+(C76))+(C77))+(C78))+(C79))+(C80)</f>
        <v>4215.0200000000004</v>
      </c>
      <c r="D81" s="9">
        <f t="shared" si="2"/>
        <v>-1926.5200000000004</v>
      </c>
      <c r="E81" s="10">
        <f t="shared" si="3"/>
        <v>-0.45706070196582704</v>
      </c>
    </row>
    <row r="82" spans="1:5" x14ac:dyDescent="0.25">
      <c r="A82" s="3" t="s">
        <v>87</v>
      </c>
      <c r="B82" s="9">
        <f>(((((B27)+(B28))+(B32))+(B37))+(B40))+(B81)</f>
        <v>5278.45</v>
      </c>
      <c r="C82" s="9">
        <f>(((((C27)+(C28))+(C32))+(C37))+(C40))+(C81)</f>
        <v>6382.2800000000007</v>
      </c>
      <c r="D82" s="9">
        <f t="shared" si="2"/>
        <v>-1103.8300000000008</v>
      </c>
      <c r="E82" s="10">
        <f t="shared" si="3"/>
        <v>-0.17295229917835017</v>
      </c>
    </row>
    <row r="83" spans="1:5" x14ac:dyDescent="0.25">
      <c r="A83" s="3" t="s">
        <v>88</v>
      </c>
      <c r="B83" s="5">
        <f>184.51</f>
        <v>184.51</v>
      </c>
      <c r="C83" s="5">
        <f>4.63</f>
        <v>4.63</v>
      </c>
      <c r="D83" s="5">
        <f t="shared" si="2"/>
        <v>179.88</v>
      </c>
      <c r="E83" s="6">
        <f t="shared" si="3"/>
        <v>38.850971922246224</v>
      </c>
    </row>
    <row r="84" spans="1:5" x14ac:dyDescent="0.25">
      <c r="A84" s="3" t="s">
        <v>186</v>
      </c>
      <c r="B84" s="4"/>
      <c r="C84" s="5">
        <f>273.82</f>
        <v>273.82</v>
      </c>
      <c r="D84" s="5">
        <f t="shared" si="2"/>
        <v>-273.82</v>
      </c>
      <c r="E84" s="6">
        <f t="shared" si="3"/>
        <v>-1</v>
      </c>
    </row>
    <row r="85" spans="1:5" x14ac:dyDescent="0.25">
      <c r="A85" s="3" t="s">
        <v>187</v>
      </c>
      <c r="B85" s="9">
        <f>(B83)+(B84)</f>
        <v>184.51</v>
      </c>
      <c r="C85" s="9">
        <f>(C83)+(C84)</f>
        <v>278.45</v>
      </c>
      <c r="D85" s="9">
        <f t="shared" si="2"/>
        <v>-93.94</v>
      </c>
      <c r="E85" s="10">
        <f t="shared" si="3"/>
        <v>-0.33736757047943977</v>
      </c>
    </row>
    <row r="86" spans="1:5" x14ac:dyDescent="0.25">
      <c r="A86" s="3" t="s">
        <v>89</v>
      </c>
      <c r="B86" s="9">
        <f>(((((B12)+(B24))+(B25))+(B26))+(B82))+(B85)</f>
        <v>292256.72000000003</v>
      </c>
      <c r="C86" s="9">
        <f>(((((C12)+(C24))+(C25))+(C26))+(C82))+(C85)</f>
        <v>298438.7</v>
      </c>
      <c r="D86" s="9">
        <f t="shared" si="2"/>
        <v>-6181.9799999999814</v>
      </c>
      <c r="E86" s="10">
        <f t="shared" si="3"/>
        <v>-2.071440466668693E-2</v>
      </c>
    </row>
    <row r="87" spans="1:5" x14ac:dyDescent="0.25">
      <c r="A87" s="3" t="s">
        <v>90</v>
      </c>
      <c r="B87" s="4"/>
      <c r="C87" s="4"/>
      <c r="D87" s="4"/>
      <c r="E87" s="4"/>
    </row>
    <row r="88" spans="1:5" x14ac:dyDescent="0.25">
      <c r="A88" s="3" t="s">
        <v>91</v>
      </c>
      <c r="B88" s="5">
        <f>2504.92</f>
        <v>2504.92</v>
      </c>
      <c r="C88" s="5">
        <f>4790.92</f>
        <v>4790.92</v>
      </c>
      <c r="D88" s="5">
        <f>(B88)-(C88)</f>
        <v>-2286</v>
      </c>
      <c r="E88" s="6">
        <f>IF(ABS((C88))=0,"",((B88)-(C88))/(ABS((C88))))</f>
        <v>-0.47715261369423828</v>
      </c>
    </row>
    <row r="89" spans="1:5" x14ac:dyDescent="0.25">
      <c r="A89" s="3" t="s">
        <v>92</v>
      </c>
      <c r="B89" s="5">
        <f>205.18</f>
        <v>205.18</v>
      </c>
      <c r="C89" s="5">
        <f>240.71</f>
        <v>240.71</v>
      </c>
      <c r="D89" s="5">
        <f>(B89)-(C89)</f>
        <v>-35.53</v>
      </c>
      <c r="E89" s="6">
        <f>IF(ABS((C89))=0,"",((B89)-(C89))/(ABS((C89))))</f>
        <v>-0.14760500186946948</v>
      </c>
    </row>
    <row r="90" spans="1:5" x14ac:dyDescent="0.25">
      <c r="A90" s="3" t="s">
        <v>93</v>
      </c>
      <c r="B90" s="9">
        <f>(B88)+(B89)</f>
        <v>2710.1</v>
      </c>
      <c r="C90" s="9">
        <f>(C88)+(C89)</f>
        <v>5031.63</v>
      </c>
      <c r="D90" s="9">
        <f>(B90)-(C90)</f>
        <v>-2321.5300000000002</v>
      </c>
      <c r="E90" s="10">
        <f>IF(ABS((C90))=0,"",((B90)-(C90))/(ABS((C90))))</f>
        <v>-0.46138726416688036</v>
      </c>
    </row>
    <row r="91" spans="1:5" x14ac:dyDescent="0.25">
      <c r="A91" s="3" t="s">
        <v>94</v>
      </c>
      <c r="B91" s="9">
        <f>(B86)-(B90)</f>
        <v>289546.62000000005</v>
      </c>
      <c r="C91" s="9">
        <f>(C86)-(C90)</f>
        <v>293407.07</v>
      </c>
      <c r="D91" s="9">
        <f>(B91)-(C91)</f>
        <v>-3860.4499999999534</v>
      </c>
      <c r="E91" s="10">
        <f>IF(ABS((C91))=0,"",((B91)-(C91))/(ABS((C91))))</f>
        <v>-1.3157317579293346E-2</v>
      </c>
    </row>
    <row r="92" spans="1:5" x14ac:dyDescent="0.25">
      <c r="A92" s="3" t="s">
        <v>95</v>
      </c>
      <c r="B92" s="4"/>
      <c r="C92" s="4"/>
      <c r="D92" s="4"/>
      <c r="E92" s="4"/>
    </row>
    <row r="93" spans="1:5" x14ac:dyDescent="0.25">
      <c r="A93" s="3" t="s">
        <v>96</v>
      </c>
      <c r="B93" s="4"/>
      <c r="C93" s="4"/>
      <c r="D93" s="5">
        <f t="shared" ref="D93:D156" si="4">(B93)-(C93)</f>
        <v>0</v>
      </c>
      <c r="E93" s="6" t="str">
        <f t="shared" ref="E93:E156" si="5">IF(ABS((C93))=0,"",((B93)-(C93))/(ABS((C93))))</f>
        <v/>
      </c>
    </row>
    <row r="94" spans="1:5" x14ac:dyDescent="0.25">
      <c r="A94" s="3" t="s">
        <v>97</v>
      </c>
      <c r="B94" s="5">
        <f>32572</f>
        <v>32572</v>
      </c>
      <c r="C94" s="5">
        <f>26378</f>
        <v>26378</v>
      </c>
      <c r="D94" s="5">
        <f t="shared" si="4"/>
        <v>6194</v>
      </c>
      <c r="E94" s="6">
        <f t="shared" si="5"/>
        <v>0.2348168928652665</v>
      </c>
    </row>
    <row r="95" spans="1:5" x14ac:dyDescent="0.25">
      <c r="A95" s="3" t="s">
        <v>98</v>
      </c>
      <c r="B95" s="9">
        <f>(B93)+(B94)</f>
        <v>32572</v>
      </c>
      <c r="C95" s="9">
        <f>(C93)+(C94)</f>
        <v>26378</v>
      </c>
      <c r="D95" s="9">
        <f t="shared" si="4"/>
        <v>6194</v>
      </c>
      <c r="E95" s="10">
        <f t="shared" si="5"/>
        <v>0.2348168928652665</v>
      </c>
    </row>
    <row r="96" spans="1:5" x14ac:dyDescent="0.25">
      <c r="A96" s="3" t="s">
        <v>99</v>
      </c>
      <c r="B96" s="5">
        <f>250</f>
        <v>250</v>
      </c>
      <c r="C96" s="5">
        <f>528.95</f>
        <v>528.95000000000005</v>
      </c>
      <c r="D96" s="5">
        <f t="shared" si="4"/>
        <v>-278.95000000000005</v>
      </c>
      <c r="E96" s="6">
        <f t="shared" si="5"/>
        <v>-0.52736553549484833</v>
      </c>
    </row>
    <row r="97" spans="1:5" x14ac:dyDescent="0.25">
      <c r="A97" s="3" t="s">
        <v>100</v>
      </c>
      <c r="B97" s="5">
        <f>551.69</f>
        <v>551.69000000000005</v>
      </c>
      <c r="C97" s="5">
        <f>680.16</f>
        <v>680.16</v>
      </c>
      <c r="D97" s="5">
        <f t="shared" si="4"/>
        <v>-128.46999999999991</v>
      </c>
      <c r="E97" s="6">
        <f t="shared" si="5"/>
        <v>-0.18888202775817442</v>
      </c>
    </row>
    <row r="98" spans="1:5" x14ac:dyDescent="0.25">
      <c r="A98" s="3" t="s">
        <v>101</v>
      </c>
      <c r="B98" s="5">
        <f>4265.32</f>
        <v>4265.32</v>
      </c>
      <c r="C98" s="5">
        <f>6916.67</f>
        <v>6916.67</v>
      </c>
      <c r="D98" s="5">
        <f t="shared" si="4"/>
        <v>-2651.3500000000004</v>
      </c>
      <c r="E98" s="6">
        <f t="shared" si="5"/>
        <v>-0.38332752610721638</v>
      </c>
    </row>
    <row r="99" spans="1:5" x14ac:dyDescent="0.25">
      <c r="A99" s="3" t="s">
        <v>102</v>
      </c>
      <c r="B99" s="5">
        <f>45.77</f>
        <v>45.77</v>
      </c>
      <c r="C99" s="5">
        <f>437.2</f>
        <v>437.2</v>
      </c>
      <c r="D99" s="5">
        <f t="shared" si="4"/>
        <v>-391.43</v>
      </c>
      <c r="E99" s="6">
        <f t="shared" si="5"/>
        <v>-0.89531107044830749</v>
      </c>
    </row>
    <row r="100" spans="1:5" x14ac:dyDescent="0.25">
      <c r="A100" s="3" t="s">
        <v>103</v>
      </c>
      <c r="B100" s="4"/>
      <c r="C100" s="4"/>
      <c r="D100" s="5">
        <f t="shared" si="4"/>
        <v>0</v>
      </c>
      <c r="E100" s="6" t="str">
        <f t="shared" si="5"/>
        <v/>
      </c>
    </row>
    <row r="101" spans="1:5" x14ac:dyDescent="0.25">
      <c r="A101" s="3" t="s">
        <v>104</v>
      </c>
      <c r="B101" s="4"/>
      <c r="C101" s="5">
        <f>178.95</f>
        <v>178.95</v>
      </c>
      <c r="D101" s="5">
        <f t="shared" si="4"/>
        <v>-178.95</v>
      </c>
      <c r="E101" s="6">
        <f t="shared" si="5"/>
        <v>-1</v>
      </c>
    </row>
    <row r="102" spans="1:5" x14ac:dyDescent="0.25">
      <c r="A102" s="3" t="s">
        <v>188</v>
      </c>
      <c r="B102" s="4"/>
      <c r="C102" s="5">
        <f>1600</f>
        <v>1600</v>
      </c>
      <c r="D102" s="5">
        <f t="shared" si="4"/>
        <v>-1600</v>
      </c>
      <c r="E102" s="6">
        <f t="shared" si="5"/>
        <v>-1</v>
      </c>
    </row>
    <row r="103" spans="1:5" x14ac:dyDescent="0.25">
      <c r="A103" s="3" t="s">
        <v>106</v>
      </c>
      <c r="B103" s="9">
        <f>((B100)+(B101))+(B102)</f>
        <v>0</v>
      </c>
      <c r="C103" s="9">
        <f>((C100)+(C101))+(C102)</f>
        <v>1778.95</v>
      </c>
      <c r="D103" s="9">
        <f t="shared" si="4"/>
        <v>-1778.95</v>
      </c>
      <c r="E103" s="10">
        <f t="shared" si="5"/>
        <v>-1</v>
      </c>
    </row>
    <row r="104" spans="1:5" x14ac:dyDescent="0.25">
      <c r="A104" s="3" t="s">
        <v>107</v>
      </c>
      <c r="B104" s="4"/>
      <c r="C104" s="4"/>
      <c r="D104" s="5">
        <f t="shared" si="4"/>
        <v>0</v>
      </c>
      <c r="E104" s="6" t="str">
        <f t="shared" si="5"/>
        <v/>
      </c>
    </row>
    <row r="105" spans="1:5" x14ac:dyDescent="0.25">
      <c r="A105" s="3" t="s">
        <v>108</v>
      </c>
      <c r="B105" s="5">
        <f>3803.01</f>
        <v>3803.01</v>
      </c>
      <c r="C105" s="5">
        <f>4623</f>
        <v>4623</v>
      </c>
      <c r="D105" s="5">
        <f t="shared" si="4"/>
        <v>-819.98999999999978</v>
      </c>
      <c r="E105" s="6">
        <f t="shared" si="5"/>
        <v>-0.17737183646982474</v>
      </c>
    </row>
    <row r="106" spans="1:5" x14ac:dyDescent="0.25">
      <c r="A106" s="3" t="s">
        <v>109</v>
      </c>
      <c r="B106" s="9">
        <f>(B104)+(B105)</f>
        <v>3803.01</v>
      </c>
      <c r="C106" s="9">
        <f>(C104)+(C105)</f>
        <v>4623</v>
      </c>
      <c r="D106" s="9">
        <f t="shared" si="4"/>
        <v>-819.98999999999978</v>
      </c>
      <c r="E106" s="10">
        <f t="shared" si="5"/>
        <v>-0.17737183646982474</v>
      </c>
    </row>
    <row r="107" spans="1:5" x14ac:dyDescent="0.25">
      <c r="A107" s="3" t="s">
        <v>110</v>
      </c>
      <c r="B107" s="4"/>
      <c r="C107" s="4"/>
      <c r="D107" s="5">
        <f t="shared" si="4"/>
        <v>0</v>
      </c>
      <c r="E107" s="6" t="str">
        <f t="shared" si="5"/>
        <v/>
      </c>
    </row>
    <row r="108" spans="1:5" x14ac:dyDescent="0.25">
      <c r="A108" s="3" t="s">
        <v>111</v>
      </c>
      <c r="B108" s="5">
        <f>13864.39</f>
        <v>13864.39</v>
      </c>
      <c r="C108" s="5">
        <f>22013.44</f>
        <v>22013.439999999999</v>
      </c>
      <c r="D108" s="5">
        <f t="shared" si="4"/>
        <v>-8149.0499999999993</v>
      </c>
      <c r="E108" s="6">
        <f t="shared" si="5"/>
        <v>-0.37018521412373528</v>
      </c>
    </row>
    <row r="109" spans="1:5" x14ac:dyDescent="0.25">
      <c r="A109" s="3" t="s">
        <v>112</v>
      </c>
      <c r="B109" s="5">
        <f>10709.86</f>
        <v>10709.86</v>
      </c>
      <c r="C109" s="5">
        <f>9691.34</f>
        <v>9691.34</v>
      </c>
      <c r="D109" s="5">
        <f t="shared" si="4"/>
        <v>1018.5200000000004</v>
      </c>
      <c r="E109" s="6">
        <f t="shared" si="5"/>
        <v>0.10509588973248286</v>
      </c>
    </row>
    <row r="110" spans="1:5" x14ac:dyDescent="0.25">
      <c r="A110" s="3" t="s">
        <v>113</v>
      </c>
      <c r="B110" s="5">
        <f>138.72</f>
        <v>138.72</v>
      </c>
      <c r="C110" s="5">
        <f>69.36</f>
        <v>69.36</v>
      </c>
      <c r="D110" s="5">
        <f t="shared" si="4"/>
        <v>69.36</v>
      </c>
      <c r="E110" s="6">
        <f t="shared" si="5"/>
        <v>1</v>
      </c>
    </row>
    <row r="111" spans="1:5" x14ac:dyDescent="0.25">
      <c r="A111" s="3" t="s">
        <v>114</v>
      </c>
      <c r="B111" s="9">
        <f>(((B107)+(B108))+(B109))+(B110)</f>
        <v>24712.97</v>
      </c>
      <c r="C111" s="9">
        <f>(((C107)+(C108))+(C109))+(C110)</f>
        <v>31774.14</v>
      </c>
      <c r="D111" s="9">
        <f t="shared" si="4"/>
        <v>-7061.1699999999983</v>
      </c>
      <c r="E111" s="10">
        <f t="shared" si="5"/>
        <v>-0.22223009025578658</v>
      </c>
    </row>
    <row r="112" spans="1:5" x14ac:dyDescent="0.25">
      <c r="A112" s="3" t="s">
        <v>115</v>
      </c>
      <c r="B112" s="4"/>
      <c r="C112" s="4"/>
      <c r="D112" s="5">
        <f t="shared" si="4"/>
        <v>0</v>
      </c>
      <c r="E112" s="6" t="str">
        <f t="shared" si="5"/>
        <v/>
      </c>
    </row>
    <row r="113" spans="1:5" x14ac:dyDescent="0.25">
      <c r="A113" s="3" t="s">
        <v>116</v>
      </c>
      <c r="B113" s="5">
        <f>1139.17</f>
        <v>1139.17</v>
      </c>
      <c r="C113" s="4"/>
      <c r="D113" s="5">
        <f t="shared" si="4"/>
        <v>1139.17</v>
      </c>
      <c r="E113" s="6" t="str">
        <f t="shared" si="5"/>
        <v/>
      </c>
    </row>
    <row r="114" spans="1:5" x14ac:dyDescent="0.25">
      <c r="A114" s="3" t="s">
        <v>117</v>
      </c>
      <c r="B114" s="5">
        <f>770.65</f>
        <v>770.65</v>
      </c>
      <c r="C114" s="5">
        <f>957.95</f>
        <v>957.95</v>
      </c>
      <c r="D114" s="5">
        <f t="shared" si="4"/>
        <v>-187.30000000000007</v>
      </c>
      <c r="E114" s="6">
        <f t="shared" si="5"/>
        <v>-0.1955216869356439</v>
      </c>
    </row>
    <row r="115" spans="1:5" x14ac:dyDescent="0.25">
      <c r="A115" s="3" t="s">
        <v>118</v>
      </c>
      <c r="B115" s="5">
        <f>1897.63</f>
        <v>1897.63</v>
      </c>
      <c r="C115" s="5">
        <f>2264.65</f>
        <v>2264.65</v>
      </c>
      <c r="D115" s="5">
        <f t="shared" si="4"/>
        <v>-367.02</v>
      </c>
      <c r="E115" s="6">
        <f t="shared" si="5"/>
        <v>-0.16206477822180027</v>
      </c>
    </row>
    <row r="116" spans="1:5" x14ac:dyDescent="0.25">
      <c r="A116" s="3" t="s">
        <v>119</v>
      </c>
      <c r="B116" s="9">
        <f>(((B112)+(B113))+(B114))+(B115)</f>
        <v>3807.4500000000003</v>
      </c>
      <c r="C116" s="9">
        <f>(((C112)+(C113))+(C114))+(C115)</f>
        <v>3222.6000000000004</v>
      </c>
      <c r="D116" s="9">
        <f t="shared" si="4"/>
        <v>584.84999999999991</v>
      </c>
      <c r="E116" s="10">
        <f t="shared" si="5"/>
        <v>0.18148389499162162</v>
      </c>
    </row>
    <row r="117" spans="1:5" x14ac:dyDescent="0.25">
      <c r="A117" s="3" t="s">
        <v>120</v>
      </c>
      <c r="B117" s="5">
        <f>1712.85</f>
        <v>1712.85</v>
      </c>
      <c r="C117" s="5">
        <f>2191.27</f>
        <v>2191.27</v>
      </c>
      <c r="D117" s="5">
        <f t="shared" si="4"/>
        <v>-478.42000000000007</v>
      </c>
      <c r="E117" s="6">
        <f t="shared" si="5"/>
        <v>-0.21833000953784795</v>
      </c>
    </row>
    <row r="118" spans="1:5" x14ac:dyDescent="0.25">
      <c r="A118" s="3" t="s">
        <v>121</v>
      </c>
      <c r="B118" s="4"/>
      <c r="C118" s="4"/>
      <c r="D118" s="5">
        <f t="shared" si="4"/>
        <v>0</v>
      </c>
      <c r="E118" s="6" t="str">
        <f t="shared" si="5"/>
        <v/>
      </c>
    </row>
    <row r="119" spans="1:5" x14ac:dyDescent="0.25">
      <c r="A119" s="3" t="s">
        <v>122</v>
      </c>
      <c r="B119" s="5">
        <f>272.12</f>
        <v>272.12</v>
      </c>
      <c r="C119" s="4"/>
      <c r="D119" s="5">
        <f t="shared" si="4"/>
        <v>272.12</v>
      </c>
      <c r="E119" s="6" t="str">
        <f t="shared" si="5"/>
        <v/>
      </c>
    </row>
    <row r="120" spans="1:5" x14ac:dyDescent="0.25">
      <c r="A120" s="3" t="s">
        <v>123</v>
      </c>
      <c r="B120" s="5">
        <f>1414.9</f>
        <v>1414.9</v>
      </c>
      <c r="C120" s="5">
        <f>1049.52</f>
        <v>1049.52</v>
      </c>
      <c r="D120" s="5">
        <f t="shared" si="4"/>
        <v>365.38000000000011</v>
      </c>
      <c r="E120" s="6">
        <f t="shared" si="5"/>
        <v>0.34814010214193164</v>
      </c>
    </row>
    <row r="121" spans="1:5" x14ac:dyDescent="0.25">
      <c r="A121" s="3" t="s">
        <v>124</v>
      </c>
      <c r="B121" s="9">
        <f>((B118)+(B119))+(B120)</f>
        <v>1687.02</v>
      </c>
      <c r="C121" s="9">
        <f>((C118)+(C119))+(C120)</f>
        <v>1049.52</v>
      </c>
      <c r="D121" s="9">
        <f t="shared" si="4"/>
        <v>637.5</v>
      </c>
      <c r="E121" s="10">
        <f t="shared" si="5"/>
        <v>0.60742053510176086</v>
      </c>
    </row>
    <row r="122" spans="1:5" x14ac:dyDescent="0.25">
      <c r="A122" s="3" t="s">
        <v>125</v>
      </c>
      <c r="B122" s="5">
        <f>849.06</f>
        <v>849.06</v>
      </c>
      <c r="C122" s="5">
        <f>457.1</f>
        <v>457.1</v>
      </c>
      <c r="D122" s="5">
        <f t="shared" si="4"/>
        <v>391.95999999999992</v>
      </c>
      <c r="E122" s="6">
        <f t="shared" si="5"/>
        <v>0.85749288995843342</v>
      </c>
    </row>
    <row r="123" spans="1:5" x14ac:dyDescent="0.25">
      <c r="A123" s="3" t="s">
        <v>127</v>
      </c>
      <c r="B123" s="4"/>
      <c r="C123" s="4"/>
      <c r="D123" s="5">
        <f t="shared" si="4"/>
        <v>0</v>
      </c>
      <c r="E123" s="6" t="str">
        <f t="shared" si="5"/>
        <v/>
      </c>
    </row>
    <row r="124" spans="1:5" x14ac:dyDescent="0.25">
      <c r="A124" s="3" t="s">
        <v>128</v>
      </c>
      <c r="B124" s="5">
        <f>98820.16</f>
        <v>98820.160000000003</v>
      </c>
      <c r="C124" s="5">
        <f>101732.39</f>
        <v>101732.39</v>
      </c>
      <c r="D124" s="5">
        <f t="shared" si="4"/>
        <v>-2912.2299999999959</v>
      </c>
      <c r="E124" s="6">
        <f t="shared" si="5"/>
        <v>-2.8626379464789888E-2</v>
      </c>
    </row>
    <row r="125" spans="1:5" x14ac:dyDescent="0.25">
      <c r="A125" s="3" t="s">
        <v>130</v>
      </c>
      <c r="B125" s="5">
        <f>9002</f>
        <v>9002</v>
      </c>
      <c r="C125" s="5">
        <f>9543.18</f>
        <v>9543.18</v>
      </c>
      <c r="D125" s="5">
        <f t="shared" si="4"/>
        <v>-541.18000000000029</v>
      </c>
      <c r="E125" s="6">
        <f t="shared" si="5"/>
        <v>-5.6708560458882708E-2</v>
      </c>
    </row>
    <row r="126" spans="1:5" x14ac:dyDescent="0.25">
      <c r="A126" s="3" t="s">
        <v>131</v>
      </c>
      <c r="B126" s="5">
        <f>3179.1</f>
        <v>3179.1</v>
      </c>
      <c r="C126" s="5">
        <f>4688.68</f>
        <v>4688.68</v>
      </c>
      <c r="D126" s="5">
        <f t="shared" si="4"/>
        <v>-1509.5800000000004</v>
      </c>
      <c r="E126" s="6">
        <f t="shared" si="5"/>
        <v>-0.32196268459353172</v>
      </c>
    </row>
    <row r="127" spans="1:5" x14ac:dyDescent="0.25">
      <c r="A127" s="3" t="s">
        <v>132</v>
      </c>
      <c r="B127" s="5">
        <f>37580.76</f>
        <v>37580.76</v>
      </c>
      <c r="C127" s="5">
        <f>37339.8</f>
        <v>37339.800000000003</v>
      </c>
      <c r="D127" s="5">
        <f t="shared" si="4"/>
        <v>240.95999999999913</v>
      </c>
      <c r="E127" s="6">
        <f t="shared" si="5"/>
        <v>6.4531679334115105E-3</v>
      </c>
    </row>
    <row r="128" spans="1:5" x14ac:dyDescent="0.25">
      <c r="A128" s="3" t="s">
        <v>133</v>
      </c>
      <c r="B128" s="9">
        <f>((((B123)+(B124))+(B125))+(B126))+(B127)</f>
        <v>148582.02000000002</v>
      </c>
      <c r="C128" s="9">
        <f>((((C123)+(C124))+(C125))+(C126))+(C127)</f>
        <v>153304.04999999999</v>
      </c>
      <c r="D128" s="9">
        <f t="shared" si="4"/>
        <v>-4722.0299999999697</v>
      </c>
      <c r="E128" s="10">
        <f t="shared" si="5"/>
        <v>-3.080173028696874E-2</v>
      </c>
    </row>
    <row r="129" spans="1:5" x14ac:dyDescent="0.25">
      <c r="A129" s="3" t="s">
        <v>134</v>
      </c>
      <c r="B129" s="4"/>
      <c r="C129" s="4"/>
      <c r="D129" s="5">
        <f t="shared" si="4"/>
        <v>0</v>
      </c>
      <c r="E129" s="6" t="str">
        <f t="shared" si="5"/>
        <v/>
      </c>
    </row>
    <row r="130" spans="1:5" x14ac:dyDescent="0.25">
      <c r="A130" s="3" t="s">
        <v>135</v>
      </c>
      <c r="B130" s="5">
        <f>10000</f>
        <v>10000</v>
      </c>
      <c r="C130" s="5">
        <f>14000</f>
        <v>14000</v>
      </c>
      <c r="D130" s="5">
        <f t="shared" si="4"/>
        <v>-4000</v>
      </c>
      <c r="E130" s="6">
        <f t="shared" si="5"/>
        <v>-0.2857142857142857</v>
      </c>
    </row>
    <row r="131" spans="1:5" x14ac:dyDescent="0.25">
      <c r="A131" s="3" t="s">
        <v>137</v>
      </c>
      <c r="B131" s="9">
        <f>(B129)+(B130)</f>
        <v>10000</v>
      </c>
      <c r="C131" s="9">
        <f>(C129)+(C130)</f>
        <v>14000</v>
      </c>
      <c r="D131" s="9">
        <f t="shared" si="4"/>
        <v>-4000</v>
      </c>
      <c r="E131" s="10">
        <f t="shared" si="5"/>
        <v>-0.2857142857142857</v>
      </c>
    </row>
    <row r="132" spans="1:5" x14ac:dyDescent="0.25">
      <c r="A132" s="3" t="s">
        <v>138</v>
      </c>
      <c r="B132" s="4"/>
      <c r="C132" s="5">
        <f>12.59</f>
        <v>12.59</v>
      </c>
      <c r="D132" s="5">
        <f t="shared" si="4"/>
        <v>-12.59</v>
      </c>
      <c r="E132" s="6">
        <f t="shared" si="5"/>
        <v>-1</v>
      </c>
    </row>
    <row r="133" spans="1:5" x14ac:dyDescent="0.25">
      <c r="A133" s="3" t="s">
        <v>139</v>
      </c>
      <c r="B133" s="4"/>
      <c r="C133" s="4"/>
      <c r="D133" s="5">
        <f t="shared" si="4"/>
        <v>0</v>
      </c>
      <c r="E133" s="6" t="str">
        <f t="shared" si="5"/>
        <v/>
      </c>
    </row>
    <row r="134" spans="1:5" x14ac:dyDescent="0.25">
      <c r="A134" s="3" t="s">
        <v>140</v>
      </c>
      <c r="B134" s="4"/>
      <c r="C134" s="5">
        <f>39.5</f>
        <v>39.5</v>
      </c>
      <c r="D134" s="5">
        <f t="shared" si="4"/>
        <v>-39.5</v>
      </c>
      <c r="E134" s="6">
        <f t="shared" si="5"/>
        <v>-1</v>
      </c>
    </row>
    <row r="135" spans="1:5" x14ac:dyDescent="0.25">
      <c r="A135" s="3" t="s">
        <v>141</v>
      </c>
      <c r="B135" s="5">
        <f>858.48</f>
        <v>858.48</v>
      </c>
      <c r="C135" s="5">
        <f>897.98</f>
        <v>897.98</v>
      </c>
      <c r="D135" s="5">
        <f t="shared" si="4"/>
        <v>-39.5</v>
      </c>
      <c r="E135" s="6">
        <f t="shared" si="5"/>
        <v>-4.3987616650704914E-2</v>
      </c>
    </row>
    <row r="136" spans="1:5" x14ac:dyDescent="0.25">
      <c r="A136" s="3" t="s">
        <v>142</v>
      </c>
      <c r="B136" s="5">
        <f>1136.52</f>
        <v>1136.52</v>
      </c>
      <c r="C136" s="5">
        <f>1055.6</f>
        <v>1055.5999999999999</v>
      </c>
      <c r="D136" s="5">
        <f t="shared" si="4"/>
        <v>80.920000000000073</v>
      </c>
      <c r="E136" s="6">
        <f t="shared" si="5"/>
        <v>7.6657824933687072E-2</v>
      </c>
    </row>
    <row r="137" spans="1:5" x14ac:dyDescent="0.25">
      <c r="A137" s="3" t="s">
        <v>143</v>
      </c>
      <c r="B137" s="5">
        <f>0</f>
        <v>0</v>
      </c>
      <c r="C137" s="5">
        <f>3.51</f>
        <v>3.51</v>
      </c>
      <c r="D137" s="5">
        <f t="shared" si="4"/>
        <v>-3.51</v>
      </c>
      <c r="E137" s="6">
        <f t="shared" si="5"/>
        <v>-1</v>
      </c>
    </row>
    <row r="138" spans="1:5" x14ac:dyDescent="0.25">
      <c r="A138" s="3" t="s">
        <v>145</v>
      </c>
      <c r="B138" s="5">
        <f>397.8</f>
        <v>397.8</v>
      </c>
      <c r="C138" s="5">
        <f>292.47</f>
        <v>292.47000000000003</v>
      </c>
      <c r="D138" s="5">
        <f t="shared" si="4"/>
        <v>105.32999999999998</v>
      </c>
      <c r="E138" s="6">
        <f t="shared" si="5"/>
        <v>0.36013950148733193</v>
      </c>
    </row>
    <row r="139" spans="1:5" x14ac:dyDescent="0.25">
      <c r="A139" s="3" t="s">
        <v>146</v>
      </c>
      <c r="B139" s="9">
        <f>(((((B133)+(B134))+(B135))+(B136))+(B137))+(B138)</f>
        <v>2392.8000000000002</v>
      </c>
      <c r="C139" s="9">
        <f>(((((C133)+(C134))+(C135))+(C136))+(C137))+(C138)</f>
        <v>2289.06</v>
      </c>
      <c r="D139" s="9">
        <f t="shared" si="4"/>
        <v>103.74000000000024</v>
      </c>
      <c r="E139" s="10">
        <f t="shared" si="5"/>
        <v>4.5319912977379466E-2</v>
      </c>
    </row>
    <row r="140" spans="1:5" x14ac:dyDescent="0.25">
      <c r="A140" s="3" t="s">
        <v>147</v>
      </c>
      <c r="B140" s="5">
        <f>445.32</f>
        <v>445.32</v>
      </c>
      <c r="C140" s="5">
        <f>301.01</f>
        <v>301.01</v>
      </c>
      <c r="D140" s="5">
        <f t="shared" si="4"/>
        <v>144.31</v>
      </c>
      <c r="E140" s="6">
        <f t="shared" si="5"/>
        <v>0.47941928839573439</v>
      </c>
    </row>
    <row r="141" spans="1:5" x14ac:dyDescent="0.25">
      <c r="A141" s="3" t="s">
        <v>148</v>
      </c>
      <c r="B141" s="5">
        <f>5489.28</f>
        <v>5489.28</v>
      </c>
      <c r="C141" s="5">
        <f>4453.79</f>
        <v>4453.79</v>
      </c>
      <c r="D141" s="5">
        <f t="shared" si="4"/>
        <v>1035.4899999999998</v>
      </c>
      <c r="E141" s="6">
        <f t="shared" si="5"/>
        <v>0.2324963682616378</v>
      </c>
    </row>
    <row r="142" spans="1:5" x14ac:dyDescent="0.25">
      <c r="A142" s="3" t="s">
        <v>149</v>
      </c>
      <c r="B142" s="5">
        <f>2446.91</f>
        <v>2446.91</v>
      </c>
      <c r="C142" s="5">
        <f>2522.4</f>
        <v>2522.4</v>
      </c>
      <c r="D142" s="5">
        <f t="shared" si="4"/>
        <v>-75.490000000000236</v>
      </c>
      <c r="E142" s="6">
        <f t="shared" si="5"/>
        <v>-2.9927846495401297E-2</v>
      </c>
    </row>
    <row r="143" spans="1:5" x14ac:dyDescent="0.25">
      <c r="A143" s="3" t="s">
        <v>150</v>
      </c>
      <c r="B143" s="4"/>
      <c r="C143" s="4"/>
      <c r="D143" s="5">
        <f t="shared" si="4"/>
        <v>0</v>
      </c>
      <c r="E143" s="6" t="str">
        <f t="shared" si="5"/>
        <v/>
      </c>
    </row>
    <row r="144" spans="1:5" x14ac:dyDescent="0.25">
      <c r="A144" s="3" t="s">
        <v>151</v>
      </c>
      <c r="B144" s="5">
        <f>10</f>
        <v>10</v>
      </c>
      <c r="C144" s="5">
        <f>10</f>
        <v>10</v>
      </c>
      <c r="D144" s="5">
        <f t="shared" si="4"/>
        <v>0</v>
      </c>
      <c r="E144" s="6">
        <f t="shared" si="5"/>
        <v>0</v>
      </c>
    </row>
    <row r="145" spans="1:5" x14ac:dyDescent="0.25">
      <c r="A145" s="3" t="s">
        <v>152</v>
      </c>
      <c r="B145" s="5">
        <f>1200</f>
        <v>1200</v>
      </c>
      <c r="C145" s="5">
        <f>1200</f>
        <v>1200</v>
      </c>
      <c r="D145" s="5">
        <f t="shared" si="4"/>
        <v>0</v>
      </c>
      <c r="E145" s="6">
        <f t="shared" si="5"/>
        <v>0</v>
      </c>
    </row>
    <row r="146" spans="1:5" x14ac:dyDescent="0.25">
      <c r="A146" s="3" t="s">
        <v>153</v>
      </c>
      <c r="B146" s="9">
        <f>((B143)+(B144))+(B145)</f>
        <v>1210</v>
      </c>
      <c r="C146" s="9">
        <f>((C143)+(C144))+(C145)</f>
        <v>1210</v>
      </c>
      <c r="D146" s="9">
        <f t="shared" si="4"/>
        <v>0</v>
      </c>
      <c r="E146" s="10">
        <f t="shared" si="5"/>
        <v>0</v>
      </c>
    </row>
    <row r="147" spans="1:5" x14ac:dyDescent="0.25">
      <c r="A147" s="3" t="s">
        <v>154</v>
      </c>
      <c r="B147" s="5">
        <f>1021.13</f>
        <v>1021.13</v>
      </c>
      <c r="C147" s="5">
        <f>1268.58</f>
        <v>1268.58</v>
      </c>
      <c r="D147" s="5">
        <f t="shared" si="4"/>
        <v>-247.44999999999993</v>
      </c>
      <c r="E147" s="6">
        <f t="shared" si="5"/>
        <v>-0.19506061895978177</v>
      </c>
    </row>
    <row r="148" spans="1:5" x14ac:dyDescent="0.25">
      <c r="A148" s="3" t="s">
        <v>155</v>
      </c>
      <c r="B148" s="5">
        <f>25.87</f>
        <v>25.87</v>
      </c>
      <c r="C148" s="5">
        <f>22.78</f>
        <v>22.78</v>
      </c>
      <c r="D148" s="5">
        <f t="shared" si="4"/>
        <v>3.09</v>
      </c>
      <c r="E148" s="6">
        <f t="shared" si="5"/>
        <v>0.1356453028972783</v>
      </c>
    </row>
    <row r="149" spans="1:5" x14ac:dyDescent="0.25">
      <c r="A149" s="3" t="s">
        <v>156</v>
      </c>
      <c r="B149" s="5">
        <f>166.74</f>
        <v>166.74</v>
      </c>
      <c r="C149" s="5">
        <f>153.42</f>
        <v>153.41999999999999</v>
      </c>
      <c r="D149" s="5">
        <f t="shared" si="4"/>
        <v>13.320000000000022</v>
      </c>
      <c r="E149" s="6">
        <f t="shared" si="5"/>
        <v>8.6820492764959081E-2</v>
      </c>
    </row>
    <row r="150" spans="1:5" x14ac:dyDescent="0.25">
      <c r="A150" s="3" t="s">
        <v>157</v>
      </c>
      <c r="B150" s="9">
        <f>((B147)+(B148))+(B149)</f>
        <v>1213.74</v>
      </c>
      <c r="C150" s="9">
        <f>((C147)+(C148))+(C149)</f>
        <v>1444.78</v>
      </c>
      <c r="D150" s="9">
        <f t="shared" si="4"/>
        <v>-231.03999999999996</v>
      </c>
      <c r="E150" s="10">
        <f t="shared" si="5"/>
        <v>-0.15991362006672294</v>
      </c>
    </row>
    <row r="151" spans="1:5" x14ac:dyDescent="0.25">
      <c r="A151" s="3" t="s">
        <v>158</v>
      </c>
      <c r="B151" s="5">
        <f>118</f>
        <v>118</v>
      </c>
      <c r="C151" s="5">
        <f>33</f>
        <v>33</v>
      </c>
      <c r="D151" s="5">
        <f t="shared" si="4"/>
        <v>85</v>
      </c>
      <c r="E151" s="6">
        <f t="shared" si="5"/>
        <v>2.5757575757575757</v>
      </c>
    </row>
    <row r="152" spans="1:5" x14ac:dyDescent="0.25">
      <c r="A152" s="3" t="s">
        <v>159</v>
      </c>
      <c r="B152" s="5">
        <f>4996.66</f>
        <v>4996.66</v>
      </c>
      <c r="C152" s="4"/>
      <c r="D152" s="5">
        <f t="shared" si="4"/>
        <v>4996.66</v>
      </c>
      <c r="E152" s="6" t="str">
        <f t="shared" si="5"/>
        <v/>
      </c>
    </row>
    <row r="153" spans="1:5" x14ac:dyDescent="0.25">
      <c r="A153" s="3" t="s">
        <v>160</v>
      </c>
      <c r="B153" s="5">
        <f>35</f>
        <v>35</v>
      </c>
      <c r="C153" s="5">
        <f>10</f>
        <v>10</v>
      </c>
      <c r="D153" s="5">
        <f t="shared" si="4"/>
        <v>25</v>
      </c>
      <c r="E153" s="6">
        <f t="shared" si="5"/>
        <v>2.5</v>
      </c>
    </row>
    <row r="154" spans="1:5" x14ac:dyDescent="0.25">
      <c r="A154" s="3" t="s">
        <v>161</v>
      </c>
      <c r="B154" s="4"/>
      <c r="C154" s="4"/>
      <c r="D154" s="5">
        <f t="shared" si="4"/>
        <v>0</v>
      </c>
      <c r="E154" s="6" t="str">
        <f t="shared" si="5"/>
        <v/>
      </c>
    </row>
    <row r="155" spans="1:5" x14ac:dyDescent="0.25">
      <c r="A155" s="3" t="s">
        <v>162</v>
      </c>
      <c r="B155" s="5">
        <f>100</f>
        <v>100</v>
      </c>
      <c r="C155" s="4"/>
      <c r="D155" s="5">
        <f t="shared" si="4"/>
        <v>100</v>
      </c>
      <c r="E155" s="6" t="str">
        <f t="shared" si="5"/>
        <v/>
      </c>
    </row>
    <row r="156" spans="1:5" x14ac:dyDescent="0.25">
      <c r="A156" s="3" t="s">
        <v>163</v>
      </c>
      <c r="B156" s="9">
        <f>(B154)+(B155)</f>
        <v>100</v>
      </c>
      <c r="C156" s="9">
        <f>(C154)+(C155)</f>
        <v>0</v>
      </c>
      <c r="D156" s="9">
        <f t="shared" si="4"/>
        <v>100</v>
      </c>
      <c r="E156" s="10" t="str">
        <f t="shared" si="5"/>
        <v/>
      </c>
    </row>
    <row r="157" spans="1:5" x14ac:dyDescent="0.25">
      <c r="A157" s="3" t="s">
        <v>164</v>
      </c>
      <c r="B157" s="5">
        <f>367.25</f>
        <v>367.25</v>
      </c>
      <c r="C157" s="5">
        <f>526.63</f>
        <v>526.63</v>
      </c>
      <c r="D157" s="5">
        <f t="shared" ref="D157:D164" si="6">(B157)-(C157)</f>
        <v>-159.38</v>
      </c>
      <c r="E157" s="6">
        <f t="shared" ref="E157:E164" si="7">IF(ABS((C157))=0,"",((B157)-(C157))/(ABS((C157))))</f>
        <v>-0.30264132313009134</v>
      </c>
    </row>
    <row r="158" spans="1:5" x14ac:dyDescent="0.25">
      <c r="A158" s="3" t="s">
        <v>165</v>
      </c>
      <c r="B158" s="5">
        <f>101.25</f>
        <v>101.25</v>
      </c>
      <c r="C158" s="4"/>
      <c r="D158" s="5">
        <f t="shared" si="6"/>
        <v>101.25</v>
      </c>
      <c r="E158" s="6" t="str">
        <f t="shared" si="7"/>
        <v/>
      </c>
    </row>
    <row r="159" spans="1:5" x14ac:dyDescent="0.25">
      <c r="A159" s="3" t="s">
        <v>166</v>
      </c>
      <c r="B159" s="4"/>
      <c r="C159" s="4"/>
      <c r="D159" s="5">
        <f t="shared" si="6"/>
        <v>0</v>
      </c>
      <c r="E159" s="6" t="str">
        <f t="shared" si="7"/>
        <v/>
      </c>
    </row>
    <row r="160" spans="1:5" x14ac:dyDescent="0.25">
      <c r="A160" s="3" t="s">
        <v>167</v>
      </c>
      <c r="B160" s="4"/>
      <c r="C160" s="5">
        <f>563.72</f>
        <v>563.72</v>
      </c>
      <c r="D160" s="5">
        <f t="shared" si="6"/>
        <v>-563.72</v>
      </c>
      <c r="E160" s="6">
        <f t="shared" si="7"/>
        <v>-1</v>
      </c>
    </row>
    <row r="161" spans="1:5" x14ac:dyDescent="0.25">
      <c r="A161" s="3" t="s">
        <v>168</v>
      </c>
      <c r="B161" s="5">
        <f>1994.74</f>
        <v>1994.74</v>
      </c>
      <c r="C161" s="5">
        <f>4213.18</f>
        <v>4213.18</v>
      </c>
      <c r="D161" s="5">
        <f t="shared" si="6"/>
        <v>-2218.4400000000005</v>
      </c>
      <c r="E161" s="6">
        <f t="shared" si="7"/>
        <v>-0.52654764334778015</v>
      </c>
    </row>
    <row r="162" spans="1:5" x14ac:dyDescent="0.25">
      <c r="A162" s="3" t="s">
        <v>169</v>
      </c>
      <c r="B162" s="9">
        <f>((B159)+(B160))+(B161)</f>
        <v>1994.74</v>
      </c>
      <c r="C162" s="9">
        <f>((C159)+(C160))+(C161)</f>
        <v>4776.9000000000005</v>
      </c>
      <c r="D162" s="9">
        <f t="shared" si="6"/>
        <v>-2782.1600000000008</v>
      </c>
      <c r="E162" s="10">
        <f t="shared" si="7"/>
        <v>-0.58241956080303137</v>
      </c>
    </row>
    <row r="163" spans="1:5" x14ac:dyDescent="0.25">
      <c r="A163" s="3" t="s">
        <v>170</v>
      </c>
      <c r="B163" s="9">
        <f>(((((((((((((((((((((((((((B95)+(B96))+(B97))+(B98))+(B99))+(B103))+(B106))+(B111))+(B116))+(B117))+(B121))+(B122))+(B128))+(B131))+(B132))+(B139))+(B140))+(B141))+(B142))+(B146))+(B150))+(B151))+(B152))+(B153))+(B156))+(B157))+(B158))+(B162)</f>
        <v>253750.11000000002</v>
      </c>
      <c r="C163" s="9">
        <f>(((((((((((((((((((((((((((C95)+(C96))+(C97))+(C98))+(C99))+(C103))+(C106))+(C111))+(C116))+(C117))+(C121))+(C122))+(C128))+(C131))+(C132))+(C139))+(C140))+(C141))+(C142))+(C146))+(C150))+(C151))+(C152))+(C153))+(C156))+(C157))+(C158))+(C162)</f>
        <v>264921.77</v>
      </c>
      <c r="D163" s="9">
        <f t="shared" si="6"/>
        <v>-11171.660000000003</v>
      </c>
      <c r="E163" s="10">
        <f t="shared" si="7"/>
        <v>-4.2169656347985307E-2</v>
      </c>
    </row>
    <row r="164" spans="1:5" x14ac:dyDescent="0.25">
      <c r="A164" s="3" t="s">
        <v>171</v>
      </c>
      <c r="B164" s="9">
        <f>(B91)-(B163)</f>
        <v>35796.510000000038</v>
      </c>
      <c r="C164" s="9">
        <f>(C91)-(C163)</f>
        <v>28485.299999999988</v>
      </c>
      <c r="D164" s="9">
        <f t="shared" si="6"/>
        <v>7311.2100000000501</v>
      </c>
      <c r="E164" s="10">
        <f t="shared" si="7"/>
        <v>0.25666606986761781</v>
      </c>
    </row>
    <row r="165" spans="1:5" x14ac:dyDescent="0.25">
      <c r="A165" s="3" t="s">
        <v>189</v>
      </c>
      <c r="B165" s="4"/>
      <c r="C165" s="4"/>
      <c r="D165" s="4"/>
      <c r="E165" s="4"/>
    </row>
    <row r="166" spans="1:5" x14ac:dyDescent="0.25">
      <c r="A166" s="3" t="s">
        <v>190</v>
      </c>
      <c r="B166" s="4"/>
      <c r="C166" s="5">
        <f>0</f>
        <v>0</v>
      </c>
      <c r="D166" s="5">
        <f>(B166)-(C166)</f>
        <v>0</v>
      </c>
      <c r="E166" s="6" t="str">
        <f>IF(ABS((C166))=0,"",((B166)-(C166))/(ABS((C166))))</f>
        <v/>
      </c>
    </row>
    <row r="167" spans="1:5" x14ac:dyDescent="0.25">
      <c r="A167" s="3" t="s">
        <v>191</v>
      </c>
      <c r="B167" s="9">
        <f>B166</f>
        <v>0</v>
      </c>
      <c r="C167" s="9">
        <f>C166</f>
        <v>0</v>
      </c>
      <c r="D167" s="9">
        <f>(B167)-(C167)</f>
        <v>0</v>
      </c>
      <c r="E167" s="10" t="str">
        <f>IF(ABS((C167))=0,"",((B167)-(C167))/(ABS((C167))))</f>
        <v/>
      </c>
    </row>
    <row r="168" spans="1:5" x14ac:dyDescent="0.25">
      <c r="A168" s="3" t="s">
        <v>192</v>
      </c>
      <c r="B168" s="9">
        <f>(0)-(B167)</f>
        <v>0</v>
      </c>
      <c r="C168" s="9">
        <f>(0)-(C167)</f>
        <v>0</v>
      </c>
      <c r="D168" s="9">
        <f>(B168)-(C168)</f>
        <v>0</v>
      </c>
      <c r="E168" s="10" t="str">
        <f>IF(ABS((C168))=0,"",((B168)-(C168))/(ABS((C168))))</f>
        <v/>
      </c>
    </row>
    <row r="169" spans="1:5" x14ac:dyDescent="0.25">
      <c r="A169" s="3" t="s">
        <v>172</v>
      </c>
      <c r="B169" s="9">
        <f>(B164)+(B168)</f>
        <v>35796.510000000038</v>
      </c>
      <c r="C169" s="9">
        <f>(C164)+(C168)</f>
        <v>28485.299999999988</v>
      </c>
      <c r="D169" s="9">
        <f>(B169)-(C169)</f>
        <v>7311.2100000000501</v>
      </c>
      <c r="E169" s="10">
        <f>IF(ABS((C169))=0,"",((B169)-(C169))/(ABS((C169))))</f>
        <v>0.25666606986761781</v>
      </c>
    </row>
    <row r="170" spans="1:5" x14ac:dyDescent="0.25">
      <c r="A170" s="3"/>
      <c r="B170" s="4"/>
      <c r="C170" s="4"/>
      <c r="D170" s="4"/>
      <c r="E170" s="4"/>
    </row>
    <row r="173" spans="1:5" x14ac:dyDescent="0.25">
      <c r="A173" s="13" t="s">
        <v>193</v>
      </c>
      <c r="B173" s="14"/>
      <c r="C173" s="14"/>
      <c r="D173" s="14"/>
      <c r="E173" s="14"/>
    </row>
  </sheetData>
  <mergeCells count="5">
    <mergeCell ref="A1:E1"/>
    <mergeCell ref="A2:E2"/>
    <mergeCell ref="A3:E3"/>
    <mergeCell ref="B5:E5"/>
    <mergeCell ref="A173:E17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3C1D4-787C-4A78-AD53-D8BE1413B0E4}">
  <sheetPr>
    <tabColor rgb="FFFF0000"/>
  </sheetPr>
  <dimension ref="A1:K59"/>
  <sheetViews>
    <sheetView topLeftCell="A18" workbookViewId="0">
      <selection activeCell="I36" sqref="I36"/>
    </sheetView>
  </sheetViews>
  <sheetFormatPr defaultRowHeight="15" x14ac:dyDescent="0.25"/>
  <cols>
    <col min="1" max="1" width="30.140625" customWidth="1"/>
    <col min="2" max="5" width="18" customWidth="1"/>
    <col min="9" max="9" width="19.42578125" bestFit="1" customWidth="1"/>
    <col min="10" max="11" width="11.5703125" bestFit="1" customWidth="1"/>
  </cols>
  <sheetData>
    <row r="1" spans="1:11" ht="18" x14ac:dyDescent="0.25">
      <c r="A1" s="15" t="s">
        <v>174</v>
      </c>
      <c r="B1" s="14"/>
      <c r="C1" s="14"/>
      <c r="D1" s="14"/>
      <c r="E1" s="14"/>
    </row>
    <row r="2" spans="1:11" ht="18" x14ac:dyDescent="0.25">
      <c r="A2" s="15" t="s">
        <v>178</v>
      </c>
      <c r="B2" s="14"/>
      <c r="C2" s="14"/>
      <c r="D2" s="14"/>
      <c r="E2" s="14"/>
    </row>
    <row r="3" spans="1:11" x14ac:dyDescent="0.25">
      <c r="A3" s="16" t="s">
        <v>179</v>
      </c>
      <c r="B3" s="14"/>
      <c r="C3" s="14"/>
      <c r="D3" s="14"/>
      <c r="E3" s="14"/>
    </row>
    <row r="5" spans="1:11" x14ac:dyDescent="0.25">
      <c r="A5" s="1"/>
      <c r="B5" s="11" t="s">
        <v>0</v>
      </c>
      <c r="C5" s="12"/>
      <c r="D5" s="12"/>
      <c r="E5" s="12"/>
    </row>
    <row r="6" spans="1:11" x14ac:dyDescent="0.25">
      <c r="A6" s="1"/>
      <c r="B6" s="2" t="s">
        <v>180</v>
      </c>
      <c r="C6" s="2" t="s">
        <v>181</v>
      </c>
      <c r="D6" s="2" t="s">
        <v>182</v>
      </c>
      <c r="E6" s="2" t="s">
        <v>183</v>
      </c>
    </row>
    <row r="7" spans="1:11" x14ac:dyDescent="0.25">
      <c r="A7" s="3" t="s">
        <v>5</v>
      </c>
      <c r="B7" s="4"/>
      <c r="C7" s="4"/>
      <c r="D7" s="4"/>
      <c r="E7" s="4"/>
    </row>
    <row r="8" spans="1:11" x14ac:dyDescent="0.25">
      <c r="A8" s="3" t="s">
        <v>6</v>
      </c>
      <c r="B8" s="5">
        <f>275741.25</f>
        <v>275741.25</v>
      </c>
      <c r="C8" s="5">
        <f>277400</f>
        <v>277400</v>
      </c>
      <c r="D8" s="5">
        <f t="shared" ref="D8:D14" si="0">(B8)-(C8)</f>
        <v>-1658.75</v>
      </c>
      <c r="E8" s="6">
        <f t="shared" ref="E8:E14" si="1">IF(ABS((C8))=0,"",((B8)-(C8))/(ABS((C8))))</f>
        <v>-5.9796322999279023E-3</v>
      </c>
    </row>
    <row r="9" spans="1:11" x14ac:dyDescent="0.25">
      <c r="A9" s="3" t="s">
        <v>11</v>
      </c>
      <c r="B9" s="5">
        <f>10343.45</f>
        <v>10343.450000000001</v>
      </c>
      <c r="C9" s="5">
        <f>12590.11</f>
        <v>12590.11</v>
      </c>
      <c r="D9" s="5">
        <f t="shared" si="0"/>
        <v>-2246.66</v>
      </c>
      <c r="E9" s="6">
        <f t="shared" si="1"/>
        <v>-0.17844641548008713</v>
      </c>
      <c r="J9">
        <v>2023</v>
      </c>
      <c r="K9">
        <v>2022</v>
      </c>
    </row>
    <row r="10" spans="1:11" x14ac:dyDescent="0.25">
      <c r="A10" s="3" t="s">
        <v>184</v>
      </c>
      <c r="B10" s="4"/>
      <c r="C10" s="5">
        <f>0</f>
        <v>0</v>
      </c>
      <c r="D10" s="5">
        <f t="shared" si="0"/>
        <v>0</v>
      </c>
      <c r="E10" s="6" t="str">
        <f t="shared" si="1"/>
        <v/>
      </c>
      <c r="I10" t="s">
        <v>369</v>
      </c>
      <c r="J10" s="21">
        <f>B9</f>
        <v>10343.450000000001</v>
      </c>
      <c r="K10" s="21">
        <f>C9</f>
        <v>12590.11</v>
      </c>
    </row>
    <row r="11" spans="1:11" x14ac:dyDescent="0.25">
      <c r="A11" s="3" t="s">
        <v>25</v>
      </c>
      <c r="B11" s="5">
        <f>709.06</f>
        <v>709.06</v>
      </c>
      <c r="C11" s="5">
        <f>1787.86</f>
        <v>1787.86</v>
      </c>
      <c r="D11" s="5">
        <f t="shared" si="0"/>
        <v>-1078.8</v>
      </c>
      <c r="E11" s="6">
        <f t="shared" si="1"/>
        <v>-0.60340295101406149</v>
      </c>
      <c r="I11" t="s">
        <v>368</v>
      </c>
      <c r="J11" s="21">
        <f>B12</f>
        <v>5278.45</v>
      </c>
      <c r="K11" s="21">
        <f>C12</f>
        <v>6382.28</v>
      </c>
    </row>
    <row r="12" spans="1:11" x14ac:dyDescent="0.25">
      <c r="A12" s="3" t="s">
        <v>26</v>
      </c>
      <c r="B12" s="5">
        <f>5278.45</f>
        <v>5278.45</v>
      </c>
      <c r="C12" s="5">
        <f>6382.28</f>
        <v>6382.28</v>
      </c>
      <c r="D12" s="5">
        <f t="shared" si="0"/>
        <v>-1103.83</v>
      </c>
      <c r="E12" s="6">
        <f t="shared" si="1"/>
        <v>-0.17295229917835006</v>
      </c>
      <c r="I12" t="s">
        <v>362</v>
      </c>
      <c r="J12" s="21">
        <f>B8</f>
        <v>275741.25</v>
      </c>
      <c r="K12" s="21">
        <f>C8</f>
        <v>277400</v>
      </c>
    </row>
    <row r="13" spans="1:11" x14ac:dyDescent="0.25">
      <c r="A13" s="3" t="s">
        <v>88</v>
      </c>
      <c r="B13" s="5">
        <f>184.51</f>
        <v>184.51</v>
      </c>
      <c r="C13" s="5">
        <f>278.45</f>
        <v>278.45</v>
      </c>
      <c r="D13" s="5">
        <f t="shared" si="0"/>
        <v>-93.94</v>
      </c>
      <c r="E13" s="6">
        <f t="shared" si="1"/>
        <v>-0.33736757047943977</v>
      </c>
    </row>
    <row r="14" spans="1:11" x14ac:dyDescent="0.25">
      <c r="A14" s="3" t="s">
        <v>89</v>
      </c>
      <c r="B14" s="9">
        <f>(((((B8)+(B9))+(B10))+(B11))+(B12))+(B13)</f>
        <v>292256.72000000003</v>
      </c>
      <c r="C14" s="9">
        <f>(((((C8)+(C9))+(C10))+(C11))+(C12))+(C13)</f>
        <v>298438.7</v>
      </c>
      <c r="D14" s="9">
        <f t="shared" si="0"/>
        <v>-6181.9799999999814</v>
      </c>
      <c r="E14" s="10">
        <f t="shared" si="1"/>
        <v>-2.071440466668693E-2</v>
      </c>
    </row>
    <row r="15" spans="1:11" x14ac:dyDescent="0.25">
      <c r="A15" s="3" t="s">
        <v>90</v>
      </c>
      <c r="B15" s="4"/>
      <c r="C15" s="4"/>
      <c r="D15" s="4"/>
      <c r="E15" s="4"/>
    </row>
    <row r="16" spans="1:11" x14ac:dyDescent="0.25">
      <c r="A16" s="3" t="s">
        <v>91</v>
      </c>
      <c r="B16" s="5">
        <f>2504.92</f>
        <v>2504.92</v>
      </c>
      <c r="C16" s="5">
        <f>4790.92</f>
        <v>4790.92</v>
      </c>
      <c r="D16" s="5">
        <f>(B16)-(C16)</f>
        <v>-2286</v>
      </c>
      <c r="E16" s="6">
        <f>IF(ABS((C16))=0,"",((B16)-(C16))/(ABS((C16))))</f>
        <v>-0.47715261369423828</v>
      </c>
    </row>
    <row r="17" spans="1:5" x14ac:dyDescent="0.25">
      <c r="A17" s="3" t="s">
        <v>92</v>
      </c>
      <c r="B17" s="5">
        <f>205.18</f>
        <v>205.18</v>
      </c>
      <c r="C17" s="5">
        <f>240.71</f>
        <v>240.71</v>
      </c>
      <c r="D17" s="5">
        <f>(B17)-(C17)</f>
        <v>-35.53</v>
      </c>
      <c r="E17" s="6">
        <f>IF(ABS((C17))=0,"",((B17)-(C17))/(ABS((C17))))</f>
        <v>-0.14760500186946948</v>
      </c>
    </row>
    <row r="18" spans="1:5" x14ac:dyDescent="0.25">
      <c r="A18" s="3" t="s">
        <v>93</v>
      </c>
      <c r="B18" s="9">
        <f>(B16)+(B17)</f>
        <v>2710.1</v>
      </c>
      <c r="C18" s="9">
        <f>(C16)+(C17)</f>
        <v>5031.63</v>
      </c>
      <c r="D18" s="9">
        <f>(B18)-(C18)</f>
        <v>-2321.5300000000002</v>
      </c>
      <c r="E18" s="10">
        <f>IF(ABS((C18))=0,"",((B18)-(C18))/(ABS((C18))))</f>
        <v>-0.46138726416688036</v>
      </c>
    </row>
    <row r="19" spans="1:5" x14ac:dyDescent="0.25">
      <c r="A19" s="3" t="s">
        <v>94</v>
      </c>
      <c r="B19" s="9">
        <f>(B14)-(B18)</f>
        <v>289546.62000000005</v>
      </c>
      <c r="C19" s="9">
        <f>(C14)-(C18)</f>
        <v>293407.07</v>
      </c>
      <c r="D19" s="9">
        <f>(B19)-(C19)</f>
        <v>-3860.4499999999534</v>
      </c>
      <c r="E19" s="10">
        <f>IF(ABS((C19))=0,"",((B19)-(C19))/(ABS((C19))))</f>
        <v>-1.3157317579293346E-2</v>
      </c>
    </row>
    <row r="20" spans="1:5" x14ac:dyDescent="0.25">
      <c r="A20" s="3" t="s">
        <v>95</v>
      </c>
      <c r="B20" s="4"/>
      <c r="C20" s="4"/>
      <c r="D20" s="4"/>
      <c r="E20" s="4"/>
    </row>
    <row r="21" spans="1:5" x14ac:dyDescent="0.25">
      <c r="A21" s="3" t="s">
        <v>96</v>
      </c>
      <c r="B21" s="5">
        <f>32572</f>
        <v>32572</v>
      </c>
      <c r="C21" s="5">
        <f>26378</f>
        <v>26378</v>
      </c>
      <c r="D21" s="5">
        <f t="shared" ref="D21:D50" si="2">(B21)-(C21)</f>
        <v>6194</v>
      </c>
      <c r="E21" s="6">
        <f t="shared" ref="E21:E50" si="3">IF(ABS((C21))=0,"",((B21)-(C21))/(ABS((C21))))</f>
        <v>0.2348168928652665</v>
      </c>
    </row>
    <row r="22" spans="1:5" x14ac:dyDescent="0.25">
      <c r="A22" s="3" t="s">
        <v>99</v>
      </c>
      <c r="B22" s="5">
        <f>250</f>
        <v>250</v>
      </c>
      <c r="C22" s="5">
        <f>528.95</f>
        <v>528.95000000000005</v>
      </c>
      <c r="D22" s="5">
        <f t="shared" si="2"/>
        <v>-278.95000000000005</v>
      </c>
      <c r="E22" s="6">
        <f t="shared" si="3"/>
        <v>-0.52736553549484833</v>
      </c>
    </row>
    <row r="23" spans="1:5" x14ac:dyDescent="0.25">
      <c r="A23" s="3" t="s">
        <v>100</v>
      </c>
      <c r="B23" s="5">
        <f>551.69</f>
        <v>551.69000000000005</v>
      </c>
      <c r="C23" s="5">
        <f>680.16</f>
        <v>680.16</v>
      </c>
      <c r="D23" s="5">
        <f t="shared" si="2"/>
        <v>-128.46999999999991</v>
      </c>
      <c r="E23" s="6">
        <f t="shared" si="3"/>
        <v>-0.18888202775817442</v>
      </c>
    </row>
    <row r="24" spans="1:5" x14ac:dyDescent="0.25">
      <c r="A24" s="3" t="s">
        <v>101</v>
      </c>
      <c r="B24" s="22">
        <f>4265.32</f>
        <v>4265.32</v>
      </c>
      <c r="C24" s="5">
        <f>6916.67</f>
        <v>6916.67</v>
      </c>
      <c r="D24" s="5">
        <f t="shared" si="2"/>
        <v>-2651.3500000000004</v>
      </c>
      <c r="E24" s="6">
        <f t="shared" si="3"/>
        <v>-0.38332752610721638</v>
      </c>
    </row>
    <row r="25" spans="1:5" x14ac:dyDescent="0.25">
      <c r="A25" s="3" t="s">
        <v>102</v>
      </c>
      <c r="B25" s="5">
        <f>45.77</f>
        <v>45.77</v>
      </c>
      <c r="C25" s="5">
        <f>437.2</f>
        <v>437.2</v>
      </c>
      <c r="D25" s="5">
        <f t="shared" si="2"/>
        <v>-391.43</v>
      </c>
      <c r="E25" s="6">
        <f t="shared" si="3"/>
        <v>-0.89531107044830749</v>
      </c>
    </row>
    <row r="26" spans="1:5" x14ac:dyDescent="0.25">
      <c r="A26" s="3" t="s">
        <v>103</v>
      </c>
      <c r="B26" s="4"/>
      <c r="C26" s="5">
        <f>1778.95</f>
        <v>1778.95</v>
      </c>
      <c r="D26" s="5">
        <f t="shared" si="2"/>
        <v>-1778.95</v>
      </c>
      <c r="E26" s="6">
        <f t="shared" si="3"/>
        <v>-1</v>
      </c>
    </row>
    <row r="27" spans="1:5" x14ac:dyDescent="0.25">
      <c r="A27" s="3" t="s">
        <v>107</v>
      </c>
      <c r="B27" s="5">
        <f>3803.01</f>
        <v>3803.01</v>
      </c>
      <c r="C27" s="5">
        <f>4623</f>
        <v>4623</v>
      </c>
      <c r="D27" s="5">
        <f t="shared" si="2"/>
        <v>-819.98999999999978</v>
      </c>
      <c r="E27" s="6">
        <f t="shared" si="3"/>
        <v>-0.17737183646982474</v>
      </c>
    </row>
    <row r="28" spans="1:5" x14ac:dyDescent="0.25">
      <c r="A28" s="3" t="s">
        <v>110</v>
      </c>
      <c r="B28" s="22">
        <f>24712.97</f>
        <v>24712.97</v>
      </c>
      <c r="C28" s="5">
        <f>31774.14</f>
        <v>31774.14</v>
      </c>
      <c r="D28" s="5">
        <f t="shared" si="2"/>
        <v>-7061.1699999999983</v>
      </c>
      <c r="E28" s="6">
        <f t="shared" si="3"/>
        <v>-0.22223009025578658</v>
      </c>
    </row>
    <row r="29" spans="1:5" x14ac:dyDescent="0.25">
      <c r="A29" s="3" t="s">
        <v>115</v>
      </c>
      <c r="B29" s="5">
        <f>3807.45</f>
        <v>3807.45</v>
      </c>
      <c r="C29" s="5">
        <f>3222.6</f>
        <v>3222.6</v>
      </c>
      <c r="D29" s="5">
        <f t="shared" si="2"/>
        <v>584.84999999999991</v>
      </c>
      <c r="E29" s="6">
        <f t="shared" si="3"/>
        <v>0.18148389499162165</v>
      </c>
    </row>
    <row r="30" spans="1:5" x14ac:dyDescent="0.25">
      <c r="A30" s="3" t="s">
        <v>120</v>
      </c>
      <c r="B30" s="5">
        <f>1712.85</f>
        <v>1712.85</v>
      </c>
      <c r="C30" s="5">
        <f>2191.27</f>
        <v>2191.27</v>
      </c>
      <c r="D30" s="5">
        <f t="shared" si="2"/>
        <v>-478.42000000000007</v>
      </c>
      <c r="E30" s="6">
        <f t="shared" si="3"/>
        <v>-0.21833000953784795</v>
      </c>
    </row>
    <row r="31" spans="1:5" x14ac:dyDescent="0.25">
      <c r="A31" s="3" t="s">
        <v>121</v>
      </c>
      <c r="B31" s="5">
        <f>1687.02</f>
        <v>1687.02</v>
      </c>
      <c r="C31" s="5">
        <f>1049.52</f>
        <v>1049.52</v>
      </c>
      <c r="D31" s="5">
        <f t="shared" si="2"/>
        <v>637.5</v>
      </c>
      <c r="E31" s="6">
        <f t="shared" si="3"/>
        <v>0.60742053510176086</v>
      </c>
    </row>
    <row r="32" spans="1:5" x14ac:dyDescent="0.25">
      <c r="A32" s="3" t="s">
        <v>125</v>
      </c>
      <c r="B32" s="5">
        <f>849.06</f>
        <v>849.06</v>
      </c>
      <c r="C32" s="5">
        <f>457.1</f>
        <v>457.1</v>
      </c>
      <c r="D32" s="5">
        <f t="shared" si="2"/>
        <v>391.95999999999992</v>
      </c>
      <c r="E32" s="6">
        <f t="shared" si="3"/>
        <v>0.85749288995843342</v>
      </c>
    </row>
    <row r="33" spans="1:11" x14ac:dyDescent="0.25">
      <c r="A33" s="3" t="s">
        <v>127</v>
      </c>
      <c r="B33" s="22">
        <f>148582.02</f>
        <v>148582.01999999999</v>
      </c>
      <c r="C33" s="5">
        <f>153304.05</f>
        <v>153304.04999999999</v>
      </c>
      <c r="D33" s="5">
        <f t="shared" si="2"/>
        <v>-4722.0299999999988</v>
      </c>
      <c r="E33" s="6">
        <f t="shared" si="3"/>
        <v>-3.0801730286968931E-2</v>
      </c>
      <c r="J33">
        <v>2023</v>
      </c>
      <c r="K33">
        <v>2022</v>
      </c>
    </row>
    <row r="34" spans="1:11" x14ac:dyDescent="0.25">
      <c r="A34" s="3" t="s">
        <v>134</v>
      </c>
      <c r="B34" s="5">
        <f>10000</f>
        <v>10000</v>
      </c>
      <c r="C34" s="5">
        <f>14000</f>
        <v>14000</v>
      </c>
      <c r="D34" s="5">
        <f t="shared" si="2"/>
        <v>-4000</v>
      </c>
      <c r="E34" s="6">
        <f t="shared" si="3"/>
        <v>-0.2857142857142857</v>
      </c>
      <c r="I34" t="s">
        <v>371</v>
      </c>
      <c r="J34" s="21">
        <f>B24</f>
        <v>4265.32</v>
      </c>
      <c r="K34" s="21">
        <f>C24</f>
        <v>6916.67</v>
      </c>
    </row>
    <row r="35" spans="1:11" x14ac:dyDescent="0.25">
      <c r="A35" s="3" t="s">
        <v>138</v>
      </c>
      <c r="B35" s="4"/>
      <c r="C35" s="5">
        <f>12.59</f>
        <v>12.59</v>
      </c>
      <c r="D35" s="5">
        <f t="shared" si="2"/>
        <v>-12.59</v>
      </c>
      <c r="E35" s="6">
        <f t="shared" si="3"/>
        <v>-1</v>
      </c>
      <c r="I35" t="s">
        <v>367</v>
      </c>
      <c r="J35" s="21">
        <f>B28</f>
        <v>24712.97</v>
      </c>
      <c r="K35" s="21">
        <f>C28</f>
        <v>31774.14</v>
      </c>
    </row>
    <row r="36" spans="1:11" x14ac:dyDescent="0.25">
      <c r="A36" s="3" t="s">
        <v>139</v>
      </c>
      <c r="B36" s="5">
        <f>2392.8</f>
        <v>2392.8000000000002</v>
      </c>
      <c r="C36" s="5">
        <f>2289.06</f>
        <v>2289.06</v>
      </c>
      <c r="D36" s="5">
        <f t="shared" si="2"/>
        <v>103.74000000000024</v>
      </c>
      <c r="E36" s="6">
        <f t="shared" si="3"/>
        <v>4.5319912977379466E-2</v>
      </c>
      <c r="I36" t="s">
        <v>370</v>
      </c>
      <c r="J36" s="21">
        <f>B33</f>
        <v>148582.01999999999</v>
      </c>
      <c r="K36" s="21">
        <f>C33</f>
        <v>153304.04999999999</v>
      </c>
    </row>
    <row r="37" spans="1:11" x14ac:dyDescent="0.25">
      <c r="A37" s="3" t="s">
        <v>147</v>
      </c>
      <c r="B37" s="5">
        <f>445.32</f>
        <v>445.32</v>
      </c>
      <c r="C37" s="5">
        <f>301.01</f>
        <v>301.01</v>
      </c>
      <c r="D37" s="5">
        <f t="shared" si="2"/>
        <v>144.31</v>
      </c>
      <c r="E37" s="6">
        <f t="shared" si="3"/>
        <v>0.47941928839573439</v>
      </c>
      <c r="I37" t="s">
        <v>365</v>
      </c>
      <c r="J37" s="21">
        <f>B43</f>
        <v>4996.66</v>
      </c>
      <c r="K37" s="21">
        <f>C43</f>
        <v>0</v>
      </c>
    </row>
    <row r="38" spans="1:11" x14ac:dyDescent="0.25">
      <c r="A38" s="3" t="s">
        <v>148</v>
      </c>
      <c r="B38" s="5">
        <f>5489.28</f>
        <v>5489.28</v>
      </c>
      <c r="C38" s="5">
        <f>4453.79</f>
        <v>4453.79</v>
      </c>
      <c r="D38" s="5">
        <f t="shared" si="2"/>
        <v>1035.4899999999998</v>
      </c>
      <c r="E38" s="6">
        <f t="shared" si="3"/>
        <v>0.2324963682616378</v>
      </c>
      <c r="I38" t="s">
        <v>372</v>
      </c>
      <c r="J38" s="21">
        <f>B21</f>
        <v>32572</v>
      </c>
      <c r="K38" s="21">
        <f>C21</f>
        <v>26378</v>
      </c>
    </row>
    <row r="39" spans="1:11" x14ac:dyDescent="0.25">
      <c r="A39" s="3" t="s">
        <v>149</v>
      </c>
      <c r="B39" s="5">
        <f>2446.91</f>
        <v>2446.91</v>
      </c>
      <c r="C39" s="5">
        <f>2522.4</f>
        <v>2522.4</v>
      </c>
      <c r="D39" s="5">
        <f t="shared" si="2"/>
        <v>-75.490000000000236</v>
      </c>
      <c r="E39" s="6">
        <f t="shared" si="3"/>
        <v>-2.9927846495401297E-2</v>
      </c>
    </row>
    <row r="40" spans="1:11" x14ac:dyDescent="0.25">
      <c r="A40" s="3" t="s">
        <v>150</v>
      </c>
      <c r="B40" s="5">
        <f>1210</f>
        <v>1210</v>
      </c>
      <c r="C40" s="5">
        <f>1210</f>
        <v>1210</v>
      </c>
      <c r="D40" s="5">
        <f t="shared" si="2"/>
        <v>0</v>
      </c>
      <c r="E40" s="6">
        <f t="shared" si="3"/>
        <v>0</v>
      </c>
    </row>
    <row r="41" spans="1:11" x14ac:dyDescent="0.25">
      <c r="A41" s="3" t="s">
        <v>154</v>
      </c>
      <c r="B41" s="5">
        <f>1213.74</f>
        <v>1213.74</v>
      </c>
      <c r="C41" s="5">
        <f>1444.78</f>
        <v>1444.78</v>
      </c>
      <c r="D41" s="5">
        <f t="shared" si="2"/>
        <v>-231.03999999999996</v>
      </c>
      <c r="E41" s="6">
        <f t="shared" si="3"/>
        <v>-0.15991362006672294</v>
      </c>
    </row>
    <row r="42" spans="1:11" x14ac:dyDescent="0.25">
      <c r="A42" s="3" t="s">
        <v>158</v>
      </c>
      <c r="B42" s="5">
        <f>118</f>
        <v>118</v>
      </c>
      <c r="C42" s="5">
        <f>33</f>
        <v>33</v>
      </c>
      <c r="D42" s="5">
        <f t="shared" si="2"/>
        <v>85</v>
      </c>
      <c r="E42" s="6">
        <f t="shared" si="3"/>
        <v>2.5757575757575757</v>
      </c>
    </row>
    <row r="43" spans="1:11" x14ac:dyDescent="0.25">
      <c r="A43" s="3" t="s">
        <v>159</v>
      </c>
      <c r="B43" s="22">
        <f>4996.66</f>
        <v>4996.66</v>
      </c>
      <c r="C43" s="4"/>
      <c r="D43" s="5">
        <f t="shared" si="2"/>
        <v>4996.66</v>
      </c>
      <c r="E43" s="6" t="str">
        <f t="shared" si="3"/>
        <v/>
      </c>
    </row>
    <row r="44" spans="1:11" x14ac:dyDescent="0.25">
      <c r="A44" s="3" t="s">
        <v>160</v>
      </c>
      <c r="B44" s="5">
        <f>35</f>
        <v>35</v>
      </c>
      <c r="C44" s="5">
        <f>10</f>
        <v>10</v>
      </c>
      <c r="D44" s="5">
        <f t="shared" si="2"/>
        <v>25</v>
      </c>
      <c r="E44" s="6">
        <f t="shared" si="3"/>
        <v>2.5</v>
      </c>
    </row>
    <row r="45" spans="1:11" x14ac:dyDescent="0.25">
      <c r="A45" s="3" t="s">
        <v>161</v>
      </c>
      <c r="B45" s="5">
        <f>100</f>
        <v>100</v>
      </c>
      <c r="C45" s="4"/>
      <c r="D45" s="5">
        <f t="shared" si="2"/>
        <v>100</v>
      </c>
      <c r="E45" s="6" t="str">
        <f t="shared" si="3"/>
        <v/>
      </c>
    </row>
    <row r="46" spans="1:11" x14ac:dyDescent="0.25">
      <c r="A46" s="3" t="s">
        <v>164</v>
      </c>
      <c r="B46" s="5">
        <f>367.25</f>
        <v>367.25</v>
      </c>
      <c r="C46" s="5">
        <f>526.63</f>
        <v>526.63</v>
      </c>
      <c r="D46" s="5">
        <f t="shared" si="2"/>
        <v>-159.38</v>
      </c>
      <c r="E46" s="6">
        <f t="shared" si="3"/>
        <v>-0.30264132313009134</v>
      </c>
    </row>
    <row r="47" spans="1:11" x14ac:dyDescent="0.25">
      <c r="A47" s="3" t="s">
        <v>165</v>
      </c>
      <c r="B47" s="5">
        <f>101.25</f>
        <v>101.25</v>
      </c>
      <c r="C47" s="4"/>
      <c r="D47" s="5">
        <f t="shared" si="2"/>
        <v>101.25</v>
      </c>
      <c r="E47" s="6" t="str">
        <f t="shared" si="3"/>
        <v/>
      </c>
    </row>
    <row r="48" spans="1:11" x14ac:dyDescent="0.25">
      <c r="A48" s="3" t="s">
        <v>166</v>
      </c>
      <c r="B48" s="5">
        <f>1994.74</f>
        <v>1994.74</v>
      </c>
      <c r="C48" s="5">
        <f>4776.9</f>
        <v>4776.8999999999996</v>
      </c>
      <c r="D48" s="5">
        <f t="shared" si="2"/>
        <v>-2782.16</v>
      </c>
      <c r="E48" s="6">
        <f t="shared" si="3"/>
        <v>-0.58241956080303126</v>
      </c>
    </row>
    <row r="49" spans="1:5" x14ac:dyDescent="0.25">
      <c r="A49" s="3" t="s">
        <v>170</v>
      </c>
      <c r="B49" s="9">
        <f>(((((((((((((((((((((((((((B21)+(B22))+(B23))+(B24))+(B25))+(B26))+(B27))+(B28))+(B29))+(B30))+(B31))+(B32))+(B33))+(B34))+(B35))+(B36))+(B37))+(B38))+(B39))+(B40))+(B41))+(B42))+(B43))+(B44))+(B45))+(B46))+(B47))+(B48)</f>
        <v>253750.11</v>
      </c>
      <c r="C49" s="9">
        <f>(((((((((((((((((((((((((((C21)+(C22))+(C23))+(C24))+(C25))+(C26))+(C27))+(C28))+(C29))+(C30))+(C31))+(C32))+(C33))+(C34))+(C35))+(C36))+(C37))+(C38))+(C39))+(C40))+(C41))+(C42))+(C43))+(C44))+(C45))+(C46))+(C47))+(C48)</f>
        <v>264921.77</v>
      </c>
      <c r="D49" s="9">
        <f t="shared" si="2"/>
        <v>-11171.660000000033</v>
      </c>
      <c r="E49" s="10">
        <f t="shared" si="3"/>
        <v>-4.2169656347985411E-2</v>
      </c>
    </row>
    <row r="50" spans="1:5" x14ac:dyDescent="0.25">
      <c r="A50" s="3" t="s">
        <v>171</v>
      </c>
      <c r="B50" s="9">
        <f>(B19)-(B49)</f>
        <v>35796.510000000068</v>
      </c>
      <c r="C50" s="9">
        <f>(C19)-(C49)</f>
        <v>28485.299999999988</v>
      </c>
      <c r="D50" s="9">
        <f t="shared" si="2"/>
        <v>7311.2100000000792</v>
      </c>
      <c r="E50" s="10">
        <f t="shared" si="3"/>
        <v>0.25666606986761881</v>
      </c>
    </row>
    <row r="51" spans="1:5" x14ac:dyDescent="0.25">
      <c r="A51" s="3" t="s">
        <v>189</v>
      </c>
      <c r="B51" s="4"/>
      <c r="C51" s="4"/>
      <c r="D51" s="4"/>
      <c r="E51" s="4"/>
    </row>
    <row r="52" spans="1:5" x14ac:dyDescent="0.25">
      <c r="A52" s="3" t="s">
        <v>190</v>
      </c>
      <c r="B52" s="4"/>
      <c r="C52" s="5">
        <f>0</f>
        <v>0</v>
      </c>
      <c r="D52" s="5">
        <f>(B52)-(C52)</f>
        <v>0</v>
      </c>
      <c r="E52" s="6" t="str">
        <f>IF(ABS((C52))=0,"",((B52)-(C52))/(ABS((C52))))</f>
        <v/>
      </c>
    </row>
    <row r="53" spans="1:5" x14ac:dyDescent="0.25">
      <c r="A53" s="3" t="s">
        <v>191</v>
      </c>
      <c r="B53" s="9">
        <f>B52</f>
        <v>0</v>
      </c>
      <c r="C53" s="9">
        <f>C52</f>
        <v>0</v>
      </c>
      <c r="D53" s="9">
        <f>(B53)-(C53)</f>
        <v>0</v>
      </c>
      <c r="E53" s="10" t="str">
        <f>IF(ABS((C53))=0,"",((B53)-(C53))/(ABS((C53))))</f>
        <v/>
      </c>
    </row>
    <row r="54" spans="1:5" x14ac:dyDescent="0.25">
      <c r="A54" s="3" t="s">
        <v>192</v>
      </c>
      <c r="B54" s="9">
        <f>(0)-(B53)</f>
        <v>0</v>
      </c>
      <c r="C54" s="9">
        <f>(0)-(C53)</f>
        <v>0</v>
      </c>
      <c r="D54" s="9">
        <f>(B54)-(C54)</f>
        <v>0</v>
      </c>
      <c r="E54" s="10" t="str">
        <f>IF(ABS((C54))=0,"",((B54)-(C54))/(ABS((C54))))</f>
        <v/>
      </c>
    </row>
    <row r="55" spans="1:5" x14ac:dyDescent="0.25">
      <c r="A55" s="3" t="s">
        <v>172</v>
      </c>
      <c r="B55" s="9">
        <f>(B50)+(B54)</f>
        <v>35796.510000000068</v>
      </c>
      <c r="C55" s="9">
        <f>(C50)+(C54)</f>
        <v>28485.299999999988</v>
      </c>
      <c r="D55" s="9">
        <f>(B55)-(C55)</f>
        <v>7311.2100000000792</v>
      </c>
      <c r="E55" s="10">
        <f>IF(ABS((C55))=0,"",((B55)-(C55))/(ABS((C55))))</f>
        <v>0.25666606986761881</v>
      </c>
    </row>
    <row r="56" spans="1:5" x14ac:dyDescent="0.25">
      <c r="A56" s="3"/>
      <c r="B56" s="4"/>
      <c r="C56" s="4"/>
      <c r="D56" s="4"/>
      <c r="E56" s="4"/>
    </row>
    <row r="59" spans="1:5" x14ac:dyDescent="0.25">
      <c r="A59" s="13" t="s">
        <v>194</v>
      </c>
      <c r="B59" s="14"/>
      <c r="C59" s="14"/>
      <c r="D59" s="14"/>
      <c r="E59" s="14"/>
    </row>
  </sheetData>
  <mergeCells count="5">
    <mergeCell ref="A1:E1"/>
    <mergeCell ref="A2:E2"/>
    <mergeCell ref="A3:E3"/>
    <mergeCell ref="B5:E5"/>
    <mergeCell ref="A59:E5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0727C-3B92-4677-8A25-6FCC40AF8993}">
  <sheetPr>
    <tabColor rgb="FFFF0000"/>
  </sheetPr>
  <dimension ref="A1:J72"/>
  <sheetViews>
    <sheetView tabSelected="1" topLeftCell="A35" workbookViewId="0">
      <selection activeCell="J46" sqref="H43:J46"/>
    </sheetView>
  </sheetViews>
  <sheetFormatPr defaultRowHeight="15" x14ac:dyDescent="0.25"/>
  <cols>
    <col min="1" max="1" width="41.28515625" customWidth="1"/>
    <col min="2" max="5" width="18" customWidth="1"/>
    <col min="8" max="8" width="20.5703125" bestFit="1" customWidth="1"/>
    <col min="9" max="10" width="13.28515625" bestFit="1" customWidth="1"/>
  </cols>
  <sheetData>
    <row r="1" spans="1:10" ht="18" x14ac:dyDescent="0.25">
      <c r="A1" s="15" t="s">
        <v>174</v>
      </c>
      <c r="B1" s="14"/>
      <c r="C1" s="14"/>
      <c r="D1" s="14"/>
      <c r="E1" s="14"/>
    </row>
    <row r="2" spans="1:10" ht="18" x14ac:dyDescent="0.25">
      <c r="A2" s="15" t="s">
        <v>195</v>
      </c>
      <c r="B2" s="14"/>
      <c r="C2" s="14"/>
      <c r="D2" s="14"/>
      <c r="E2" s="14"/>
    </row>
    <row r="3" spans="1:10" x14ac:dyDescent="0.25">
      <c r="A3" s="16" t="s">
        <v>196</v>
      </c>
      <c r="B3" s="14"/>
      <c r="C3" s="14"/>
      <c r="D3" s="14"/>
      <c r="E3" s="14"/>
    </row>
    <row r="5" spans="1:10" x14ac:dyDescent="0.25">
      <c r="A5" s="1"/>
      <c r="B5" s="11" t="s">
        <v>0</v>
      </c>
      <c r="C5" s="12"/>
      <c r="D5" s="12"/>
      <c r="E5" s="12"/>
    </row>
    <row r="6" spans="1:10" ht="24.75" x14ac:dyDescent="0.25">
      <c r="A6" s="1"/>
      <c r="B6" s="2" t="s">
        <v>197</v>
      </c>
      <c r="C6" s="2" t="s">
        <v>198</v>
      </c>
      <c r="D6" s="2" t="s">
        <v>182</v>
      </c>
      <c r="E6" s="2" t="s">
        <v>183</v>
      </c>
    </row>
    <row r="7" spans="1:10" x14ac:dyDescent="0.25">
      <c r="A7" s="3" t="s">
        <v>199</v>
      </c>
      <c r="B7" s="4"/>
      <c r="C7" s="4"/>
      <c r="D7" s="4"/>
      <c r="E7" s="4"/>
    </row>
    <row r="8" spans="1:10" x14ac:dyDescent="0.25">
      <c r="A8" s="3" t="s">
        <v>200</v>
      </c>
      <c r="B8" s="4"/>
      <c r="C8" s="4"/>
      <c r="D8" s="4"/>
      <c r="E8" s="4"/>
    </row>
    <row r="9" spans="1:10" x14ac:dyDescent="0.25">
      <c r="A9" s="3" t="s">
        <v>201</v>
      </c>
      <c r="B9" s="4"/>
      <c r="C9" s="4"/>
      <c r="D9" s="4"/>
      <c r="E9" s="4"/>
    </row>
    <row r="10" spans="1:10" x14ac:dyDescent="0.25">
      <c r="A10" s="3" t="s">
        <v>202</v>
      </c>
      <c r="B10" s="5">
        <f>22934.32</f>
        <v>22934.32</v>
      </c>
      <c r="C10" s="5">
        <f>44394.4</f>
        <v>44394.400000000001</v>
      </c>
      <c r="D10" s="5">
        <f t="shared" ref="D10:D16" si="0">(B10)-(C10)</f>
        <v>-21460.080000000002</v>
      </c>
      <c r="E10" s="6">
        <f t="shared" ref="E10:E16" si="1">IF(ABS((C10))=0,"",((B10)-(C10))/(ABS((C10))))</f>
        <v>-0.48339610401311878</v>
      </c>
    </row>
    <row r="11" spans="1:10" x14ac:dyDescent="0.25">
      <c r="A11" s="3" t="s">
        <v>203</v>
      </c>
      <c r="B11" s="5">
        <f>68901.5</f>
        <v>68901.5</v>
      </c>
      <c r="C11" s="5">
        <f>68729.68</f>
        <v>68729.679999999993</v>
      </c>
      <c r="D11" s="5">
        <f t="shared" si="0"/>
        <v>171.82000000000698</v>
      </c>
      <c r="E11" s="6">
        <f t="shared" si="1"/>
        <v>2.4999388910294214E-3</v>
      </c>
    </row>
    <row r="12" spans="1:10" x14ac:dyDescent="0.25">
      <c r="A12" s="3" t="s">
        <v>204</v>
      </c>
      <c r="B12" s="5">
        <f>793.87</f>
        <v>793.87</v>
      </c>
      <c r="C12" s="5">
        <f>793.87</f>
        <v>793.87</v>
      </c>
      <c r="D12" s="5">
        <f t="shared" si="0"/>
        <v>0</v>
      </c>
      <c r="E12" s="6">
        <f t="shared" si="1"/>
        <v>0</v>
      </c>
    </row>
    <row r="13" spans="1:10" x14ac:dyDescent="0.25">
      <c r="A13" s="3" t="s">
        <v>205</v>
      </c>
      <c r="B13" s="5">
        <f>42671.75</f>
        <v>42671.75</v>
      </c>
      <c r="C13" s="5">
        <f>37637.54</f>
        <v>37637.54</v>
      </c>
      <c r="D13" s="5">
        <f t="shared" si="0"/>
        <v>5034.2099999999991</v>
      </c>
      <c r="E13" s="6">
        <f t="shared" si="1"/>
        <v>0.13375502224640609</v>
      </c>
      <c r="I13">
        <v>2023</v>
      </c>
      <c r="J13">
        <v>2022</v>
      </c>
    </row>
    <row r="14" spans="1:10" x14ac:dyDescent="0.25">
      <c r="A14" s="3" t="s">
        <v>206</v>
      </c>
      <c r="B14" s="5">
        <f>211352.04</f>
        <v>211352.04</v>
      </c>
      <c r="C14" s="5">
        <f>171539.69</f>
        <v>171539.69</v>
      </c>
      <c r="D14" s="5">
        <f t="shared" si="0"/>
        <v>39812.350000000006</v>
      </c>
      <c r="E14" s="6">
        <f t="shared" si="1"/>
        <v>0.23208827065036672</v>
      </c>
      <c r="H14" t="s">
        <v>375</v>
      </c>
      <c r="I14" s="21">
        <f>B23</f>
        <v>1192182</v>
      </c>
      <c r="J14" s="21">
        <f>C23</f>
        <v>1300447</v>
      </c>
    </row>
    <row r="15" spans="1:10" x14ac:dyDescent="0.25">
      <c r="A15" s="3" t="s">
        <v>207</v>
      </c>
      <c r="B15" s="5">
        <f>179.03</f>
        <v>179.03</v>
      </c>
      <c r="C15" s="5">
        <f>187.03</f>
        <v>187.03</v>
      </c>
      <c r="D15" s="5">
        <f t="shared" si="0"/>
        <v>-8</v>
      </c>
      <c r="E15" s="6">
        <f t="shared" si="1"/>
        <v>-4.2773886542265944E-2</v>
      </c>
      <c r="H15" t="s">
        <v>374</v>
      </c>
      <c r="I15" s="23">
        <f>B20</f>
        <v>200</v>
      </c>
      <c r="J15" s="23">
        <f>C20</f>
        <v>100</v>
      </c>
    </row>
    <row r="16" spans="1:10" x14ac:dyDescent="0.25">
      <c r="A16" s="3" t="s">
        <v>208</v>
      </c>
      <c r="B16" s="9">
        <f>(((((B10)+(B11))+(B12))+(B13))+(B14))+(B15)</f>
        <v>346832.51</v>
      </c>
      <c r="C16" s="9">
        <f>(((((C10)+(C11))+(C12))+(C13))+(C14))+(C15)</f>
        <v>323282.21000000002</v>
      </c>
      <c r="D16" s="9">
        <f t="shared" si="0"/>
        <v>23550.299999999988</v>
      </c>
      <c r="E16" s="10">
        <f t="shared" si="1"/>
        <v>7.2847497547112131E-2</v>
      </c>
      <c r="H16" t="s">
        <v>373</v>
      </c>
      <c r="I16" s="23">
        <f>B16</f>
        <v>346832.51</v>
      </c>
      <c r="J16" s="23">
        <f>C16</f>
        <v>323282.21000000002</v>
      </c>
    </row>
    <row r="17" spans="1:5" x14ac:dyDescent="0.25">
      <c r="A17" s="3" t="s">
        <v>209</v>
      </c>
      <c r="B17" s="4"/>
      <c r="C17" s="4"/>
      <c r="D17" s="4"/>
      <c r="E17" s="4"/>
    </row>
    <row r="18" spans="1:5" x14ac:dyDescent="0.25">
      <c r="A18" s="3" t="s">
        <v>210</v>
      </c>
      <c r="B18" s="5">
        <f>301.25</f>
        <v>301.25</v>
      </c>
      <c r="C18" s="5">
        <f>100</f>
        <v>100</v>
      </c>
      <c r="D18" s="5">
        <f>(B18)-(C18)</f>
        <v>201.25</v>
      </c>
      <c r="E18" s="6">
        <f>IF(ABS((C18))=0,"",((B18)-(C18))/(ABS((C18))))</f>
        <v>2.0125000000000002</v>
      </c>
    </row>
    <row r="19" spans="1:5" x14ac:dyDescent="0.25">
      <c r="A19" s="3" t="s">
        <v>211</v>
      </c>
      <c r="B19" s="5">
        <f>-101.25</f>
        <v>-101.25</v>
      </c>
      <c r="C19" s="5">
        <f>0</f>
        <v>0</v>
      </c>
      <c r="D19" s="5">
        <f>(B19)-(C19)</f>
        <v>-101.25</v>
      </c>
      <c r="E19" s="6" t="str">
        <f>IF(ABS((C19))=0,"",((B19)-(C19))/(ABS((C19))))</f>
        <v/>
      </c>
    </row>
    <row r="20" spans="1:5" x14ac:dyDescent="0.25">
      <c r="A20" s="3" t="s">
        <v>212</v>
      </c>
      <c r="B20" s="9">
        <f>(B18)+(B19)</f>
        <v>200</v>
      </c>
      <c r="C20" s="9">
        <f>(C18)+(C19)</f>
        <v>100</v>
      </c>
      <c r="D20" s="9">
        <f>(B20)-(C20)</f>
        <v>100</v>
      </c>
      <c r="E20" s="10">
        <f>IF(ABS((C20))=0,"",((B20)-(C20))/(ABS((C20))))</f>
        <v>1</v>
      </c>
    </row>
    <row r="21" spans="1:5" x14ac:dyDescent="0.25">
      <c r="A21" s="3" t="s">
        <v>213</v>
      </c>
      <c r="B21" s="4"/>
      <c r="C21" s="4"/>
      <c r="D21" s="4"/>
      <c r="E21" s="4"/>
    </row>
    <row r="22" spans="1:5" x14ac:dyDescent="0.25">
      <c r="A22" s="3" t="s">
        <v>214</v>
      </c>
      <c r="B22" s="5">
        <f>2974.07</f>
        <v>2974.07</v>
      </c>
      <c r="C22" s="5">
        <f>2471.87</f>
        <v>2471.87</v>
      </c>
      <c r="D22" s="5">
        <f t="shared" ref="D22:D30" si="2">(B22)-(C22)</f>
        <v>502.20000000000027</v>
      </c>
      <c r="E22" s="6">
        <f t="shared" ref="E22:E30" si="3">IF(ABS((C22))=0,"",((B22)-(C22))/(ABS((C22))))</f>
        <v>0.20316602410320944</v>
      </c>
    </row>
    <row r="23" spans="1:5" x14ac:dyDescent="0.25">
      <c r="A23" s="3" t="s">
        <v>215</v>
      </c>
      <c r="B23" s="5">
        <f>1192182</f>
        <v>1192182</v>
      </c>
      <c r="C23" s="5">
        <f>1300447</f>
        <v>1300447</v>
      </c>
      <c r="D23" s="5">
        <f t="shared" si="2"/>
        <v>-108265</v>
      </c>
      <c r="E23" s="6">
        <f t="shared" si="3"/>
        <v>-8.3252143301495565E-2</v>
      </c>
    </row>
    <row r="24" spans="1:5" x14ac:dyDescent="0.25">
      <c r="A24" s="3" t="s">
        <v>216</v>
      </c>
      <c r="B24" s="5">
        <f>19637.42</f>
        <v>19637.419999999998</v>
      </c>
      <c r="C24" s="5">
        <f>19423.42</f>
        <v>19423.419999999998</v>
      </c>
      <c r="D24" s="5">
        <f t="shared" si="2"/>
        <v>214</v>
      </c>
      <c r="E24" s="6">
        <f t="shared" si="3"/>
        <v>1.1017627173793287E-2</v>
      </c>
    </row>
    <row r="25" spans="1:5" x14ac:dyDescent="0.25">
      <c r="A25" s="3" t="s">
        <v>217</v>
      </c>
      <c r="B25" s="5">
        <f>0</f>
        <v>0</v>
      </c>
      <c r="C25" s="5">
        <f>0</f>
        <v>0</v>
      </c>
      <c r="D25" s="5">
        <f t="shared" si="2"/>
        <v>0</v>
      </c>
      <c r="E25" s="6" t="str">
        <f t="shared" si="3"/>
        <v/>
      </c>
    </row>
    <row r="26" spans="1:5" x14ac:dyDescent="0.25">
      <c r="A26" s="3" t="s">
        <v>218</v>
      </c>
      <c r="B26" s="5">
        <f>600</f>
        <v>600</v>
      </c>
      <c r="C26" s="5">
        <f>600</f>
        <v>600</v>
      </c>
      <c r="D26" s="5">
        <f t="shared" si="2"/>
        <v>0</v>
      </c>
      <c r="E26" s="6">
        <f t="shared" si="3"/>
        <v>0</v>
      </c>
    </row>
    <row r="27" spans="1:5" x14ac:dyDescent="0.25">
      <c r="A27" s="3" t="s">
        <v>219</v>
      </c>
      <c r="B27" s="5">
        <f>9.31</f>
        <v>9.31</v>
      </c>
      <c r="C27" s="5">
        <f>9.31</f>
        <v>9.31</v>
      </c>
      <c r="D27" s="5">
        <f t="shared" si="2"/>
        <v>0</v>
      </c>
      <c r="E27" s="6">
        <f t="shared" si="3"/>
        <v>0</v>
      </c>
    </row>
    <row r="28" spans="1:5" x14ac:dyDescent="0.25">
      <c r="A28" s="3" t="s">
        <v>220</v>
      </c>
      <c r="B28" s="5">
        <f>0</f>
        <v>0</v>
      </c>
      <c r="C28" s="5">
        <f>0</f>
        <v>0</v>
      </c>
      <c r="D28" s="5">
        <f t="shared" si="2"/>
        <v>0</v>
      </c>
      <c r="E28" s="6" t="str">
        <f t="shared" si="3"/>
        <v/>
      </c>
    </row>
    <row r="29" spans="1:5" x14ac:dyDescent="0.25">
      <c r="A29" s="3" t="s">
        <v>221</v>
      </c>
      <c r="B29" s="9">
        <f>((((((B22)+(B23))+(B24))+(B25))+(B26))+(B27))+(B28)</f>
        <v>1215402.8</v>
      </c>
      <c r="C29" s="9">
        <f>((((((C22)+(C23))+(C24))+(C25))+(C26))+(C27))+(C28)</f>
        <v>1322951.6000000001</v>
      </c>
      <c r="D29" s="9">
        <f t="shared" si="2"/>
        <v>-107548.80000000005</v>
      </c>
      <c r="E29" s="10">
        <f t="shared" si="3"/>
        <v>-8.1294584019551461E-2</v>
      </c>
    </row>
    <row r="30" spans="1:5" x14ac:dyDescent="0.25">
      <c r="A30" s="3" t="s">
        <v>222</v>
      </c>
      <c r="B30" s="9">
        <f>((B16)+(B20))+(B29)</f>
        <v>1562435.31</v>
      </c>
      <c r="C30" s="9">
        <f>((C16)+(C20))+(C29)</f>
        <v>1646333.81</v>
      </c>
      <c r="D30" s="9">
        <f t="shared" si="2"/>
        <v>-83898.5</v>
      </c>
      <c r="E30" s="10">
        <f t="shared" si="3"/>
        <v>-5.0960807273951324E-2</v>
      </c>
    </row>
    <row r="31" spans="1:5" x14ac:dyDescent="0.25">
      <c r="A31" s="3" t="s">
        <v>223</v>
      </c>
      <c r="B31" s="4"/>
      <c r="C31" s="4"/>
      <c r="D31" s="4"/>
      <c r="E31" s="4"/>
    </row>
    <row r="32" spans="1:5" x14ac:dyDescent="0.25">
      <c r="A32" s="3" t="s">
        <v>224</v>
      </c>
      <c r="B32" s="5">
        <f>74227</f>
        <v>74227</v>
      </c>
      <c r="C32" s="5">
        <f>74227</f>
        <v>74227</v>
      </c>
      <c r="D32" s="5">
        <f>(B32)-(C32)</f>
        <v>0</v>
      </c>
      <c r="E32" s="6">
        <f>IF(ABS((C32))=0,"",((B32)-(C32))/(ABS((C32))))</f>
        <v>0</v>
      </c>
    </row>
    <row r="33" spans="1:10" x14ac:dyDescent="0.25">
      <c r="A33" s="3" t="s">
        <v>225</v>
      </c>
      <c r="B33" s="5">
        <f>1526.59</f>
        <v>1526.59</v>
      </c>
      <c r="C33" s="5">
        <f>6873.07</f>
        <v>6873.07</v>
      </c>
      <c r="D33" s="5">
        <f>(B33)-(C33)</f>
        <v>-5346.48</v>
      </c>
      <c r="E33" s="6">
        <f>IF(ABS((C33))=0,"",((B33)-(C33))/(ABS((C33))))</f>
        <v>-0.77788819261261699</v>
      </c>
    </row>
    <row r="34" spans="1:10" x14ac:dyDescent="0.25">
      <c r="A34" s="3" t="s">
        <v>226</v>
      </c>
      <c r="B34" s="5">
        <f>22684.64</f>
        <v>22684.639999999999</v>
      </c>
      <c r="C34" s="5">
        <f>22684.64</f>
        <v>22684.639999999999</v>
      </c>
      <c r="D34" s="5">
        <f>(B34)-(C34)</f>
        <v>0</v>
      </c>
      <c r="E34" s="6">
        <f>IF(ABS((C34))=0,"",((B34)-(C34))/(ABS((C34))))</f>
        <v>0</v>
      </c>
    </row>
    <row r="35" spans="1:10" x14ac:dyDescent="0.25">
      <c r="A35" s="3" t="s">
        <v>227</v>
      </c>
      <c r="B35" s="9">
        <f>((B32)+(B33))+(B34)</f>
        <v>98438.23</v>
      </c>
      <c r="C35" s="9">
        <f>((C32)+(C33))+(C34)</f>
        <v>103784.71</v>
      </c>
      <c r="D35" s="9">
        <f>(B35)-(C35)</f>
        <v>-5346.4800000000105</v>
      </c>
      <c r="E35" s="10">
        <f>IF(ABS((C35))=0,"",((B35)-(C35))/(ABS((C35))))</f>
        <v>-5.15151027545388E-2</v>
      </c>
    </row>
    <row r="36" spans="1:10" x14ac:dyDescent="0.25">
      <c r="A36" s="3" t="s">
        <v>228</v>
      </c>
      <c r="B36" s="4"/>
      <c r="C36" s="4"/>
      <c r="D36" s="4"/>
      <c r="E36" s="4"/>
    </row>
    <row r="37" spans="1:10" x14ac:dyDescent="0.25">
      <c r="A37" s="3" t="s">
        <v>229</v>
      </c>
      <c r="B37" s="5">
        <f>1283.09</f>
        <v>1283.0899999999999</v>
      </c>
      <c r="C37" s="5">
        <f>1283.09</f>
        <v>1283.0899999999999</v>
      </c>
      <c r="D37" s="5">
        <f>(B37)-(C37)</f>
        <v>0</v>
      </c>
      <c r="E37" s="6">
        <f>IF(ABS((C37))=0,"",((B37)-(C37))/(ABS((C37))))</f>
        <v>0</v>
      </c>
    </row>
    <row r="38" spans="1:10" x14ac:dyDescent="0.25">
      <c r="A38" s="3" t="s">
        <v>230</v>
      </c>
      <c r="B38" s="9">
        <f>B37</f>
        <v>1283.0899999999999</v>
      </c>
      <c r="C38" s="9">
        <f>C37</f>
        <v>1283.0899999999999</v>
      </c>
      <c r="D38" s="9">
        <f>(B38)-(C38)</f>
        <v>0</v>
      </c>
      <c r="E38" s="10">
        <f>IF(ABS((C38))=0,"",((B38)-(C38))/(ABS((C38))))</f>
        <v>0</v>
      </c>
    </row>
    <row r="39" spans="1:10" x14ac:dyDescent="0.25">
      <c r="A39" s="3" t="s">
        <v>231</v>
      </c>
      <c r="B39" s="9">
        <f>((B30)+(B35))+(B38)</f>
        <v>1662156.6300000001</v>
      </c>
      <c r="C39" s="9">
        <f>((C30)+(C35))+(C38)</f>
        <v>1751401.61</v>
      </c>
      <c r="D39" s="9">
        <f>(B39)-(C39)</f>
        <v>-89244.979999999981</v>
      </c>
      <c r="E39" s="10">
        <f>IF(ABS((C39))=0,"",((B39)-(C39))/(ABS((C39))))</f>
        <v>-5.0956319493162948E-2</v>
      </c>
    </row>
    <row r="40" spans="1:10" x14ac:dyDescent="0.25">
      <c r="A40" s="3" t="s">
        <v>232</v>
      </c>
      <c r="B40" s="4"/>
      <c r="C40" s="4"/>
      <c r="D40" s="4"/>
      <c r="E40" s="4"/>
    </row>
    <row r="41" spans="1:10" x14ac:dyDescent="0.25">
      <c r="A41" s="3" t="s">
        <v>233</v>
      </c>
      <c r="B41" s="4"/>
      <c r="C41" s="4"/>
      <c r="D41" s="4"/>
      <c r="E41" s="4"/>
    </row>
    <row r="42" spans="1:10" x14ac:dyDescent="0.25">
      <c r="A42" s="3" t="s">
        <v>234</v>
      </c>
      <c r="B42" s="4"/>
      <c r="C42" s="4"/>
      <c r="D42" s="4"/>
      <c r="E42" s="4"/>
    </row>
    <row r="43" spans="1:10" x14ac:dyDescent="0.25">
      <c r="A43" s="3" t="s">
        <v>235</v>
      </c>
      <c r="B43" s="4"/>
      <c r="C43" s="4"/>
      <c r="D43" s="4"/>
      <c r="E43" s="4"/>
      <c r="I43">
        <v>2023</v>
      </c>
      <c r="J43">
        <v>2022</v>
      </c>
    </row>
    <row r="44" spans="1:10" x14ac:dyDescent="0.25">
      <c r="A44" s="3" t="s">
        <v>236</v>
      </c>
      <c r="B44" s="5">
        <f>6942.28</f>
        <v>6942.28</v>
      </c>
      <c r="C44" s="5">
        <f>12348.83</f>
        <v>12348.83</v>
      </c>
      <c r="D44" s="5">
        <f>(B44)-(C44)</f>
        <v>-5406.55</v>
      </c>
      <c r="E44" s="6">
        <f>IF(ABS((C44))=0,"",((B44)-(C44))/(ABS((C44))))</f>
        <v>-0.43781880550627067</v>
      </c>
      <c r="H44" t="s">
        <v>378</v>
      </c>
      <c r="I44" s="23">
        <f>B48</f>
        <v>356.71</v>
      </c>
      <c r="J44" s="23">
        <f>C48</f>
        <v>-558.98</v>
      </c>
    </row>
    <row r="45" spans="1:10" x14ac:dyDescent="0.25">
      <c r="A45" s="3" t="s">
        <v>237</v>
      </c>
      <c r="B45" s="9">
        <f>B44</f>
        <v>6942.28</v>
      </c>
      <c r="C45" s="9">
        <f>C44</f>
        <v>12348.83</v>
      </c>
      <c r="D45" s="9">
        <f>(B45)-(C45)</f>
        <v>-5406.55</v>
      </c>
      <c r="E45" s="10">
        <f>IF(ABS((C45))=0,"",((B45)-(C45))/(ABS((C45))))</f>
        <v>-0.43781880550627067</v>
      </c>
      <c r="H45" t="s">
        <v>377</v>
      </c>
      <c r="I45" s="23">
        <f>B45</f>
        <v>6942.28</v>
      </c>
      <c r="J45" s="23">
        <f>C45</f>
        <v>12348.83</v>
      </c>
    </row>
    <row r="46" spans="1:10" x14ac:dyDescent="0.25">
      <c r="A46" s="3" t="s">
        <v>238</v>
      </c>
      <c r="B46" s="4"/>
      <c r="C46" s="4"/>
      <c r="D46" s="4"/>
      <c r="E46" s="4"/>
      <c r="H46" t="s">
        <v>376</v>
      </c>
      <c r="I46" s="21">
        <f>B66</f>
        <v>35796.51</v>
      </c>
      <c r="J46" s="21">
        <f>C66</f>
        <v>28485.3</v>
      </c>
    </row>
    <row r="47" spans="1:10" x14ac:dyDescent="0.25">
      <c r="A47" s="3" t="s">
        <v>239</v>
      </c>
      <c r="B47" s="5">
        <f>356.71</f>
        <v>356.71</v>
      </c>
      <c r="C47" s="5">
        <f>-558.98</f>
        <v>-558.98</v>
      </c>
      <c r="D47" s="5">
        <f>(B47)-(C47)</f>
        <v>915.69</v>
      </c>
      <c r="E47" s="6">
        <f>IF(ABS((C47))=0,"",((B47)-(C47))/(ABS((C47))))</f>
        <v>1.6381444774410534</v>
      </c>
    </row>
    <row r="48" spans="1:10" x14ac:dyDescent="0.25">
      <c r="A48" s="3" t="s">
        <v>240</v>
      </c>
      <c r="B48" s="9">
        <f>B47</f>
        <v>356.71</v>
      </c>
      <c r="C48" s="9">
        <f>C47</f>
        <v>-558.98</v>
      </c>
      <c r="D48" s="9">
        <f>(B48)-(C48)</f>
        <v>915.69</v>
      </c>
      <c r="E48" s="10">
        <f>IF(ABS((C48))=0,"",((B48)-(C48))/(ABS((C48))))</f>
        <v>1.6381444774410534</v>
      </c>
    </row>
    <row r="49" spans="1:5" x14ac:dyDescent="0.25">
      <c r="A49" s="3" t="s">
        <v>241</v>
      </c>
      <c r="B49" s="4"/>
      <c r="C49" s="4"/>
      <c r="D49" s="4"/>
      <c r="E49" s="4"/>
    </row>
    <row r="50" spans="1:5" x14ac:dyDescent="0.25">
      <c r="A50" s="3" t="s">
        <v>242</v>
      </c>
      <c r="B50" s="5">
        <f>13.5</f>
        <v>13.5</v>
      </c>
      <c r="C50" s="5">
        <f>13.5</f>
        <v>13.5</v>
      </c>
      <c r="D50" s="5">
        <f t="shared" ref="D50:D60" si="4">(B50)-(C50)</f>
        <v>0</v>
      </c>
      <c r="E50" s="6">
        <f t="shared" ref="E50:E60" si="5">IF(ABS((C50))=0,"",((B50)-(C50))/(ABS((C50))))</f>
        <v>0</v>
      </c>
    </row>
    <row r="51" spans="1:5" x14ac:dyDescent="0.25">
      <c r="A51" s="3" t="s">
        <v>243</v>
      </c>
      <c r="B51" s="5">
        <f>0</f>
        <v>0</v>
      </c>
      <c r="C51" s="5">
        <f>0</f>
        <v>0</v>
      </c>
      <c r="D51" s="5">
        <f t="shared" si="4"/>
        <v>0</v>
      </c>
      <c r="E51" s="6" t="str">
        <f t="shared" si="5"/>
        <v/>
      </c>
    </row>
    <row r="52" spans="1:5" x14ac:dyDescent="0.25">
      <c r="A52" s="3" t="s">
        <v>244</v>
      </c>
      <c r="B52" s="5">
        <f>34</f>
        <v>34</v>
      </c>
      <c r="C52" s="5">
        <f>34</f>
        <v>34</v>
      </c>
      <c r="D52" s="5">
        <f t="shared" si="4"/>
        <v>0</v>
      </c>
      <c r="E52" s="6">
        <f t="shared" si="5"/>
        <v>0</v>
      </c>
    </row>
    <row r="53" spans="1:5" x14ac:dyDescent="0.25">
      <c r="A53" s="3" t="s">
        <v>245</v>
      </c>
      <c r="B53" s="5">
        <f>20400.2</f>
        <v>20400.2</v>
      </c>
      <c r="C53" s="5">
        <f>23924.25</f>
        <v>23924.25</v>
      </c>
      <c r="D53" s="5">
        <f t="shared" si="4"/>
        <v>-3524.0499999999993</v>
      </c>
      <c r="E53" s="6">
        <f t="shared" si="5"/>
        <v>-0.14730033334378295</v>
      </c>
    </row>
    <row r="54" spans="1:5" x14ac:dyDescent="0.25">
      <c r="A54" s="3" t="s">
        <v>246</v>
      </c>
      <c r="B54" s="5">
        <f>-70581.06</f>
        <v>-70581.06</v>
      </c>
      <c r="C54" s="5">
        <f>-71994.62</f>
        <v>-71994.62</v>
      </c>
      <c r="D54" s="5">
        <f t="shared" si="4"/>
        <v>1413.5599999999977</v>
      </c>
      <c r="E54" s="6">
        <f t="shared" si="5"/>
        <v>1.9634244892187746E-2</v>
      </c>
    </row>
    <row r="55" spans="1:5" x14ac:dyDescent="0.25">
      <c r="A55" s="3" t="s">
        <v>247</v>
      </c>
      <c r="B55" s="5">
        <f>24114</f>
        <v>24114</v>
      </c>
      <c r="C55" s="5">
        <f>24114</f>
        <v>24114</v>
      </c>
      <c r="D55" s="5">
        <f t="shared" si="4"/>
        <v>0</v>
      </c>
      <c r="E55" s="6">
        <f t="shared" si="5"/>
        <v>0</v>
      </c>
    </row>
    <row r="56" spans="1:5" x14ac:dyDescent="0.25">
      <c r="A56" s="3" t="s">
        <v>248</v>
      </c>
      <c r="B56" s="5">
        <f>0</f>
        <v>0</v>
      </c>
      <c r="C56" s="5">
        <f>0</f>
        <v>0</v>
      </c>
      <c r="D56" s="5">
        <f t="shared" si="4"/>
        <v>0</v>
      </c>
      <c r="E56" s="6" t="str">
        <f t="shared" si="5"/>
        <v/>
      </c>
    </row>
    <row r="57" spans="1:5" x14ac:dyDescent="0.25">
      <c r="A57" s="3" t="s">
        <v>249</v>
      </c>
      <c r="B57" s="5">
        <f>83122.97</f>
        <v>83122.97</v>
      </c>
      <c r="C57" s="5">
        <f>79605.17</f>
        <v>79605.17</v>
      </c>
      <c r="D57" s="5">
        <f t="shared" si="4"/>
        <v>3517.8000000000029</v>
      </c>
      <c r="E57" s="6">
        <f t="shared" si="5"/>
        <v>4.4190597168500524E-2</v>
      </c>
    </row>
    <row r="58" spans="1:5" x14ac:dyDescent="0.25">
      <c r="A58" s="3" t="s">
        <v>250</v>
      </c>
      <c r="B58" s="9">
        <f>(((((((B50)+(B51))+(B52))+(B53))+(B54))+(B55))+(B56))+(B57)</f>
        <v>57103.61</v>
      </c>
      <c r="C58" s="9">
        <f>(((((((C50)+(C51))+(C52))+(C53))+(C54))+(C55))+(C56))+(C57)</f>
        <v>55696.3</v>
      </c>
      <c r="D58" s="9">
        <f t="shared" si="4"/>
        <v>1407.3099999999977</v>
      </c>
      <c r="E58" s="10">
        <f t="shared" si="5"/>
        <v>2.5267567145393816E-2</v>
      </c>
    </row>
    <row r="59" spans="1:5" x14ac:dyDescent="0.25">
      <c r="A59" s="3" t="s">
        <v>251</v>
      </c>
      <c r="B59" s="9">
        <f>((B45)+(B48))+(B58)</f>
        <v>64402.6</v>
      </c>
      <c r="C59" s="9">
        <f>((C45)+(C48))+(C58)</f>
        <v>67486.150000000009</v>
      </c>
      <c r="D59" s="9">
        <f t="shared" si="4"/>
        <v>-3083.5500000000102</v>
      </c>
      <c r="E59" s="10">
        <f t="shared" si="5"/>
        <v>-4.5691597461108832E-2</v>
      </c>
    </row>
    <row r="60" spans="1:5" x14ac:dyDescent="0.25">
      <c r="A60" s="3" t="s">
        <v>252</v>
      </c>
      <c r="B60" s="9">
        <f>B59</f>
        <v>64402.6</v>
      </c>
      <c r="C60" s="9">
        <f>C59</f>
        <v>67486.150000000009</v>
      </c>
      <c r="D60" s="9">
        <f t="shared" si="4"/>
        <v>-3083.5500000000102</v>
      </c>
      <c r="E60" s="10">
        <f t="shared" si="5"/>
        <v>-4.5691597461108832E-2</v>
      </c>
    </row>
    <row r="61" spans="1:5" x14ac:dyDescent="0.25">
      <c r="A61" s="3" t="s">
        <v>253</v>
      </c>
      <c r="B61" s="4"/>
      <c r="C61" s="4"/>
      <c r="D61" s="4"/>
      <c r="E61" s="4"/>
    </row>
    <row r="62" spans="1:5" x14ac:dyDescent="0.25">
      <c r="A62" s="3" t="s">
        <v>254</v>
      </c>
      <c r="B62" s="5">
        <f>11429.62</f>
        <v>11429.62</v>
      </c>
      <c r="C62" s="5">
        <f>11429.62</f>
        <v>11429.62</v>
      </c>
      <c r="D62" s="5">
        <f t="shared" ref="D62:D68" si="6">(B62)-(C62)</f>
        <v>0</v>
      </c>
      <c r="E62" s="6">
        <f t="shared" ref="E62:E68" si="7">IF(ABS((C62))=0,"",((B62)-(C62))/(ABS((C62))))</f>
        <v>0</v>
      </c>
    </row>
    <row r="63" spans="1:5" x14ac:dyDescent="0.25">
      <c r="A63" s="3" t="s">
        <v>255</v>
      </c>
      <c r="B63" s="5">
        <f>266709.72</f>
        <v>266709.71999999997</v>
      </c>
      <c r="C63" s="5">
        <f>251917.36</f>
        <v>251917.36</v>
      </c>
      <c r="D63" s="5">
        <f t="shared" si="6"/>
        <v>14792.359999999986</v>
      </c>
      <c r="E63" s="6">
        <f t="shared" si="7"/>
        <v>5.8719097405593591E-2</v>
      </c>
    </row>
    <row r="64" spans="1:5" x14ac:dyDescent="0.25">
      <c r="A64" s="3" t="s">
        <v>256</v>
      </c>
      <c r="B64" s="5">
        <f>1192182</f>
        <v>1192182</v>
      </c>
      <c r="C64" s="5">
        <f>1300447</f>
        <v>1300447</v>
      </c>
      <c r="D64" s="5">
        <f t="shared" si="6"/>
        <v>-108265</v>
      </c>
      <c r="E64" s="6">
        <f t="shared" si="7"/>
        <v>-8.3252143301495565E-2</v>
      </c>
    </row>
    <row r="65" spans="1:5" x14ac:dyDescent="0.25">
      <c r="A65" s="3" t="s">
        <v>257</v>
      </c>
      <c r="B65" s="5">
        <f>91636.18</f>
        <v>91636.18</v>
      </c>
      <c r="C65" s="5">
        <f>91636.18</f>
        <v>91636.18</v>
      </c>
      <c r="D65" s="5">
        <f t="shared" si="6"/>
        <v>0</v>
      </c>
      <c r="E65" s="6">
        <f t="shared" si="7"/>
        <v>0</v>
      </c>
    </row>
    <row r="66" spans="1:5" x14ac:dyDescent="0.25">
      <c r="A66" s="3" t="s">
        <v>258</v>
      </c>
      <c r="B66" s="5">
        <f>35796.51</f>
        <v>35796.51</v>
      </c>
      <c r="C66" s="5">
        <f>28485.3</f>
        <v>28485.3</v>
      </c>
      <c r="D66" s="5">
        <f t="shared" si="6"/>
        <v>7311.2100000000028</v>
      </c>
      <c r="E66" s="6">
        <f t="shared" si="7"/>
        <v>0.25666606986761603</v>
      </c>
    </row>
    <row r="67" spans="1:5" x14ac:dyDescent="0.25">
      <c r="A67" s="3" t="s">
        <v>259</v>
      </c>
      <c r="B67" s="9">
        <f>((((B62)+(B63))+(B64))+(B65))+(B66)</f>
        <v>1597754.0299999998</v>
      </c>
      <c r="C67" s="9">
        <f>((((C62)+(C63))+(C64))+(C65))+(C66)</f>
        <v>1683915.46</v>
      </c>
      <c r="D67" s="9">
        <f t="shared" si="6"/>
        <v>-86161.430000000168</v>
      </c>
      <c r="E67" s="10">
        <f t="shared" si="7"/>
        <v>-5.1167313351942363E-2</v>
      </c>
    </row>
    <row r="68" spans="1:5" x14ac:dyDescent="0.25">
      <c r="A68" s="3" t="s">
        <v>260</v>
      </c>
      <c r="B68" s="9">
        <f>(B60)+(B67)</f>
        <v>1662156.63</v>
      </c>
      <c r="C68" s="9">
        <f>(C60)+(C67)</f>
        <v>1751401.6099999999</v>
      </c>
      <c r="D68" s="9">
        <f t="shared" si="6"/>
        <v>-89244.979999999981</v>
      </c>
      <c r="E68" s="10">
        <f t="shared" si="7"/>
        <v>-5.0956319493162955E-2</v>
      </c>
    </row>
    <row r="69" spans="1:5" x14ac:dyDescent="0.25">
      <c r="A69" s="3"/>
      <c r="B69" s="4"/>
      <c r="C69" s="4"/>
      <c r="D69" s="4"/>
      <c r="E69" s="4"/>
    </row>
    <row r="72" spans="1:5" x14ac:dyDescent="0.25">
      <c r="A72" s="13" t="s">
        <v>261</v>
      </c>
      <c r="B72" s="14"/>
      <c r="C72" s="14"/>
      <c r="D72" s="14"/>
      <c r="E72" s="14"/>
    </row>
  </sheetData>
  <mergeCells count="5">
    <mergeCell ref="A1:E1"/>
    <mergeCell ref="A2:E2"/>
    <mergeCell ref="A3:E3"/>
    <mergeCell ref="B5:E5"/>
    <mergeCell ref="A72:E7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05BC9-15A0-4002-A69B-5AD402CAE9E6}">
  <dimension ref="A1:G27"/>
  <sheetViews>
    <sheetView workbookViewId="0">
      <selection sqref="A1:G27"/>
    </sheetView>
  </sheetViews>
  <sheetFormatPr defaultRowHeight="15" x14ac:dyDescent="0.25"/>
  <cols>
    <col min="1" max="1" width="31" customWidth="1"/>
    <col min="2" max="7" width="12.85546875" customWidth="1"/>
  </cols>
  <sheetData>
    <row r="1" spans="1:7" ht="18" x14ac:dyDescent="0.25">
      <c r="A1" s="15" t="s">
        <v>174</v>
      </c>
      <c r="B1" s="14"/>
      <c r="C1" s="14"/>
      <c r="D1" s="14"/>
      <c r="E1" s="14"/>
      <c r="F1" s="14"/>
      <c r="G1" s="14"/>
    </row>
    <row r="2" spans="1:7" ht="18" x14ac:dyDescent="0.25">
      <c r="A2" s="15" t="s">
        <v>262</v>
      </c>
      <c r="B2" s="14"/>
      <c r="C2" s="14"/>
      <c r="D2" s="14"/>
      <c r="E2" s="14"/>
      <c r="F2" s="14"/>
      <c r="G2" s="14"/>
    </row>
    <row r="3" spans="1:7" x14ac:dyDescent="0.25">
      <c r="A3" s="16" t="s">
        <v>196</v>
      </c>
      <c r="B3" s="14"/>
      <c r="C3" s="14"/>
      <c r="D3" s="14"/>
      <c r="E3" s="14"/>
      <c r="F3" s="14"/>
      <c r="G3" s="14"/>
    </row>
    <row r="5" spans="1:7" x14ac:dyDescent="0.25">
      <c r="A5" s="1"/>
      <c r="B5" s="2" t="s">
        <v>263</v>
      </c>
      <c r="C5" s="2" t="s">
        <v>264</v>
      </c>
      <c r="D5" s="2" t="s">
        <v>265</v>
      </c>
      <c r="E5" s="2" t="s">
        <v>266</v>
      </c>
      <c r="F5" s="2" t="s">
        <v>267</v>
      </c>
      <c r="G5" s="2" t="s">
        <v>0</v>
      </c>
    </row>
    <row r="6" spans="1:7" x14ac:dyDescent="0.25">
      <c r="A6" s="3" t="s">
        <v>268</v>
      </c>
      <c r="B6" s="5">
        <f>14.99</f>
        <v>14.99</v>
      </c>
      <c r="C6" s="4"/>
      <c r="D6" s="4"/>
      <c r="E6" s="4"/>
      <c r="F6" s="4"/>
      <c r="G6" s="5">
        <f t="shared" ref="G6:G23" si="0">((((B6)+(C6))+(D6))+(E6))+(F6)</f>
        <v>14.99</v>
      </c>
    </row>
    <row r="7" spans="1:7" x14ac:dyDescent="0.25">
      <c r="A7" s="3" t="s">
        <v>269</v>
      </c>
      <c r="B7" s="4"/>
      <c r="C7" s="4"/>
      <c r="D7" s="4"/>
      <c r="E7" s="4"/>
      <c r="F7" s="5">
        <f>0</f>
        <v>0</v>
      </c>
      <c r="G7" s="5">
        <f t="shared" si="0"/>
        <v>0</v>
      </c>
    </row>
    <row r="8" spans="1:7" x14ac:dyDescent="0.25">
      <c r="A8" s="3" t="s">
        <v>270</v>
      </c>
      <c r="B8" s="5">
        <f>3266.88</f>
        <v>3266.88</v>
      </c>
      <c r="C8" s="4"/>
      <c r="D8" s="4"/>
      <c r="E8" s="4"/>
      <c r="F8" s="4"/>
      <c r="G8" s="5">
        <f t="shared" si="0"/>
        <v>3266.88</v>
      </c>
    </row>
    <row r="9" spans="1:7" x14ac:dyDescent="0.25">
      <c r="A9" s="3" t="s">
        <v>271</v>
      </c>
      <c r="B9" s="5">
        <f>498.75</f>
        <v>498.75</v>
      </c>
      <c r="C9" s="4"/>
      <c r="D9" s="4"/>
      <c r="E9" s="4"/>
      <c r="F9" s="4"/>
      <c r="G9" s="5">
        <f t="shared" si="0"/>
        <v>498.75</v>
      </c>
    </row>
    <row r="10" spans="1:7" x14ac:dyDescent="0.25">
      <c r="A10" s="3" t="s">
        <v>272</v>
      </c>
      <c r="B10" s="5">
        <f>500</f>
        <v>500</v>
      </c>
      <c r="C10" s="4"/>
      <c r="D10" s="4"/>
      <c r="E10" s="4"/>
      <c r="F10" s="4"/>
      <c r="G10" s="5">
        <f t="shared" si="0"/>
        <v>500</v>
      </c>
    </row>
    <row r="11" spans="1:7" x14ac:dyDescent="0.25">
      <c r="A11" s="3" t="s">
        <v>273</v>
      </c>
      <c r="B11" s="5">
        <f>350</f>
        <v>350</v>
      </c>
      <c r="C11" s="4"/>
      <c r="D11" s="4"/>
      <c r="E11" s="4"/>
      <c r="F11" s="4"/>
      <c r="G11" s="5">
        <f t="shared" si="0"/>
        <v>350</v>
      </c>
    </row>
    <row r="12" spans="1:7" x14ac:dyDescent="0.25">
      <c r="A12" s="3" t="s">
        <v>274</v>
      </c>
      <c r="B12" s="5">
        <f>170</f>
        <v>170</v>
      </c>
      <c r="C12" s="4"/>
      <c r="D12" s="4"/>
      <c r="E12" s="4"/>
      <c r="F12" s="4"/>
      <c r="G12" s="5">
        <f t="shared" si="0"/>
        <v>170</v>
      </c>
    </row>
    <row r="13" spans="1:7" x14ac:dyDescent="0.25">
      <c r="A13" s="3" t="s">
        <v>275</v>
      </c>
      <c r="B13" s="5">
        <f>25.28</f>
        <v>25.28</v>
      </c>
      <c r="C13" s="4"/>
      <c r="D13" s="4"/>
      <c r="E13" s="4"/>
      <c r="F13" s="4"/>
      <c r="G13" s="5">
        <f t="shared" si="0"/>
        <v>25.28</v>
      </c>
    </row>
    <row r="14" spans="1:7" x14ac:dyDescent="0.25">
      <c r="A14" s="3" t="s">
        <v>276</v>
      </c>
      <c r="B14" s="5">
        <f>1049.54</f>
        <v>1049.54</v>
      </c>
      <c r="C14" s="4"/>
      <c r="D14" s="4"/>
      <c r="E14" s="4"/>
      <c r="F14" s="5">
        <f>89.91</f>
        <v>89.91</v>
      </c>
      <c r="G14" s="5">
        <f t="shared" si="0"/>
        <v>1139.45</v>
      </c>
    </row>
    <row r="15" spans="1:7" x14ac:dyDescent="0.25">
      <c r="A15" s="3" t="s">
        <v>277</v>
      </c>
      <c r="B15" s="4"/>
      <c r="C15" s="4"/>
      <c r="D15" s="4"/>
      <c r="E15" s="4"/>
      <c r="F15" s="5">
        <f>0</f>
        <v>0</v>
      </c>
      <c r="G15" s="5">
        <f t="shared" si="0"/>
        <v>0</v>
      </c>
    </row>
    <row r="16" spans="1:7" x14ac:dyDescent="0.25">
      <c r="A16" s="3" t="s">
        <v>278</v>
      </c>
      <c r="B16" s="5">
        <f>18.09</f>
        <v>18.09</v>
      </c>
      <c r="C16" s="4"/>
      <c r="D16" s="4"/>
      <c r="E16" s="4"/>
      <c r="F16" s="4"/>
      <c r="G16" s="5">
        <f t="shared" si="0"/>
        <v>18.09</v>
      </c>
    </row>
    <row r="17" spans="1:7" x14ac:dyDescent="0.25">
      <c r="A17" s="3" t="s">
        <v>279</v>
      </c>
      <c r="B17" s="5">
        <f>555.36</f>
        <v>555.36</v>
      </c>
      <c r="C17" s="4"/>
      <c r="D17" s="4"/>
      <c r="E17" s="4"/>
      <c r="F17" s="4"/>
      <c r="G17" s="5">
        <f t="shared" si="0"/>
        <v>555.36</v>
      </c>
    </row>
    <row r="18" spans="1:7" x14ac:dyDescent="0.25">
      <c r="A18" s="3" t="s">
        <v>280</v>
      </c>
      <c r="B18" s="5">
        <f>23.5</f>
        <v>23.5</v>
      </c>
      <c r="C18" s="4"/>
      <c r="D18" s="4"/>
      <c r="E18" s="4"/>
      <c r="F18" s="4"/>
      <c r="G18" s="5">
        <f t="shared" si="0"/>
        <v>23.5</v>
      </c>
    </row>
    <row r="19" spans="1:7" x14ac:dyDescent="0.25">
      <c r="A19" s="3" t="s">
        <v>281</v>
      </c>
      <c r="B19" s="4"/>
      <c r="C19" s="4"/>
      <c r="D19" s="4"/>
      <c r="E19" s="4"/>
      <c r="F19" s="5">
        <f>0</f>
        <v>0</v>
      </c>
      <c r="G19" s="5">
        <f t="shared" si="0"/>
        <v>0</v>
      </c>
    </row>
    <row r="20" spans="1:7" x14ac:dyDescent="0.25">
      <c r="A20" s="3" t="s">
        <v>282</v>
      </c>
      <c r="B20" s="5">
        <f>13.39</f>
        <v>13.39</v>
      </c>
      <c r="C20" s="4"/>
      <c r="D20" s="4"/>
      <c r="E20" s="4"/>
      <c r="F20" s="4"/>
      <c r="G20" s="5">
        <f t="shared" si="0"/>
        <v>13.39</v>
      </c>
    </row>
    <row r="21" spans="1:7" x14ac:dyDescent="0.25">
      <c r="A21" s="3" t="s">
        <v>283</v>
      </c>
      <c r="B21" s="4"/>
      <c r="C21" s="4"/>
      <c r="D21" s="4"/>
      <c r="E21" s="4"/>
      <c r="F21" s="5">
        <f>0</f>
        <v>0</v>
      </c>
      <c r="G21" s="5">
        <f t="shared" si="0"/>
        <v>0</v>
      </c>
    </row>
    <row r="22" spans="1:7" x14ac:dyDescent="0.25">
      <c r="A22" s="3" t="s">
        <v>284</v>
      </c>
      <c r="B22" s="5">
        <f>366.59</f>
        <v>366.59</v>
      </c>
      <c r="C22" s="4"/>
      <c r="D22" s="4"/>
      <c r="E22" s="4"/>
      <c r="F22" s="4"/>
      <c r="G22" s="5">
        <f t="shared" si="0"/>
        <v>366.59</v>
      </c>
    </row>
    <row r="23" spans="1:7" x14ac:dyDescent="0.25">
      <c r="A23" s="3" t="s">
        <v>285</v>
      </c>
      <c r="B23" s="9">
        <f>((((((((((((((((B6)+(B7))+(B8))+(B9))+(B10))+(B11))+(B12))+(B13))+(B14))+(B15))+(B16))+(B17))+(B18))+(B19))+(B20))+(B21))+(B22)</f>
        <v>6852.37</v>
      </c>
      <c r="C23" s="9">
        <f>((((((((((((((((C6)+(C7))+(C8))+(C9))+(C10))+(C11))+(C12))+(C13))+(C14))+(C15))+(C16))+(C17))+(C18))+(C19))+(C20))+(C21))+(C22)</f>
        <v>0</v>
      </c>
      <c r="D23" s="9">
        <f>((((((((((((((((D6)+(D7))+(D8))+(D9))+(D10))+(D11))+(D12))+(D13))+(D14))+(D15))+(D16))+(D17))+(D18))+(D19))+(D20))+(D21))+(D22)</f>
        <v>0</v>
      </c>
      <c r="E23" s="9">
        <f>((((((((((((((((E6)+(E7))+(E8))+(E9))+(E10))+(E11))+(E12))+(E13))+(E14))+(E15))+(E16))+(E17))+(E18))+(E19))+(E20))+(E21))+(E22)</f>
        <v>0</v>
      </c>
      <c r="F23" s="9">
        <f>((((((((((((((((F6)+(F7))+(F8))+(F9))+(F10))+(F11))+(F12))+(F13))+(F14))+(F15))+(F16))+(F17))+(F18))+(F19))+(F20))+(F21))+(F22)</f>
        <v>89.91</v>
      </c>
      <c r="G23" s="9">
        <f t="shared" si="0"/>
        <v>6942.28</v>
      </c>
    </row>
    <row r="24" spans="1:7" x14ac:dyDescent="0.25">
      <c r="A24" s="3"/>
      <c r="B24" s="4"/>
      <c r="C24" s="4"/>
      <c r="D24" s="4"/>
      <c r="E24" s="4"/>
      <c r="F24" s="4"/>
      <c r="G24" s="4"/>
    </row>
    <row r="27" spans="1:7" x14ac:dyDescent="0.25">
      <c r="A27" s="13" t="s">
        <v>286</v>
      </c>
      <c r="B27" s="14"/>
      <c r="C27" s="14"/>
      <c r="D27" s="14"/>
      <c r="E27" s="14"/>
      <c r="F27" s="14"/>
      <c r="G27" s="14"/>
    </row>
  </sheetData>
  <mergeCells count="4">
    <mergeCell ref="A1:G1"/>
    <mergeCell ref="A2:G2"/>
    <mergeCell ref="A3:G3"/>
    <mergeCell ref="A27:G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0C0B-19FE-407A-AF53-A07BFBF59467}">
  <dimension ref="A1:G18"/>
  <sheetViews>
    <sheetView workbookViewId="0">
      <selection sqref="A1:G18"/>
    </sheetView>
  </sheetViews>
  <sheetFormatPr defaultRowHeight="15" x14ac:dyDescent="0.25"/>
  <cols>
    <col min="1" max="1" width="25.7109375" customWidth="1"/>
    <col min="2" max="7" width="12.85546875" customWidth="1"/>
  </cols>
  <sheetData>
    <row r="1" spans="1:7" ht="18" x14ac:dyDescent="0.25">
      <c r="A1" s="15" t="s">
        <v>174</v>
      </c>
      <c r="B1" s="14"/>
      <c r="C1" s="14"/>
      <c r="D1" s="14"/>
      <c r="E1" s="14"/>
      <c r="F1" s="14"/>
      <c r="G1" s="14"/>
    </row>
    <row r="2" spans="1:7" ht="18" x14ac:dyDescent="0.25">
      <c r="A2" s="15" t="s">
        <v>287</v>
      </c>
      <c r="B2" s="14"/>
      <c r="C2" s="14"/>
      <c r="D2" s="14"/>
      <c r="E2" s="14"/>
      <c r="F2" s="14"/>
      <c r="G2" s="14"/>
    </row>
    <row r="3" spans="1:7" x14ac:dyDescent="0.25">
      <c r="A3" s="16" t="s">
        <v>196</v>
      </c>
      <c r="B3" s="14"/>
      <c r="C3" s="14"/>
      <c r="D3" s="14"/>
      <c r="E3" s="14"/>
      <c r="F3" s="14"/>
      <c r="G3" s="14"/>
    </row>
    <row r="5" spans="1:7" x14ac:dyDescent="0.25">
      <c r="A5" s="1"/>
      <c r="B5" s="2" t="s">
        <v>263</v>
      </c>
      <c r="C5" s="2" t="s">
        <v>264</v>
      </c>
      <c r="D5" s="2" t="s">
        <v>265</v>
      </c>
      <c r="E5" s="2" t="s">
        <v>266</v>
      </c>
      <c r="F5" s="2" t="s">
        <v>267</v>
      </c>
      <c r="G5" s="2" t="s">
        <v>0</v>
      </c>
    </row>
    <row r="6" spans="1:7" x14ac:dyDescent="0.25">
      <c r="A6" s="3" t="s">
        <v>288</v>
      </c>
      <c r="B6" s="4"/>
      <c r="C6" s="5">
        <f>200</f>
        <v>200</v>
      </c>
      <c r="D6" s="4"/>
      <c r="E6" s="4"/>
      <c r="F6" s="5">
        <f>0</f>
        <v>0</v>
      </c>
      <c r="G6" s="5">
        <f t="shared" ref="G6:G14" si="0">((((B6)+(C6))+(D6))+(E6))+(F6)</f>
        <v>200</v>
      </c>
    </row>
    <row r="7" spans="1:7" x14ac:dyDescent="0.25">
      <c r="A7" s="3" t="s">
        <v>289</v>
      </c>
      <c r="B7" s="4"/>
      <c r="C7" s="4"/>
      <c r="D7" s="4"/>
      <c r="E7" s="4"/>
      <c r="F7" s="5">
        <f>0</f>
        <v>0</v>
      </c>
      <c r="G7" s="5">
        <f t="shared" si="0"/>
        <v>0</v>
      </c>
    </row>
    <row r="8" spans="1:7" x14ac:dyDescent="0.25">
      <c r="A8" s="3" t="s">
        <v>290</v>
      </c>
      <c r="B8" s="4"/>
      <c r="C8" s="4"/>
      <c r="D8" s="4"/>
      <c r="E8" s="4"/>
      <c r="F8" s="5">
        <f>0</f>
        <v>0</v>
      </c>
      <c r="G8" s="5">
        <f t="shared" si="0"/>
        <v>0</v>
      </c>
    </row>
    <row r="9" spans="1:7" x14ac:dyDescent="0.25">
      <c r="A9" s="3" t="s">
        <v>291</v>
      </c>
      <c r="B9" s="4"/>
      <c r="C9" s="5">
        <f>-13.1</f>
        <v>-13.1</v>
      </c>
      <c r="D9" s="4"/>
      <c r="E9" s="4"/>
      <c r="F9" s="5">
        <f>13.1</f>
        <v>13.1</v>
      </c>
      <c r="G9" s="5">
        <f t="shared" si="0"/>
        <v>0</v>
      </c>
    </row>
    <row r="10" spans="1:7" x14ac:dyDescent="0.25">
      <c r="A10" s="3" t="s">
        <v>292</v>
      </c>
      <c r="B10" s="4"/>
      <c r="C10" s="4"/>
      <c r="D10" s="4"/>
      <c r="E10" s="4"/>
      <c r="F10" s="5">
        <f>0</f>
        <v>0</v>
      </c>
      <c r="G10" s="5">
        <f t="shared" si="0"/>
        <v>0</v>
      </c>
    </row>
    <row r="11" spans="1:7" x14ac:dyDescent="0.25">
      <c r="A11" s="3" t="s">
        <v>293</v>
      </c>
      <c r="B11" s="4"/>
      <c r="C11" s="4"/>
      <c r="D11" s="4"/>
      <c r="E11" s="4"/>
      <c r="F11" s="5">
        <f>0</f>
        <v>0</v>
      </c>
      <c r="G11" s="5">
        <f t="shared" si="0"/>
        <v>0</v>
      </c>
    </row>
    <row r="12" spans="1:7" x14ac:dyDescent="0.25">
      <c r="A12" s="3" t="s">
        <v>294</v>
      </c>
      <c r="B12" s="4"/>
      <c r="C12" s="5">
        <f>-88.15</f>
        <v>-88.15</v>
      </c>
      <c r="D12" s="4"/>
      <c r="E12" s="4"/>
      <c r="F12" s="5">
        <f>88.15</f>
        <v>88.15</v>
      </c>
      <c r="G12" s="5">
        <f t="shared" si="0"/>
        <v>0</v>
      </c>
    </row>
    <row r="13" spans="1:7" x14ac:dyDescent="0.25">
      <c r="A13" s="3" t="s">
        <v>295</v>
      </c>
      <c r="B13" s="4"/>
      <c r="C13" s="4"/>
      <c r="D13" s="4"/>
      <c r="E13" s="4"/>
      <c r="F13" s="5">
        <f>0</f>
        <v>0</v>
      </c>
      <c r="G13" s="5">
        <f t="shared" si="0"/>
        <v>0</v>
      </c>
    </row>
    <row r="14" spans="1:7" x14ac:dyDescent="0.25">
      <c r="A14" s="3" t="s">
        <v>285</v>
      </c>
      <c r="B14" s="9">
        <f>(((((((B6)+(B7))+(B8))+(B9))+(B10))+(B11))+(B12))+(B13)</f>
        <v>0</v>
      </c>
      <c r="C14" s="9">
        <f>(((((((C6)+(C7))+(C8))+(C9))+(C10))+(C11))+(C12))+(C13)</f>
        <v>98.75</v>
      </c>
      <c r="D14" s="9">
        <f>(((((((D6)+(D7))+(D8))+(D9))+(D10))+(D11))+(D12))+(D13)</f>
        <v>0</v>
      </c>
      <c r="E14" s="9">
        <f>(((((((E6)+(E7))+(E8))+(E9))+(E10))+(E11))+(E12))+(E13)</f>
        <v>0</v>
      </c>
      <c r="F14" s="9">
        <f>(((((((F6)+(F7))+(F8))+(F9))+(F10))+(F11))+(F12))+(F13)</f>
        <v>101.25</v>
      </c>
      <c r="G14" s="9">
        <f t="shared" si="0"/>
        <v>200</v>
      </c>
    </row>
    <row r="15" spans="1:7" x14ac:dyDescent="0.25">
      <c r="A15" s="3"/>
      <c r="B15" s="4"/>
      <c r="C15" s="4"/>
      <c r="D15" s="4"/>
      <c r="E15" s="4"/>
      <c r="F15" s="4"/>
      <c r="G15" s="4"/>
    </row>
    <row r="18" spans="1:7" x14ac:dyDescent="0.25">
      <c r="A18" s="13" t="s">
        <v>296</v>
      </c>
      <c r="B18" s="14"/>
      <c r="C18" s="14"/>
      <c r="D18" s="14"/>
      <c r="E18" s="14"/>
      <c r="F18" s="14"/>
      <c r="G18" s="14"/>
    </row>
  </sheetData>
  <mergeCells count="4">
    <mergeCell ref="A1:G1"/>
    <mergeCell ref="A2:G2"/>
    <mergeCell ref="A3:G3"/>
    <mergeCell ref="A18:G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B2153-5637-461C-9A79-F8EDB4CB10A6}">
  <dimension ref="A1:I31"/>
  <sheetViews>
    <sheetView topLeftCell="A24" workbookViewId="0">
      <selection activeCell="A2" sqref="A2:I2"/>
    </sheetView>
  </sheetViews>
  <sheetFormatPr defaultRowHeight="15" x14ac:dyDescent="0.25"/>
  <sheetData>
    <row r="1" spans="1:9" x14ac:dyDescent="0.25">
      <c r="A1" s="17" t="s">
        <v>361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7" t="s">
        <v>297</v>
      </c>
      <c r="B2" s="14"/>
      <c r="C2" s="14"/>
      <c r="D2" s="14"/>
      <c r="E2" s="14"/>
      <c r="F2" s="14"/>
      <c r="G2" s="14"/>
      <c r="H2" s="14"/>
      <c r="I2" s="14"/>
    </row>
    <row r="3" spans="1:9" ht="34.5" x14ac:dyDescent="0.25">
      <c r="A3" s="18" t="s">
        <v>298</v>
      </c>
      <c r="B3" s="18" t="s">
        <v>299</v>
      </c>
      <c r="C3" s="18" t="s">
        <v>300</v>
      </c>
      <c r="D3" s="18" t="s">
        <v>301</v>
      </c>
      <c r="E3" s="18" t="s">
        <v>302</v>
      </c>
      <c r="F3" s="18" t="s">
        <v>303</v>
      </c>
      <c r="G3" s="18" t="s">
        <v>304</v>
      </c>
      <c r="H3" s="18" t="s">
        <v>305</v>
      </c>
      <c r="I3" s="18" t="s">
        <v>306</v>
      </c>
    </row>
    <row r="4" spans="1:9" ht="23.25" x14ac:dyDescent="0.25">
      <c r="A4" s="19" t="s">
        <v>307</v>
      </c>
      <c r="B4" s="19"/>
      <c r="C4" s="19" t="s">
        <v>308</v>
      </c>
      <c r="D4" s="19" t="s">
        <v>309</v>
      </c>
      <c r="E4" s="19" t="s">
        <v>310</v>
      </c>
      <c r="F4" s="20">
        <v>100.43</v>
      </c>
      <c r="G4" s="19"/>
      <c r="H4" s="19"/>
      <c r="I4" s="20">
        <v>-646.14</v>
      </c>
    </row>
    <row r="5" spans="1:9" ht="45.75" x14ac:dyDescent="0.25">
      <c r="A5" s="19" t="s">
        <v>311</v>
      </c>
      <c r="B5" s="19"/>
      <c r="C5" s="19" t="s">
        <v>308</v>
      </c>
      <c r="D5" s="19" t="s">
        <v>312</v>
      </c>
      <c r="E5" s="19" t="s">
        <v>313</v>
      </c>
      <c r="F5" s="20">
        <v>180</v>
      </c>
      <c r="G5" s="19"/>
      <c r="H5" s="19"/>
      <c r="I5" s="20">
        <v>-545.71</v>
      </c>
    </row>
    <row r="6" spans="1:9" ht="23.25" x14ac:dyDescent="0.25">
      <c r="A6" s="19" t="s">
        <v>314</v>
      </c>
      <c r="B6" s="19"/>
      <c r="C6" s="19" t="s">
        <v>308</v>
      </c>
      <c r="D6" s="19" t="s">
        <v>315</v>
      </c>
      <c r="E6" s="19" t="s">
        <v>316</v>
      </c>
      <c r="F6" s="20">
        <v>9</v>
      </c>
      <c r="G6" s="19"/>
      <c r="H6" s="19"/>
      <c r="I6" s="20">
        <v>-365.71</v>
      </c>
    </row>
    <row r="7" spans="1:9" ht="23.25" x14ac:dyDescent="0.25">
      <c r="A7" s="19" t="s">
        <v>317</v>
      </c>
      <c r="B7" s="19"/>
      <c r="C7" s="19" t="s">
        <v>308</v>
      </c>
      <c r="D7" s="19" t="s">
        <v>318</v>
      </c>
      <c r="E7" s="19" t="s">
        <v>319</v>
      </c>
      <c r="F7" s="20">
        <v>69.61</v>
      </c>
      <c r="G7" s="19"/>
      <c r="H7" s="19"/>
      <c r="I7" s="20">
        <v>-356.71</v>
      </c>
    </row>
    <row r="8" spans="1:9" ht="23.25" x14ac:dyDescent="0.25">
      <c r="A8" s="19" t="s">
        <v>320</v>
      </c>
      <c r="B8" s="19"/>
      <c r="C8" s="19" t="s">
        <v>308</v>
      </c>
      <c r="D8" s="19" t="s">
        <v>318</v>
      </c>
      <c r="E8" s="19" t="s">
        <v>321</v>
      </c>
      <c r="F8" s="20">
        <v>11.37</v>
      </c>
      <c r="G8" s="19"/>
      <c r="H8" s="19"/>
      <c r="I8" s="20">
        <v>-287.10000000000002</v>
      </c>
    </row>
    <row r="9" spans="1:9" ht="34.5" x14ac:dyDescent="0.25">
      <c r="A9" s="19" t="s">
        <v>322</v>
      </c>
      <c r="B9" s="19"/>
      <c r="C9" s="19" t="s">
        <v>308</v>
      </c>
      <c r="D9" s="19" t="s">
        <v>281</v>
      </c>
      <c r="E9" s="19" t="s">
        <v>319</v>
      </c>
      <c r="F9" s="20">
        <v>38.9</v>
      </c>
      <c r="G9" s="19"/>
      <c r="H9" s="19"/>
      <c r="I9" s="20">
        <v>-275.73</v>
      </c>
    </row>
    <row r="10" spans="1:9" ht="45.75" x14ac:dyDescent="0.25">
      <c r="A10" s="19" t="s">
        <v>322</v>
      </c>
      <c r="B10" s="19"/>
      <c r="C10" s="19" t="s">
        <v>308</v>
      </c>
      <c r="D10" s="19" t="s">
        <v>323</v>
      </c>
      <c r="E10" s="19" t="s">
        <v>324</v>
      </c>
      <c r="F10" s="20">
        <v>4.3499999999999996</v>
      </c>
      <c r="G10" s="19"/>
      <c r="H10" s="19"/>
      <c r="I10" s="20">
        <v>-236.83</v>
      </c>
    </row>
    <row r="11" spans="1:9" ht="45.75" x14ac:dyDescent="0.25">
      <c r="A11" s="19" t="s">
        <v>325</v>
      </c>
      <c r="B11" s="19"/>
      <c r="C11" s="19" t="s">
        <v>308</v>
      </c>
      <c r="D11" s="19" t="s">
        <v>323</v>
      </c>
      <c r="E11" s="19" t="s">
        <v>326</v>
      </c>
      <c r="F11" s="20">
        <v>5.4</v>
      </c>
      <c r="G11" s="19"/>
      <c r="H11" s="19"/>
      <c r="I11" s="20">
        <v>-232.48</v>
      </c>
    </row>
    <row r="12" spans="1:9" ht="45.75" x14ac:dyDescent="0.25">
      <c r="A12" s="19" t="s">
        <v>325</v>
      </c>
      <c r="B12" s="19" t="s">
        <v>327</v>
      </c>
      <c r="C12" s="19" t="s">
        <v>308</v>
      </c>
      <c r="D12" s="19" t="s">
        <v>328</v>
      </c>
      <c r="E12" s="19" t="s">
        <v>313</v>
      </c>
      <c r="F12" s="20">
        <v>205</v>
      </c>
      <c r="G12" s="19"/>
      <c r="H12" s="19"/>
      <c r="I12" s="20">
        <v>-227.08</v>
      </c>
    </row>
    <row r="13" spans="1:9" ht="34.5" x14ac:dyDescent="0.25">
      <c r="A13" s="19" t="s">
        <v>329</v>
      </c>
      <c r="B13" s="19"/>
      <c r="C13" s="19" t="s">
        <v>308</v>
      </c>
      <c r="D13" s="19" t="s">
        <v>330</v>
      </c>
      <c r="E13" s="19" t="s">
        <v>331</v>
      </c>
      <c r="F13" s="20">
        <v>11.25</v>
      </c>
      <c r="G13" s="19"/>
      <c r="H13" s="19"/>
      <c r="I13" s="20">
        <v>-22.08</v>
      </c>
    </row>
    <row r="14" spans="1:9" x14ac:dyDescent="0.25">
      <c r="A14" s="19" t="s">
        <v>332</v>
      </c>
      <c r="B14" s="19"/>
      <c r="C14" s="19" t="s">
        <v>308</v>
      </c>
      <c r="D14" s="19"/>
      <c r="E14" s="19"/>
      <c r="F14" s="19"/>
      <c r="G14" s="19">
        <v>0</v>
      </c>
      <c r="H14" s="19"/>
      <c r="I14" s="20">
        <v>-10.83</v>
      </c>
    </row>
    <row r="15" spans="1:9" ht="34.5" x14ac:dyDescent="0.25">
      <c r="A15" s="19" t="s">
        <v>333</v>
      </c>
      <c r="B15" s="19"/>
      <c r="C15" s="19" t="s">
        <v>308</v>
      </c>
      <c r="D15" s="19" t="s">
        <v>334</v>
      </c>
      <c r="E15" s="19" t="s">
        <v>331</v>
      </c>
      <c r="F15" s="20">
        <v>69</v>
      </c>
      <c r="G15" s="19"/>
      <c r="H15" s="19"/>
      <c r="I15" s="20">
        <v>-10.83</v>
      </c>
    </row>
    <row r="16" spans="1:9" ht="23.25" x14ac:dyDescent="0.25">
      <c r="A16" s="19" t="s">
        <v>335</v>
      </c>
      <c r="B16" s="19"/>
      <c r="C16" s="19" t="s">
        <v>308</v>
      </c>
      <c r="D16" s="19" t="s">
        <v>318</v>
      </c>
      <c r="E16" s="19" t="s">
        <v>321</v>
      </c>
      <c r="F16" s="20">
        <v>29.45</v>
      </c>
      <c r="G16" s="19"/>
      <c r="H16" s="19" t="s">
        <v>336</v>
      </c>
      <c r="I16" s="20">
        <v>58.17</v>
      </c>
    </row>
    <row r="17" spans="1:9" ht="45.75" x14ac:dyDescent="0.25">
      <c r="A17" s="19" t="s">
        <v>337</v>
      </c>
      <c r="B17" s="19"/>
      <c r="C17" s="19" t="s">
        <v>308</v>
      </c>
      <c r="D17" s="19" t="s">
        <v>338</v>
      </c>
      <c r="E17" s="19" t="s">
        <v>339</v>
      </c>
      <c r="F17" s="20">
        <v>174.98</v>
      </c>
      <c r="G17" s="19"/>
      <c r="H17" s="19" t="s">
        <v>336</v>
      </c>
      <c r="I17" s="20">
        <v>87.62</v>
      </c>
    </row>
    <row r="18" spans="1:9" ht="23.25" x14ac:dyDescent="0.25">
      <c r="A18" s="19" t="s">
        <v>340</v>
      </c>
      <c r="B18" s="19"/>
      <c r="C18" s="19" t="s">
        <v>308</v>
      </c>
      <c r="D18" s="19" t="s">
        <v>341</v>
      </c>
      <c r="E18" s="19" t="s">
        <v>319</v>
      </c>
      <c r="F18" s="20">
        <v>27.45</v>
      </c>
      <c r="G18" s="19"/>
      <c r="H18" s="19" t="s">
        <v>336</v>
      </c>
      <c r="I18" s="20">
        <v>262.60000000000002</v>
      </c>
    </row>
    <row r="19" spans="1:9" ht="23.25" x14ac:dyDescent="0.25">
      <c r="A19" s="19" t="s">
        <v>340</v>
      </c>
      <c r="B19" s="19"/>
      <c r="C19" s="19" t="s">
        <v>308</v>
      </c>
      <c r="D19" s="19" t="s">
        <v>342</v>
      </c>
      <c r="E19" s="19" t="s">
        <v>321</v>
      </c>
      <c r="F19" s="20">
        <v>0.99</v>
      </c>
      <c r="G19" s="19"/>
      <c r="H19" s="19"/>
      <c r="I19" s="20">
        <v>290.05</v>
      </c>
    </row>
    <row r="20" spans="1:9" ht="23.25" x14ac:dyDescent="0.25">
      <c r="A20" s="19" t="s">
        <v>340</v>
      </c>
      <c r="B20" s="19"/>
      <c r="C20" s="19" t="s">
        <v>308</v>
      </c>
      <c r="D20" s="19" t="s">
        <v>342</v>
      </c>
      <c r="E20" s="19" t="s">
        <v>321</v>
      </c>
      <c r="F20" s="20">
        <v>0.99</v>
      </c>
      <c r="G20" s="19"/>
      <c r="H20" s="19" t="s">
        <v>336</v>
      </c>
      <c r="I20" s="20">
        <v>291.04000000000002</v>
      </c>
    </row>
    <row r="21" spans="1:9" ht="23.25" x14ac:dyDescent="0.25">
      <c r="A21" s="19" t="s">
        <v>343</v>
      </c>
      <c r="B21" s="19"/>
      <c r="C21" s="19" t="s">
        <v>308</v>
      </c>
      <c r="D21" s="19" t="s">
        <v>344</v>
      </c>
      <c r="E21" s="19" t="s">
        <v>316</v>
      </c>
      <c r="F21" s="20">
        <v>120</v>
      </c>
      <c r="G21" s="19"/>
      <c r="H21" s="19" t="s">
        <v>336</v>
      </c>
      <c r="I21" s="20">
        <v>292.02999999999997</v>
      </c>
    </row>
    <row r="22" spans="1:9" ht="34.5" x14ac:dyDescent="0.25">
      <c r="A22" s="19" t="s">
        <v>345</v>
      </c>
      <c r="B22" s="19"/>
      <c r="C22" s="19" t="s">
        <v>308</v>
      </c>
      <c r="D22" s="19" t="s">
        <v>346</v>
      </c>
      <c r="E22" s="19" t="s">
        <v>347</v>
      </c>
      <c r="F22" s="20">
        <v>43.78</v>
      </c>
      <c r="G22" s="19"/>
      <c r="H22" s="19" t="s">
        <v>336</v>
      </c>
      <c r="I22" s="20">
        <v>412.03</v>
      </c>
    </row>
    <row r="23" spans="1:9" ht="34.5" x14ac:dyDescent="0.25">
      <c r="A23" s="19" t="s">
        <v>348</v>
      </c>
      <c r="B23" s="19"/>
      <c r="C23" s="19" t="s">
        <v>308</v>
      </c>
      <c r="D23" s="19" t="s">
        <v>349</v>
      </c>
      <c r="E23" s="19"/>
      <c r="F23" s="20">
        <v>10</v>
      </c>
      <c r="G23" s="19"/>
      <c r="H23" s="19" t="s">
        <v>336</v>
      </c>
      <c r="I23" s="20">
        <v>455.81</v>
      </c>
    </row>
    <row r="24" spans="1:9" ht="34.5" x14ac:dyDescent="0.25">
      <c r="A24" s="19" t="s">
        <v>348</v>
      </c>
      <c r="B24" s="19"/>
      <c r="C24" s="19" t="s">
        <v>308</v>
      </c>
      <c r="D24" s="19" t="s">
        <v>349</v>
      </c>
      <c r="E24" s="19"/>
      <c r="F24" s="20">
        <v>25</v>
      </c>
      <c r="G24" s="19"/>
      <c r="H24" s="19" t="s">
        <v>336</v>
      </c>
      <c r="I24" s="20">
        <v>465.81</v>
      </c>
    </row>
    <row r="25" spans="1:9" ht="45.75" x14ac:dyDescent="0.25">
      <c r="A25" s="19" t="s">
        <v>348</v>
      </c>
      <c r="B25" s="19"/>
      <c r="C25" s="19" t="s">
        <v>308</v>
      </c>
      <c r="D25" s="19" t="s">
        <v>312</v>
      </c>
      <c r="E25" s="19" t="s">
        <v>313</v>
      </c>
      <c r="F25" s="20">
        <v>180</v>
      </c>
      <c r="G25" s="19"/>
      <c r="H25" s="19" t="s">
        <v>336</v>
      </c>
      <c r="I25" s="20">
        <v>490.81</v>
      </c>
    </row>
    <row r="26" spans="1:9" ht="68.25" x14ac:dyDescent="0.25">
      <c r="A26" s="19" t="s">
        <v>350</v>
      </c>
      <c r="B26" s="19"/>
      <c r="C26" s="19" t="s">
        <v>351</v>
      </c>
      <c r="D26" s="19" t="s">
        <v>352</v>
      </c>
      <c r="E26" s="19" t="s">
        <v>353</v>
      </c>
      <c r="F26" s="19"/>
      <c r="G26" s="20">
        <v>6186.42</v>
      </c>
      <c r="H26" s="19" t="s">
        <v>354</v>
      </c>
      <c r="I26" s="20">
        <v>670.81</v>
      </c>
    </row>
    <row r="27" spans="1:9" ht="23.25" x14ac:dyDescent="0.25">
      <c r="A27" s="19" t="s">
        <v>350</v>
      </c>
      <c r="B27" s="19"/>
      <c r="C27" s="19" t="s">
        <v>308</v>
      </c>
      <c r="D27" s="19" t="s">
        <v>355</v>
      </c>
      <c r="E27" s="19" t="s">
        <v>356</v>
      </c>
      <c r="F27" s="20">
        <v>75</v>
      </c>
      <c r="G27" s="19"/>
      <c r="H27" s="19" t="s">
        <v>336</v>
      </c>
      <c r="I27" s="20">
        <v>-5515.61</v>
      </c>
    </row>
    <row r="28" spans="1:9" ht="23.25" x14ac:dyDescent="0.25">
      <c r="A28" s="19" t="s">
        <v>350</v>
      </c>
      <c r="B28" s="19"/>
      <c r="C28" s="19" t="s">
        <v>308</v>
      </c>
      <c r="D28" s="19" t="s">
        <v>357</v>
      </c>
      <c r="E28" s="19"/>
      <c r="F28" s="20">
        <v>541.86</v>
      </c>
      <c r="G28" s="19"/>
      <c r="H28" s="19" t="s">
        <v>336</v>
      </c>
      <c r="I28" s="20">
        <v>-5440.61</v>
      </c>
    </row>
    <row r="29" spans="1:9" ht="23.25" x14ac:dyDescent="0.25">
      <c r="A29" s="19" t="s">
        <v>350</v>
      </c>
      <c r="B29" s="19"/>
      <c r="C29" s="19" t="s">
        <v>308</v>
      </c>
      <c r="D29" s="19" t="s">
        <v>282</v>
      </c>
      <c r="E29" s="19" t="s">
        <v>316</v>
      </c>
      <c r="F29" s="20">
        <v>130</v>
      </c>
      <c r="G29" s="19"/>
      <c r="H29" s="19" t="s">
        <v>336</v>
      </c>
      <c r="I29" s="20">
        <v>-4898.75</v>
      </c>
    </row>
    <row r="30" spans="1:9" ht="34.5" x14ac:dyDescent="0.25">
      <c r="A30" s="19" t="s">
        <v>358</v>
      </c>
      <c r="B30" s="19"/>
      <c r="C30" s="19" t="s">
        <v>308</v>
      </c>
      <c r="D30" s="19" t="s">
        <v>359</v>
      </c>
      <c r="E30" s="19" t="s">
        <v>360</v>
      </c>
      <c r="F30" s="20">
        <v>70</v>
      </c>
      <c r="G30" s="19"/>
      <c r="H30" s="19" t="s">
        <v>336</v>
      </c>
      <c r="I30" s="20">
        <v>-4768.75</v>
      </c>
    </row>
    <row r="31" spans="1:9" ht="23.25" x14ac:dyDescent="0.25">
      <c r="A31" s="19" t="s">
        <v>358</v>
      </c>
      <c r="B31" s="19"/>
      <c r="C31" s="19" t="s">
        <v>308</v>
      </c>
      <c r="D31" s="19" t="s">
        <v>315</v>
      </c>
      <c r="E31" s="19" t="s">
        <v>316</v>
      </c>
      <c r="F31" s="20">
        <v>9</v>
      </c>
      <c r="G31" s="19"/>
      <c r="H31" s="19" t="s">
        <v>336</v>
      </c>
      <c r="I31" s="20">
        <v>-4698.75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BVA Expanded</vt:lpstr>
      <vt:lpstr>BVA Collapsed</vt:lpstr>
      <vt:lpstr>SOA Expanded</vt:lpstr>
      <vt:lpstr>SOA Collapsed</vt:lpstr>
      <vt:lpstr>SOF</vt:lpstr>
      <vt:lpstr>AP</vt:lpstr>
      <vt:lpstr>AR</vt:lpstr>
      <vt:lpstr>BOA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Relay</cp:lastModifiedBy>
  <dcterms:created xsi:type="dcterms:W3CDTF">2023-05-08T17:49:40Z</dcterms:created>
  <dcterms:modified xsi:type="dcterms:W3CDTF">2023-05-08T23:27:15Z</dcterms:modified>
</cp:coreProperties>
</file>