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valdezmuseum-my.sharepoint.com/personal/prelay_valdezmuseum_org/Documents/BOARD/BOD Reports/2023/"/>
    </mc:Choice>
  </mc:AlternateContent>
  <xr:revisionPtr revIDLastSave="185" documentId="8_{03377773-F2F6-43B3-8516-B4E74A0BFC9C}" xr6:coauthVersionLast="47" xr6:coauthVersionMax="47" xr10:uidLastSave="{E91B6C89-5983-491A-BDD2-CAF677DE5DAA}"/>
  <bookViews>
    <workbookView xWindow="-120" yWindow="-120" windowWidth="29040" windowHeight="15840" activeTab="4" xr2:uid="{00000000-000D-0000-FFFF-FFFF00000000}"/>
  </bookViews>
  <sheets>
    <sheet name="BVA Expanded" sheetId="1" r:id="rId1"/>
    <sheet name="BVA Collapsed " sheetId="2" r:id="rId2"/>
    <sheet name="SOA PYC Expanded" sheetId="3" r:id="rId3"/>
    <sheet name="SOA PYC Collapsed" sheetId="4" r:id="rId4"/>
    <sheet name="SOF Collapsed" sheetId="5" r:id="rId5"/>
    <sheet name="AP" sheetId="6" r:id="rId6"/>
    <sheet name="AR" sheetId="7" r:id="rId7"/>
    <sheet name="BOA" sheetId="8" r:id="rId8"/>
  </sheets>
  <calcPr calcId="19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7" i="5" l="1"/>
  <c r="K34" i="5"/>
  <c r="J34" i="5"/>
  <c r="K33" i="5"/>
  <c r="J33" i="5"/>
  <c r="K32" i="5"/>
  <c r="J32" i="5"/>
  <c r="K11" i="5"/>
  <c r="J11" i="5"/>
  <c r="K10" i="5"/>
  <c r="J10" i="5"/>
  <c r="K9" i="5"/>
  <c r="J9" i="5"/>
  <c r="J38" i="4"/>
  <c r="I38" i="4"/>
  <c r="J37" i="4"/>
  <c r="I37" i="4"/>
  <c r="J36" i="4"/>
  <c r="I36" i="4"/>
  <c r="J35" i="4"/>
  <c r="I35" i="4"/>
  <c r="J15" i="4"/>
  <c r="I15" i="4"/>
  <c r="J14" i="4"/>
  <c r="I14" i="4"/>
  <c r="J13" i="4"/>
  <c r="I13" i="4"/>
  <c r="K37" i="2"/>
  <c r="J37" i="2"/>
  <c r="K36" i="2"/>
  <c r="J36" i="2"/>
  <c r="K35" i="2"/>
  <c r="J35" i="2"/>
  <c r="K34" i="2"/>
  <c r="J34" i="2"/>
  <c r="K12" i="2"/>
  <c r="J12" i="2"/>
  <c r="K11" i="2"/>
  <c r="J11" i="2"/>
  <c r="K10" i="2"/>
  <c r="J10" i="2"/>
  <c r="E33" i="7"/>
  <c r="D33" i="7"/>
  <c r="F32" i="7"/>
  <c r="G32" i="7" s="1"/>
  <c r="F31" i="7"/>
  <c r="G31" i="7" s="1"/>
  <c r="F30" i="7"/>
  <c r="G30" i="7" s="1"/>
  <c r="E30" i="7"/>
  <c r="C29" i="7"/>
  <c r="G29" i="7" s="1"/>
  <c r="F28" i="7"/>
  <c r="G28" i="7" s="1"/>
  <c r="F27" i="7"/>
  <c r="G27" i="7" s="1"/>
  <c r="F26" i="7"/>
  <c r="F33" i="7" s="1"/>
  <c r="B26" i="7"/>
  <c r="B33" i="7" s="1"/>
  <c r="E15" i="7"/>
  <c r="D15" i="7"/>
  <c r="C15" i="7"/>
  <c r="B15" i="7"/>
  <c r="G15" i="7" s="1"/>
  <c r="F14" i="7"/>
  <c r="G14" i="7" s="1"/>
  <c r="F13" i="7"/>
  <c r="G13" i="7" s="1"/>
  <c r="F12" i="7"/>
  <c r="G12" i="7" s="1"/>
  <c r="B11" i="7"/>
  <c r="G11" i="7" s="1"/>
  <c r="F10" i="7"/>
  <c r="G10" i="7" s="1"/>
  <c r="F9" i="7"/>
  <c r="G9" i="7" s="1"/>
  <c r="F8" i="7"/>
  <c r="G8" i="7" s="1"/>
  <c r="F7" i="7"/>
  <c r="G7" i="7" s="1"/>
  <c r="F6" i="7"/>
  <c r="F15" i="7" s="1"/>
  <c r="C6" i="7"/>
  <c r="L19" i="6"/>
  <c r="K19" i="6"/>
  <c r="J18" i="6"/>
  <c r="O18" i="6" s="1"/>
  <c r="N17" i="6"/>
  <c r="O17" i="6" s="1"/>
  <c r="J16" i="6"/>
  <c r="O16" i="6" s="1"/>
  <c r="N15" i="6"/>
  <c r="O15" i="6" s="1"/>
  <c r="J14" i="6"/>
  <c r="O14" i="6" s="1"/>
  <c r="J13" i="6"/>
  <c r="O13" i="6" s="1"/>
  <c r="N12" i="6"/>
  <c r="O12" i="6" s="1"/>
  <c r="N11" i="6"/>
  <c r="M11" i="6"/>
  <c r="M19" i="6" s="1"/>
  <c r="J11" i="6"/>
  <c r="O11" i="6" s="1"/>
  <c r="J10" i="6"/>
  <c r="O10" i="6" s="1"/>
  <c r="J9" i="6"/>
  <c r="O9" i="6" s="1"/>
  <c r="J8" i="6"/>
  <c r="O8" i="6" s="1"/>
  <c r="J7" i="6"/>
  <c r="J19" i="6" s="1"/>
  <c r="N6" i="6"/>
  <c r="N19" i="6" s="1"/>
  <c r="E17" i="6"/>
  <c r="D17" i="6"/>
  <c r="C17" i="6"/>
  <c r="B16" i="6"/>
  <c r="G16" i="6" s="1"/>
  <c r="F15" i="6"/>
  <c r="G15" i="6" s="1"/>
  <c r="F14" i="6"/>
  <c r="G14" i="6" s="1"/>
  <c r="F13" i="6"/>
  <c r="G13" i="6" s="1"/>
  <c r="F12" i="6"/>
  <c r="B12" i="6"/>
  <c r="G12" i="6" s="1"/>
  <c r="B11" i="6"/>
  <c r="G11" i="6" s="1"/>
  <c r="B10" i="6"/>
  <c r="G10" i="6" s="1"/>
  <c r="B9" i="6"/>
  <c r="B17" i="6" s="1"/>
  <c r="G17" i="6" s="1"/>
  <c r="G8" i="6"/>
  <c r="B8" i="6"/>
  <c r="B7" i="6"/>
  <c r="G7" i="6" s="1"/>
  <c r="G6" i="6"/>
  <c r="F6" i="6"/>
  <c r="F17" i="6" s="1"/>
  <c r="C66" i="5"/>
  <c r="E66" i="5" s="1"/>
  <c r="B66" i="5"/>
  <c r="D66" i="5" s="1"/>
  <c r="C65" i="5"/>
  <c r="E65" i="5" s="1"/>
  <c r="B65" i="5"/>
  <c r="D65" i="5" s="1"/>
  <c r="C64" i="5"/>
  <c r="E64" i="5" s="1"/>
  <c r="B64" i="5"/>
  <c r="D64" i="5" s="1"/>
  <c r="C63" i="5"/>
  <c r="C67" i="5" s="1"/>
  <c r="E67" i="5" s="1"/>
  <c r="B63" i="5"/>
  <c r="D67" i="5" s="1"/>
  <c r="C62" i="5"/>
  <c r="E62" i="5" s="1"/>
  <c r="B62" i="5"/>
  <c r="D62" i="5" s="1"/>
  <c r="C57" i="5"/>
  <c r="E57" i="5" s="1"/>
  <c r="B57" i="5"/>
  <c r="D57" i="5" s="1"/>
  <c r="C56" i="5"/>
  <c r="E56" i="5" s="1"/>
  <c r="B56" i="5"/>
  <c r="D56" i="5" s="1"/>
  <c r="C55" i="5"/>
  <c r="E55" i="5" s="1"/>
  <c r="B55" i="5"/>
  <c r="D55" i="5" s="1"/>
  <c r="C54" i="5"/>
  <c r="E54" i="5" s="1"/>
  <c r="B54" i="5"/>
  <c r="D54" i="5" s="1"/>
  <c r="C53" i="5"/>
  <c r="E53" i="5" s="1"/>
  <c r="B53" i="5"/>
  <c r="D53" i="5" s="1"/>
  <c r="C52" i="5"/>
  <c r="E52" i="5" s="1"/>
  <c r="B52" i="5"/>
  <c r="D52" i="5" s="1"/>
  <c r="C51" i="5"/>
  <c r="E51" i="5" s="1"/>
  <c r="B51" i="5"/>
  <c r="D51" i="5" s="1"/>
  <c r="C50" i="5"/>
  <c r="C58" i="5" s="1"/>
  <c r="E58" i="5" s="1"/>
  <c r="B50" i="5"/>
  <c r="B58" i="5" s="1"/>
  <c r="C47" i="5"/>
  <c r="C48" i="5" s="1"/>
  <c r="E48" i="5" s="1"/>
  <c r="B47" i="5"/>
  <c r="B48" i="5" s="1"/>
  <c r="C45" i="5"/>
  <c r="B45" i="5"/>
  <c r="B59" i="5" s="1"/>
  <c r="C44" i="5"/>
  <c r="E44" i="5" s="1"/>
  <c r="B44" i="5"/>
  <c r="D44" i="5" s="1"/>
  <c r="C38" i="5"/>
  <c r="E38" i="5" s="1"/>
  <c r="B38" i="5"/>
  <c r="D38" i="5" s="1"/>
  <c r="C37" i="5"/>
  <c r="E37" i="5" s="1"/>
  <c r="B37" i="5"/>
  <c r="D37" i="5" s="1"/>
  <c r="C34" i="5"/>
  <c r="E34" i="5" s="1"/>
  <c r="B34" i="5"/>
  <c r="D34" i="5" s="1"/>
  <c r="C33" i="5"/>
  <c r="E33" i="5" s="1"/>
  <c r="B33" i="5"/>
  <c r="D33" i="5" s="1"/>
  <c r="C32" i="5"/>
  <c r="E32" i="5" s="1"/>
  <c r="B32" i="5"/>
  <c r="D32" i="5" s="1"/>
  <c r="C28" i="5"/>
  <c r="E28" i="5" s="1"/>
  <c r="B28" i="5"/>
  <c r="D28" i="5" s="1"/>
  <c r="C27" i="5"/>
  <c r="E27" i="5" s="1"/>
  <c r="B27" i="5"/>
  <c r="D27" i="5" s="1"/>
  <c r="C26" i="5"/>
  <c r="E26" i="5" s="1"/>
  <c r="B26" i="5"/>
  <c r="D26" i="5" s="1"/>
  <c r="C25" i="5"/>
  <c r="E25" i="5" s="1"/>
  <c r="B25" i="5"/>
  <c r="D25" i="5" s="1"/>
  <c r="C24" i="5"/>
  <c r="E24" i="5" s="1"/>
  <c r="B24" i="5"/>
  <c r="D24" i="5" s="1"/>
  <c r="C23" i="5"/>
  <c r="E23" i="5" s="1"/>
  <c r="B23" i="5"/>
  <c r="D23" i="5" s="1"/>
  <c r="C22" i="5"/>
  <c r="C29" i="5" s="1"/>
  <c r="E29" i="5" s="1"/>
  <c r="B22" i="5"/>
  <c r="B29" i="5" s="1"/>
  <c r="C20" i="5"/>
  <c r="E20" i="5" s="1"/>
  <c r="B20" i="5"/>
  <c r="D20" i="5" s="1"/>
  <c r="C19" i="5"/>
  <c r="E19" i="5" s="1"/>
  <c r="B19" i="5"/>
  <c r="D19" i="5" s="1"/>
  <c r="C18" i="5"/>
  <c r="E18" i="5" s="1"/>
  <c r="B18" i="5"/>
  <c r="D18" i="5" s="1"/>
  <c r="C15" i="5"/>
  <c r="E15" i="5" s="1"/>
  <c r="B15" i="5"/>
  <c r="D15" i="5" s="1"/>
  <c r="C14" i="5"/>
  <c r="E14" i="5" s="1"/>
  <c r="B14" i="5"/>
  <c r="D14" i="5" s="1"/>
  <c r="C13" i="5"/>
  <c r="E13" i="5" s="1"/>
  <c r="B13" i="5"/>
  <c r="D13" i="5" s="1"/>
  <c r="C12" i="5"/>
  <c r="E12" i="5" s="1"/>
  <c r="B12" i="5"/>
  <c r="D12" i="5" s="1"/>
  <c r="C11" i="5"/>
  <c r="E11" i="5" s="1"/>
  <c r="B11" i="5"/>
  <c r="D11" i="5" s="1"/>
  <c r="C10" i="5"/>
  <c r="C16" i="5" s="1"/>
  <c r="B10" i="5"/>
  <c r="B16" i="5" s="1"/>
  <c r="C50" i="4"/>
  <c r="C51" i="4" s="1"/>
  <c r="E51" i="4" s="1"/>
  <c r="B50" i="4"/>
  <c r="B51" i="4" s="1"/>
  <c r="D51" i="4" s="1"/>
  <c r="C49" i="4"/>
  <c r="E49" i="4" s="1"/>
  <c r="E45" i="4"/>
  <c r="C45" i="4"/>
  <c r="B45" i="4"/>
  <c r="D45" i="4" s="1"/>
  <c r="C44" i="4"/>
  <c r="E44" i="4" s="1"/>
  <c r="B44" i="4"/>
  <c r="D44" i="4" s="1"/>
  <c r="E43" i="4"/>
  <c r="B43" i="4"/>
  <c r="D43" i="4" s="1"/>
  <c r="E42" i="4"/>
  <c r="D42" i="4"/>
  <c r="B42" i="4"/>
  <c r="C41" i="4"/>
  <c r="E41" i="4" s="1"/>
  <c r="B41" i="4"/>
  <c r="D41" i="4" s="1"/>
  <c r="C40" i="4"/>
  <c r="E40" i="4" s="1"/>
  <c r="B40" i="4"/>
  <c r="D40" i="4" s="1"/>
  <c r="C39" i="4"/>
  <c r="E39" i="4" s="1"/>
  <c r="B39" i="4"/>
  <c r="C38" i="4"/>
  <c r="E38" i="4" s="1"/>
  <c r="B38" i="4"/>
  <c r="D38" i="4" s="1"/>
  <c r="C37" i="4"/>
  <c r="E37" i="4" s="1"/>
  <c r="B37" i="4"/>
  <c r="D37" i="4" s="1"/>
  <c r="C36" i="4"/>
  <c r="E36" i="4" s="1"/>
  <c r="B36" i="4"/>
  <c r="C35" i="4"/>
  <c r="E35" i="4" s="1"/>
  <c r="B35" i="4"/>
  <c r="D35" i="4" s="1"/>
  <c r="E34" i="4"/>
  <c r="B34" i="4"/>
  <c r="D34" i="4" s="1"/>
  <c r="C33" i="4"/>
  <c r="E33" i="4" s="1"/>
  <c r="B33" i="4"/>
  <c r="D33" i="4" s="1"/>
  <c r="C32" i="4"/>
  <c r="E32" i="4" s="1"/>
  <c r="B32" i="4"/>
  <c r="D32" i="4" s="1"/>
  <c r="E31" i="4"/>
  <c r="D31" i="4"/>
  <c r="B31" i="4"/>
  <c r="C30" i="4"/>
  <c r="B30" i="4"/>
  <c r="E30" i="4" s="1"/>
  <c r="E29" i="4"/>
  <c r="C29" i="4"/>
  <c r="B29" i="4"/>
  <c r="D29" i="4" s="1"/>
  <c r="C28" i="4"/>
  <c r="E28" i="4" s="1"/>
  <c r="B28" i="4"/>
  <c r="C27" i="4"/>
  <c r="B27" i="4"/>
  <c r="E27" i="4" s="1"/>
  <c r="E26" i="4"/>
  <c r="D26" i="4"/>
  <c r="C26" i="4"/>
  <c r="C25" i="4"/>
  <c r="E25" i="4" s="1"/>
  <c r="B25" i="4"/>
  <c r="D25" i="4" s="1"/>
  <c r="D24" i="4"/>
  <c r="C24" i="4"/>
  <c r="E24" i="4" s="1"/>
  <c r="B24" i="4"/>
  <c r="E23" i="4"/>
  <c r="D23" i="4"/>
  <c r="C23" i="4"/>
  <c r="B23" i="4"/>
  <c r="C22" i="4"/>
  <c r="E22" i="4" s="1"/>
  <c r="B22" i="4"/>
  <c r="D22" i="4" s="1"/>
  <c r="D21" i="4"/>
  <c r="C21" i="4"/>
  <c r="E21" i="4" s="1"/>
  <c r="B21" i="4"/>
  <c r="C18" i="4"/>
  <c r="E18" i="4" s="1"/>
  <c r="B18" i="4"/>
  <c r="D18" i="4" s="1"/>
  <c r="D17" i="4"/>
  <c r="C17" i="4"/>
  <c r="E17" i="4" s="1"/>
  <c r="B17" i="4"/>
  <c r="E16" i="4"/>
  <c r="D16" i="4"/>
  <c r="C16" i="4"/>
  <c r="B16" i="4"/>
  <c r="D13" i="4"/>
  <c r="C13" i="4"/>
  <c r="E13" i="4" s="1"/>
  <c r="B13" i="4"/>
  <c r="E12" i="4"/>
  <c r="D12" i="4"/>
  <c r="C12" i="4"/>
  <c r="B12" i="4"/>
  <c r="C11" i="4"/>
  <c r="E11" i="4" s="1"/>
  <c r="C10" i="4"/>
  <c r="E10" i="4" s="1"/>
  <c r="C9" i="4"/>
  <c r="C14" i="4" s="1"/>
  <c r="B9" i="4"/>
  <c r="B14" i="4" s="1"/>
  <c r="E8" i="4"/>
  <c r="C8" i="4"/>
  <c r="B8" i="4"/>
  <c r="D8" i="4" s="1"/>
  <c r="C154" i="3"/>
  <c r="C155" i="3" s="1"/>
  <c r="E155" i="3" s="1"/>
  <c r="B154" i="3"/>
  <c r="B155" i="3" s="1"/>
  <c r="D155" i="3" s="1"/>
  <c r="C153" i="3"/>
  <c r="E153" i="3" s="1"/>
  <c r="C148" i="3"/>
  <c r="E148" i="3" s="1"/>
  <c r="B148" i="3"/>
  <c r="B149" i="3" s="1"/>
  <c r="C147" i="3"/>
  <c r="C149" i="3" s="1"/>
  <c r="E149" i="3" s="1"/>
  <c r="E146" i="3"/>
  <c r="D146" i="3"/>
  <c r="C145" i="3"/>
  <c r="E145" i="3" s="1"/>
  <c r="B145" i="3"/>
  <c r="D145" i="3" s="1"/>
  <c r="C144" i="3"/>
  <c r="E144" i="3" s="1"/>
  <c r="E143" i="3"/>
  <c r="B143" i="3"/>
  <c r="B144" i="3" s="1"/>
  <c r="D144" i="3" s="1"/>
  <c r="E142" i="3"/>
  <c r="D142" i="3"/>
  <c r="E141" i="3"/>
  <c r="D141" i="3"/>
  <c r="B141" i="3"/>
  <c r="C140" i="3"/>
  <c r="E140" i="3" s="1"/>
  <c r="B140" i="3"/>
  <c r="D140" i="3" s="1"/>
  <c r="C139" i="3"/>
  <c r="E139" i="3" s="1"/>
  <c r="B139" i="3"/>
  <c r="D139" i="3" s="1"/>
  <c r="E138" i="3"/>
  <c r="D138" i="3"/>
  <c r="C138" i="3"/>
  <c r="B138" i="3"/>
  <c r="E137" i="3"/>
  <c r="D137" i="3"/>
  <c r="B137" i="3"/>
  <c r="C136" i="3"/>
  <c r="E136" i="3" s="1"/>
  <c r="B136" i="3"/>
  <c r="D136" i="3" s="1"/>
  <c r="D134" i="3"/>
  <c r="C134" i="3"/>
  <c r="E134" i="3" s="1"/>
  <c r="B134" i="3"/>
  <c r="C133" i="3"/>
  <c r="C135" i="3" s="1"/>
  <c r="B133" i="3"/>
  <c r="B135" i="3" s="1"/>
  <c r="D135" i="3" s="1"/>
  <c r="E132" i="3"/>
  <c r="D132" i="3"/>
  <c r="C131" i="3"/>
  <c r="B131" i="3"/>
  <c r="E131" i="3" s="1"/>
  <c r="C130" i="3"/>
  <c r="E130" i="3" s="1"/>
  <c r="B130" i="3"/>
  <c r="D130" i="3" s="1"/>
  <c r="C129" i="3"/>
  <c r="E129" i="3" s="1"/>
  <c r="B129" i="3"/>
  <c r="C127" i="3"/>
  <c r="E127" i="3" s="1"/>
  <c r="B127" i="3"/>
  <c r="D127" i="3" s="1"/>
  <c r="C126" i="3"/>
  <c r="E126" i="3" s="1"/>
  <c r="B126" i="3"/>
  <c r="E125" i="3"/>
  <c r="C125" i="3"/>
  <c r="B125" i="3"/>
  <c r="D125" i="3" s="1"/>
  <c r="C124" i="3"/>
  <c r="E124" i="3" s="1"/>
  <c r="B124" i="3"/>
  <c r="B128" i="3" s="1"/>
  <c r="C123" i="3"/>
  <c r="C128" i="3" s="1"/>
  <c r="E128" i="3" s="1"/>
  <c r="E122" i="3"/>
  <c r="D122" i="3"/>
  <c r="C121" i="3"/>
  <c r="E121" i="3" s="1"/>
  <c r="E120" i="3"/>
  <c r="B120" i="3"/>
  <c r="B121" i="3" s="1"/>
  <c r="D121" i="3" s="1"/>
  <c r="E119" i="3"/>
  <c r="D119" i="3"/>
  <c r="D117" i="3"/>
  <c r="C117" i="3"/>
  <c r="E117" i="3" s="1"/>
  <c r="B117" i="3"/>
  <c r="C116" i="3"/>
  <c r="E116" i="3" s="1"/>
  <c r="B116" i="3"/>
  <c r="D116" i="3" s="1"/>
  <c r="E115" i="3"/>
  <c r="C115" i="3"/>
  <c r="D115" i="3" s="1"/>
  <c r="B115" i="3"/>
  <c r="D114" i="3"/>
  <c r="C114" i="3"/>
  <c r="E114" i="3" s="1"/>
  <c r="B114" i="3"/>
  <c r="B118" i="3" s="1"/>
  <c r="E113" i="3"/>
  <c r="D113" i="3"/>
  <c r="C112" i="3"/>
  <c r="E112" i="3" s="1"/>
  <c r="B112" i="3"/>
  <c r="E111" i="3"/>
  <c r="C111" i="3"/>
  <c r="E110" i="3"/>
  <c r="B110" i="3"/>
  <c r="D110" i="3" s="1"/>
  <c r="E109" i="3"/>
  <c r="B109" i="3"/>
  <c r="D109" i="3" s="1"/>
  <c r="E108" i="3"/>
  <c r="B108" i="3"/>
  <c r="D108" i="3" s="1"/>
  <c r="C107" i="3"/>
  <c r="E107" i="3" s="1"/>
  <c r="B107" i="3"/>
  <c r="D107" i="3" s="1"/>
  <c r="C106" i="3"/>
  <c r="E105" i="3"/>
  <c r="D105" i="3"/>
  <c r="C105" i="3"/>
  <c r="B105" i="3"/>
  <c r="C104" i="3"/>
  <c r="E104" i="3" s="1"/>
  <c r="B104" i="3"/>
  <c r="D104" i="3" s="1"/>
  <c r="E103" i="3"/>
  <c r="B103" i="3"/>
  <c r="D103" i="3" s="1"/>
  <c r="E102" i="3"/>
  <c r="D102" i="3"/>
  <c r="D100" i="3"/>
  <c r="C100" i="3"/>
  <c r="E100" i="3" s="1"/>
  <c r="B100" i="3"/>
  <c r="C99" i="3"/>
  <c r="E99" i="3" s="1"/>
  <c r="B99" i="3"/>
  <c r="D99" i="3" s="1"/>
  <c r="E98" i="3"/>
  <c r="C98" i="3"/>
  <c r="D98" i="3" s="1"/>
  <c r="B98" i="3"/>
  <c r="B101" i="3" s="1"/>
  <c r="E97" i="3"/>
  <c r="D97" i="3"/>
  <c r="B96" i="3"/>
  <c r="D96" i="3" s="1"/>
  <c r="C95" i="3"/>
  <c r="C96" i="3" s="1"/>
  <c r="E96" i="3" s="1"/>
  <c r="B95" i="3"/>
  <c r="E94" i="3"/>
  <c r="D94" i="3"/>
  <c r="B93" i="3"/>
  <c r="D92" i="3"/>
  <c r="C92" i="3"/>
  <c r="C93" i="3" s="1"/>
  <c r="E91" i="3"/>
  <c r="D91" i="3"/>
  <c r="C91" i="3"/>
  <c r="E90" i="3"/>
  <c r="D90" i="3"/>
  <c r="D89" i="3"/>
  <c r="C89" i="3"/>
  <c r="E89" i="3" s="1"/>
  <c r="B89" i="3"/>
  <c r="C88" i="3"/>
  <c r="E88" i="3" s="1"/>
  <c r="B88" i="3"/>
  <c r="D88" i="3" s="1"/>
  <c r="E87" i="3"/>
  <c r="C87" i="3"/>
  <c r="D87" i="3" s="1"/>
  <c r="B87" i="3"/>
  <c r="D86" i="3"/>
  <c r="C86" i="3"/>
  <c r="E86" i="3" s="1"/>
  <c r="B86" i="3"/>
  <c r="C85" i="3"/>
  <c r="E85" i="3" s="1"/>
  <c r="B85" i="3"/>
  <c r="D85" i="3" s="1"/>
  <c r="E84" i="3"/>
  <c r="C84" i="3"/>
  <c r="D84" i="3" s="1"/>
  <c r="B84" i="3"/>
  <c r="E83" i="3"/>
  <c r="D83" i="3"/>
  <c r="C80" i="3"/>
  <c r="E79" i="3"/>
  <c r="C79" i="3"/>
  <c r="B79" i="3"/>
  <c r="D79" i="3" s="1"/>
  <c r="C78" i="3"/>
  <c r="E78" i="3" s="1"/>
  <c r="B78" i="3"/>
  <c r="B80" i="3" s="1"/>
  <c r="D80" i="3" s="1"/>
  <c r="C74" i="3"/>
  <c r="E74" i="3" s="1"/>
  <c r="C73" i="3"/>
  <c r="C75" i="3" s="1"/>
  <c r="B73" i="3"/>
  <c r="B75" i="3" s="1"/>
  <c r="D75" i="3" s="1"/>
  <c r="C70" i="3"/>
  <c r="E70" i="3" s="1"/>
  <c r="B70" i="3"/>
  <c r="D70" i="3" s="1"/>
  <c r="E69" i="3"/>
  <c r="D69" i="3"/>
  <c r="B69" i="3"/>
  <c r="D68" i="3"/>
  <c r="C68" i="3"/>
  <c r="E68" i="3" s="1"/>
  <c r="C67" i="3"/>
  <c r="E67" i="3" s="1"/>
  <c r="B67" i="3"/>
  <c r="D67" i="3" s="1"/>
  <c r="E66" i="3"/>
  <c r="D66" i="3"/>
  <c r="B66" i="3"/>
  <c r="E65" i="3"/>
  <c r="C65" i="3"/>
  <c r="B65" i="3"/>
  <c r="D65" i="3" s="1"/>
  <c r="C64" i="3"/>
  <c r="E64" i="3" s="1"/>
  <c r="C63" i="3"/>
  <c r="E63" i="3" s="1"/>
  <c r="B63" i="3"/>
  <c r="D63" i="3" s="1"/>
  <c r="D62" i="3"/>
  <c r="C62" i="3"/>
  <c r="B62" i="3"/>
  <c r="E62" i="3" s="1"/>
  <c r="E61" i="3"/>
  <c r="D61" i="3"/>
  <c r="B61" i="3"/>
  <c r="E60" i="3"/>
  <c r="B60" i="3"/>
  <c r="D60" i="3" s="1"/>
  <c r="E59" i="3"/>
  <c r="D59" i="3"/>
  <c r="C59" i="3"/>
  <c r="E58" i="3"/>
  <c r="B58" i="3"/>
  <c r="D58" i="3" s="1"/>
  <c r="E57" i="3"/>
  <c r="C57" i="3"/>
  <c r="B57" i="3"/>
  <c r="D57" i="3" s="1"/>
  <c r="C56" i="3"/>
  <c r="E56" i="3" s="1"/>
  <c r="B56" i="3"/>
  <c r="D56" i="3" s="1"/>
  <c r="E55" i="3"/>
  <c r="D55" i="3"/>
  <c r="C55" i="3"/>
  <c r="D54" i="3"/>
  <c r="C54" i="3"/>
  <c r="E54" i="3" s="1"/>
  <c r="B54" i="3"/>
  <c r="C53" i="3"/>
  <c r="E53" i="3" s="1"/>
  <c r="E52" i="3"/>
  <c r="D52" i="3"/>
  <c r="C52" i="3"/>
  <c r="B52" i="3"/>
  <c r="C51" i="3"/>
  <c r="E51" i="3" s="1"/>
  <c r="B51" i="3"/>
  <c r="D51" i="3" s="1"/>
  <c r="C50" i="3"/>
  <c r="E50" i="3" s="1"/>
  <c r="B50" i="3"/>
  <c r="D50" i="3" s="1"/>
  <c r="E49" i="3"/>
  <c r="D49" i="3"/>
  <c r="C49" i="3"/>
  <c r="B49" i="3"/>
  <c r="C48" i="3"/>
  <c r="E48" i="3" s="1"/>
  <c r="C47" i="3"/>
  <c r="E47" i="3" s="1"/>
  <c r="B47" i="3"/>
  <c r="D47" i="3" s="1"/>
  <c r="C46" i="3"/>
  <c r="E46" i="3" s="1"/>
  <c r="B46" i="3"/>
  <c r="E45" i="3"/>
  <c r="C45" i="3"/>
  <c r="B45" i="3"/>
  <c r="D45" i="3" s="1"/>
  <c r="C44" i="3"/>
  <c r="E44" i="3" s="1"/>
  <c r="B44" i="3"/>
  <c r="D44" i="3" s="1"/>
  <c r="C43" i="3"/>
  <c r="E43" i="3" s="1"/>
  <c r="E42" i="3"/>
  <c r="D42" i="3"/>
  <c r="C42" i="3"/>
  <c r="B42" i="3"/>
  <c r="E41" i="3"/>
  <c r="D41" i="3"/>
  <c r="C41" i="3"/>
  <c r="C40" i="3"/>
  <c r="E40" i="3" s="1"/>
  <c r="B40" i="3"/>
  <c r="B71" i="3" s="1"/>
  <c r="D71" i="3" s="1"/>
  <c r="E39" i="3"/>
  <c r="C39" i="3"/>
  <c r="D39" i="3" s="1"/>
  <c r="B39" i="3"/>
  <c r="D38" i="3"/>
  <c r="C38" i="3"/>
  <c r="E38" i="3" s="1"/>
  <c r="B38" i="3"/>
  <c r="D37" i="3"/>
  <c r="C37" i="3"/>
  <c r="C71" i="3" s="1"/>
  <c r="E36" i="3"/>
  <c r="D36" i="3"/>
  <c r="E34" i="3"/>
  <c r="C34" i="3"/>
  <c r="B34" i="3"/>
  <c r="D34" i="3" s="1"/>
  <c r="C33" i="3"/>
  <c r="C35" i="3" s="1"/>
  <c r="B33" i="3"/>
  <c r="B35" i="3" s="1"/>
  <c r="D35" i="3" s="1"/>
  <c r="E31" i="3"/>
  <c r="C31" i="3"/>
  <c r="C32" i="3" s="1"/>
  <c r="E32" i="3" s="1"/>
  <c r="B31" i="3"/>
  <c r="D31" i="3" s="1"/>
  <c r="E30" i="3"/>
  <c r="B30" i="3"/>
  <c r="B32" i="3" s="1"/>
  <c r="E29" i="3"/>
  <c r="D29" i="3"/>
  <c r="B28" i="3"/>
  <c r="C27" i="3"/>
  <c r="E27" i="3" s="1"/>
  <c r="B27" i="3"/>
  <c r="D27" i="3" s="1"/>
  <c r="C26" i="3"/>
  <c r="C28" i="3" s="1"/>
  <c r="E25" i="3"/>
  <c r="D25" i="3"/>
  <c r="E24" i="3"/>
  <c r="D24" i="3"/>
  <c r="E23" i="3"/>
  <c r="D23" i="3"/>
  <c r="C23" i="3"/>
  <c r="D22" i="3"/>
  <c r="C22" i="3"/>
  <c r="E22" i="3" s="1"/>
  <c r="C20" i="3"/>
  <c r="E20" i="3" s="1"/>
  <c r="B20" i="3"/>
  <c r="D20" i="3" s="1"/>
  <c r="C19" i="3"/>
  <c r="E19" i="3" s="1"/>
  <c r="B19" i="3"/>
  <c r="D19" i="3" s="1"/>
  <c r="E18" i="3"/>
  <c r="D18" i="3"/>
  <c r="C18" i="3"/>
  <c r="B18" i="3"/>
  <c r="E16" i="3"/>
  <c r="B16" i="3"/>
  <c r="B17" i="3" s="1"/>
  <c r="C15" i="3"/>
  <c r="C17" i="3" s="1"/>
  <c r="B15" i="3"/>
  <c r="E14" i="3"/>
  <c r="D14" i="3"/>
  <c r="E13" i="3"/>
  <c r="D13" i="3"/>
  <c r="C12" i="3"/>
  <c r="E11" i="3"/>
  <c r="B11" i="3"/>
  <c r="B12" i="3" s="1"/>
  <c r="E10" i="3"/>
  <c r="D10" i="3"/>
  <c r="C10" i="3"/>
  <c r="B10" i="3"/>
  <c r="E9" i="3"/>
  <c r="D9" i="3"/>
  <c r="C9" i="3"/>
  <c r="E8" i="3"/>
  <c r="D8" i="3"/>
  <c r="B48" i="2"/>
  <c r="C47" i="2"/>
  <c r="E47" i="2" s="1"/>
  <c r="B47" i="2"/>
  <c r="D47" i="2" s="1"/>
  <c r="C46" i="2"/>
  <c r="B46" i="2"/>
  <c r="E46" i="2" s="1"/>
  <c r="C45" i="2"/>
  <c r="E45" i="2" s="1"/>
  <c r="B45" i="2"/>
  <c r="D45" i="2" s="1"/>
  <c r="C44" i="2"/>
  <c r="E44" i="2" s="1"/>
  <c r="B44" i="2"/>
  <c r="D44" i="2" s="1"/>
  <c r="C43" i="2"/>
  <c r="B43" i="2"/>
  <c r="E43" i="2" s="1"/>
  <c r="C42" i="2"/>
  <c r="E42" i="2" s="1"/>
  <c r="B42" i="2"/>
  <c r="D42" i="2" s="1"/>
  <c r="C41" i="2"/>
  <c r="E41" i="2" s="1"/>
  <c r="B41" i="2"/>
  <c r="D41" i="2" s="1"/>
  <c r="C40" i="2"/>
  <c r="B40" i="2"/>
  <c r="E40" i="2" s="1"/>
  <c r="C39" i="2"/>
  <c r="E39" i="2" s="1"/>
  <c r="B39" i="2"/>
  <c r="D39" i="2" s="1"/>
  <c r="C38" i="2"/>
  <c r="E38" i="2" s="1"/>
  <c r="B38" i="2"/>
  <c r="D38" i="2" s="1"/>
  <c r="C37" i="2"/>
  <c r="B37" i="2"/>
  <c r="E37" i="2" s="1"/>
  <c r="C36" i="2"/>
  <c r="E36" i="2" s="1"/>
  <c r="B36" i="2"/>
  <c r="D36" i="2" s="1"/>
  <c r="C35" i="2"/>
  <c r="E35" i="2" s="1"/>
  <c r="D34" i="2"/>
  <c r="C34" i="2"/>
  <c r="E34" i="2" s="1"/>
  <c r="B34" i="2"/>
  <c r="C33" i="2"/>
  <c r="E33" i="2" s="1"/>
  <c r="B33" i="2"/>
  <c r="D33" i="2" s="1"/>
  <c r="E32" i="2"/>
  <c r="C32" i="2"/>
  <c r="D32" i="2" s="1"/>
  <c r="C31" i="2"/>
  <c r="E31" i="2" s="1"/>
  <c r="B31" i="2"/>
  <c r="D31" i="2" s="1"/>
  <c r="C30" i="2"/>
  <c r="E30" i="2" s="1"/>
  <c r="B30" i="2"/>
  <c r="D30" i="2" s="1"/>
  <c r="E29" i="2"/>
  <c r="D29" i="2"/>
  <c r="C29" i="2"/>
  <c r="B29" i="2"/>
  <c r="C28" i="2"/>
  <c r="E28" i="2" s="1"/>
  <c r="B28" i="2"/>
  <c r="D28" i="2" s="1"/>
  <c r="C27" i="2"/>
  <c r="E27" i="2" s="1"/>
  <c r="B27" i="2"/>
  <c r="D27" i="2" s="1"/>
  <c r="E26" i="2"/>
  <c r="D26" i="2"/>
  <c r="C26" i="2"/>
  <c r="B26" i="2"/>
  <c r="C25" i="2"/>
  <c r="E25" i="2" s="1"/>
  <c r="C24" i="2"/>
  <c r="E24" i="2" s="1"/>
  <c r="B24" i="2"/>
  <c r="D24" i="2" s="1"/>
  <c r="C23" i="2"/>
  <c r="D23" i="2" s="1"/>
  <c r="B23" i="2"/>
  <c r="C22" i="2"/>
  <c r="B22" i="2"/>
  <c r="E22" i="2" s="1"/>
  <c r="C21" i="2"/>
  <c r="E21" i="2" s="1"/>
  <c r="B21" i="2"/>
  <c r="D21" i="2" s="1"/>
  <c r="C20" i="2"/>
  <c r="D20" i="2" s="1"/>
  <c r="B20" i="2"/>
  <c r="B17" i="2"/>
  <c r="C16" i="2"/>
  <c r="D16" i="2" s="1"/>
  <c r="B16" i="2"/>
  <c r="C15" i="2"/>
  <c r="B15" i="2"/>
  <c r="E15" i="2" s="1"/>
  <c r="C12" i="2"/>
  <c r="D12" i="2" s="1"/>
  <c r="B12" i="2"/>
  <c r="C11" i="2"/>
  <c r="B11" i="2"/>
  <c r="E11" i="2" s="1"/>
  <c r="C10" i="2"/>
  <c r="E10" i="2" s="1"/>
  <c r="C9" i="2"/>
  <c r="E9" i="2" s="1"/>
  <c r="B9" i="2"/>
  <c r="B13" i="2" s="1"/>
  <c r="D8" i="2"/>
  <c r="C8" i="2"/>
  <c r="E8" i="2" s="1"/>
  <c r="B8" i="2"/>
  <c r="C166" i="1"/>
  <c r="E166" i="1" s="1"/>
  <c r="B166" i="1"/>
  <c r="B167" i="1" s="1"/>
  <c r="C165" i="1"/>
  <c r="C167" i="1" s="1"/>
  <c r="E167" i="1" s="1"/>
  <c r="E164" i="1"/>
  <c r="D164" i="1"/>
  <c r="C163" i="1"/>
  <c r="E163" i="1" s="1"/>
  <c r="B163" i="1"/>
  <c r="D163" i="1" s="1"/>
  <c r="C161" i="1"/>
  <c r="C162" i="1" s="1"/>
  <c r="E162" i="1" s="1"/>
  <c r="B161" i="1"/>
  <c r="B162" i="1" s="1"/>
  <c r="E160" i="1"/>
  <c r="D160" i="1"/>
  <c r="E159" i="1"/>
  <c r="C159" i="1"/>
  <c r="B159" i="1"/>
  <c r="D159" i="1" s="1"/>
  <c r="E158" i="1"/>
  <c r="C158" i="1"/>
  <c r="D158" i="1" s="1"/>
  <c r="B158" i="1"/>
  <c r="C157" i="1"/>
  <c r="D157" i="1" s="1"/>
  <c r="B157" i="1"/>
  <c r="E155" i="1"/>
  <c r="B155" i="1"/>
  <c r="D155" i="1" s="1"/>
  <c r="E154" i="1"/>
  <c r="D154" i="1"/>
  <c r="B154" i="1"/>
  <c r="B156" i="1" s="1"/>
  <c r="E153" i="1"/>
  <c r="C153" i="1"/>
  <c r="D153" i="1" s="1"/>
  <c r="B153" i="1"/>
  <c r="C152" i="1"/>
  <c r="C151" i="1"/>
  <c r="E151" i="1" s="1"/>
  <c r="B151" i="1"/>
  <c r="B152" i="1" s="1"/>
  <c r="D152" i="1" s="1"/>
  <c r="E150" i="1"/>
  <c r="C150" i="1"/>
  <c r="D150" i="1" s="1"/>
  <c r="B150" i="1"/>
  <c r="E149" i="1"/>
  <c r="D149" i="1"/>
  <c r="E148" i="1"/>
  <c r="C148" i="1"/>
  <c r="B148" i="1"/>
  <c r="D148" i="1" s="1"/>
  <c r="C147" i="1"/>
  <c r="D147" i="1" s="1"/>
  <c r="B147" i="1"/>
  <c r="C146" i="1"/>
  <c r="E146" i="1" s="1"/>
  <c r="B146" i="1"/>
  <c r="D146" i="1" s="1"/>
  <c r="C144" i="1"/>
  <c r="D144" i="1" s="1"/>
  <c r="B144" i="1"/>
  <c r="C143" i="1"/>
  <c r="E143" i="1" s="1"/>
  <c r="E142" i="1"/>
  <c r="D142" i="1"/>
  <c r="C142" i="1"/>
  <c r="B142" i="1"/>
  <c r="C141" i="1"/>
  <c r="B141" i="1"/>
  <c r="B145" i="1" s="1"/>
  <c r="C140" i="1"/>
  <c r="B140" i="1"/>
  <c r="E140" i="1" s="1"/>
  <c r="E139" i="1"/>
  <c r="D139" i="1"/>
  <c r="C139" i="1"/>
  <c r="C145" i="1" s="1"/>
  <c r="E145" i="1" s="1"/>
  <c r="E138" i="1"/>
  <c r="D138" i="1"/>
  <c r="C137" i="1"/>
  <c r="D137" i="1" s="1"/>
  <c r="B136" i="1"/>
  <c r="D136" i="1" s="1"/>
  <c r="E135" i="1"/>
  <c r="D135" i="1"/>
  <c r="C135" i="1"/>
  <c r="D134" i="1"/>
  <c r="C134" i="1"/>
  <c r="C136" i="1" s="1"/>
  <c r="E136" i="1" s="1"/>
  <c r="B134" i="1"/>
  <c r="E133" i="1"/>
  <c r="D133" i="1"/>
  <c r="E131" i="1"/>
  <c r="C131" i="1"/>
  <c r="B131" i="1"/>
  <c r="D131" i="1" s="1"/>
  <c r="C130" i="1"/>
  <c r="E130" i="1" s="1"/>
  <c r="B130" i="1"/>
  <c r="D130" i="1" s="1"/>
  <c r="C129" i="1"/>
  <c r="E129" i="1" s="1"/>
  <c r="B129" i="1"/>
  <c r="D129" i="1" s="1"/>
  <c r="E128" i="1"/>
  <c r="C128" i="1"/>
  <c r="D128" i="1" s="1"/>
  <c r="C127" i="1"/>
  <c r="B127" i="1"/>
  <c r="B132" i="1" s="1"/>
  <c r="E126" i="1"/>
  <c r="D126" i="1"/>
  <c r="D125" i="1"/>
  <c r="C125" i="1"/>
  <c r="E125" i="1" s="1"/>
  <c r="E124" i="1"/>
  <c r="C124" i="1"/>
  <c r="B124" i="1"/>
  <c r="D124" i="1" s="1"/>
  <c r="C123" i="1"/>
  <c r="C122" i="1"/>
  <c r="E122" i="1" s="1"/>
  <c r="B122" i="1"/>
  <c r="D122" i="1" s="1"/>
  <c r="E121" i="1"/>
  <c r="C121" i="1"/>
  <c r="B121" i="1"/>
  <c r="D121" i="1" s="1"/>
  <c r="E120" i="1"/>
  <c r="B120" i="1"/>
  <c r="D120" i="1" s="1"/>
  <c r="C119" i="1"/>
  <c r="B119" i="1"/>
  <c r="E119" i="1" s="1"/>
  <c r="C117" i="1"/>
  <c r="B117" i="1"/>
  <c r="E117" i="1" s="1"/>
  <c r="C116" i="1"/>
  <c r="B116" i="1"/>
  <c r="E116" i="1" s="1"/>
  <c r="D115" i="1"/>
  <c r="C115" i="1"/>
  <c r="C118" i="1" s="1"/>
  <c r="B115" i="1"/>
  <c r="E115" i="1" s="1"/>
  <c r="E114" i="1"/>
  <c r="D114" i="1"/>
  <c r="C112" i="1"/>
  <c r="E112" i="1" s="1"/>
  <c r="B112" i="1"/>
  <c r="D112" i="1" s="1"/>
  <c r="C111" i="1"/>
  <c r="E111" i="1" s="1"/>
  <c r="B111" i="1"/>
  <c r="D111" i="1" s="1"/>
  <c r="D110" i="1"/>
  <c r="C110" i="1"/>
  <c r="E110" i="1" s="1"/>
  <c r="B110" i="1"/>
  <c r="B113" i="1" s="1"/>
  <c r="E109" i="1"/>
  <c r="D109" i="1"/>
  <c r="C107" i="1"/>
  <c r="C108" i="1" s="1"/>
  <c r="B107" i="1"/>
  <c r="B108" i="1" s="1"/>
  <c r="D108" i="1" s="1"/>
  <c r="E106" i="1"/>
  <c r="D106" i="1"/>
  <c r="B105" i="1"/>
  <c r="C104" i="1"/>
  <c r="E104" i="1" s="1"/>
  <c r="C103" i="1"/>
  <c r="D103" i="1" s="1"/>
  <c r="E102" i="1"/>
  <c r="D102" i="1"/>
  <c r="E101" i="1"/>
  <c r="C101" i="1"/>
  <c r="B101" i="1"/>
  <c r="D101" i="1" s="1"/>
  <c r="C100" i="1"/>
  <c r="E100" i="1" s="1"/>
  <c r="B100" i="1"/>
  <c r="D100" i="1" s="1"/>
  <c r="D99" i="1"/>
  <c r="C99" i="1"/>
  <c r="E99" i="1" s="1"/>
  <c r="B99" i="1"/>
  <c r="E98" i="1"/>
  <c r="C98" i="1"/>
  <c r="B98" i="1"/>
  <c r="D98" i="1" s="1"/>
  <c r="C97" i="1"/>
  <c r="E97" i="1" s="1"/>
  <c r="B97" i="1"/>
  <c r="D97" i="1" s="1"/>
  <c r="D96" i="1"/>
  <c r="C96" i="1"/>
  <c r="E96" i="1" s="1"/>
  <c r="B96" i="1"/>
  <c r="E95" i="1"/>
  <c r="D95" i="1"/>
  <c r="B92" i="1"/>
  <c r="D92" i="1" s="1"/>
  <c r="C91" i="1"/>
  <c r="C92" i="1" s="1"/>
  <c r="E92" i="1" s="1"/>
  <c r="B91" i="1"/>
  <c r="D91" i="1" s="1"/>
  <c r="D90" i="1"/>
  <c r="C90" i="1"/>
  <c r="B90" i="1"/>
  <c r="E90" i="1" s="1"/>
  <c r="C87" i="1"/>
  <c r="E87" i="1" s="1"/>
  <c r="B87" i="1"/>
  <c r="D87" i="1" s="1"/>
  <c r="C84" i="1"/>
  <c r="E84" i="1" s="1"/>
  <c r="B84" i="1"/>
  <c r="D84" i="1" s="1"/>
  <c r="E83" i="1"/>
  <c r="D83" i="1"/>
  <c r="C83" i="1"/>
  <c r="D82" i="1"/>
  <c r="C82" i="1"/>
  <c r="E82" i="1" s="1"/>
  <c r="B82" i="1"/>
  <c r="E81" i="1"/>
  <c r="D81" i="1"/>
  <c r="C81" i="1"/>
  <c r="E80" i="1"/>
  <c r="D80" i="1"/>
  <c r="C80" i="1"/>
  <c r="E79" i="1"/>
  <c r="C79" i="1"/>
  <c r="B79" i="1"/>
  <c r="D79" i="1" s="1"/>
  <c r="C78" i="1"/>
  <c r="E78" i="1" s="1"/>
  <c r="B78" i="1"/>
  <c r="D78" i="1" s="1"/>
  <c r="D77" i="1"/>
  <c r="C77" i="1"/>
  <c r="E77" i="1" s="1"/>
  <c r="D76" i="1"/>
  <c r="C76" i="1"/>
  <c r="B76" i="1"/>
  <c r="E76" i="1" s="1"/>
  <c r="E75" i="1"/>
  <c r="D75" i="1"/>
  <c r="C75" i="1"/>
  <c r="E74" i="1"/>
  <c r="D74" i="1"/>
  <c r="C74" i="1"/>
  <c r="E73" i="1"/>
  <c r="D73" i="1"/>
  <c r="C73" i="1"/>
  <c r="E72" i="1"/>
  <c r="C72" i="1"/>
  <c r="B72" i="1"/>
  <c r="D72" i="1" s="1"/>
  <c r="C71" i="1"/>
  <c r="D71" i="1" s="1"/>
  <c r="C70" i="1"/>
  <c r="E70" i="1" s="1"/>
  <c r="B70" i="1"/>
  <c r="D70" i="1" s="1"/>
  <c r="D69" i="1"/>
  <c r="C69" i="1"/>
  <c r="B69" i="1"/>
  <c r="E69" i="1" s="1"/>
  <c r="C68" i="1"/>
  <c r="B68" i="1"/>
  <c r="E68" i="1" s="1"/>
  <c r="C67" i="1"/>
  <c r="E67" i="1" s="1"/>
  <c r="C66" i="1"/>
  <c r="E66" i="1" s="1"/>
  <c r="B66" i="1"/>
  <c r="D65" i="1"/>
  <c r="C65" i="1"/>
  <c r="E65" i="1" s="1"/>
  <c r="B65" i="1"/>
  <c r="E64" i="1"/>
  <c r="D64" i="1"/>
  <c r="C64" i="1"/>
  <c r="E63" i="1"/>
  <c r="C63" i="1"/>
  <c r="B63" i="1"/>
  <c r="D63" i="1" s="1"/>
  <c r="C62" i="1"/>
  <c r="E62" i="1" s="1"/>
  <c r="C61" i="1"/>
  <c r="D61" i="1" s="1"/>
  <c r="C60" i="1"/>
  <c r="E60" i="1" s="1"/>
  <c r="B60" i="1"/>
  <c r="D60" i="1" s="1"/>
  <c r="E59" i="1"/>
  <c r="D59" i="1"/>
  <c r="C59" i="1"/>
  <c r="C58" i="1"/>
  <c r="E58" i="1" s="1"/>
  <c r="B58" i="1"/>
  <c r="C57" i="1"/>
  <c r="B57" i="1"/>
  <c r="E57" i="1" s="1"/>
  <c r="C56" i="1"/>
  <c r="E56" i="1" s="1"/>
  <c r="C55" i="1"/>
  <c r="E55" i="1" s="1"/>
  <c r="B55" i="1"/>
  <c r="D55" i="1" s="1"/>
  <c r="D54" i="1"/>
  <c r="C54" i="1"/>
  <c r="E54" i="1" s="1"/>
  <c r="B54" i="1"/>
  <c r="E53" i="1"/>
  <c r="D53" i="1"/>
  <c r="C53" i="1"/>
  <c r="E52" i="1"/>
  <c r="C52" i="1"/>
  <c r="B52" i="1"/>
  <c r="D52" i="1" s="1"/>
  <c r="C51" i="1"/>
  <c r="E51" i="1" s="1"/>
  <c r="B51" i="1"/>
  <c r="D51" i="1" s="1"/>
  <c r="D50" i="1"/>
  <c r="C50" i="1"/>
  <c r="E50" i="1" s="1"/>
  <c r="B50" i="1"/>
  <c r="E49" i="1"/>
  <c r="C49" i="1"/>
  <c r="B49" i="1"/>
  <c r="D49" i="1" s="1"/>
  <c r="C48" i="1"/>
  <c r="D48" i="1" s="1"/>
  <c r="C47" i="1"/>
  <c r="E47" i="1" s="1"/>
  <c r="B47" i="1"/>
  <c r="D47" i="1" s="1"/>
  <c r="E46" i="1"/>
  <c r="D46" i="1"/>
  <c r="C46" i="1"/>
  <c r="C45" i="1"/>
  <c r="E45" i="1" s="1"/>
  <c r="B45" i="1"/>
  <c r="C44" i="1"/>
  <c r="B44" i="1"/>
  <c r="E44" i="1" s="1"/>
  <c r="C43" i="1"/>
  <c r="E43" i="1" s="1"/>
  <c r="B43" i="1"/>
  <c r="D42" i="1"/>
  <c r="C42" i="1"/>
  <c r="C85" i="1" s="1"/>
  <c r="E41" i="1"/>
  <c r="D41" i="1"/>
  <c r="C40" i="1"/>
  <c r="E40" i="1" s="1"/>
  <c r="B40" i="1"/>
  <c r="D40" i="1" s="1"/>
  <c r="D39" i="1"/>
  <c r="C39" i="1"/>
  <c r="B39" i="1"/>
  <c r="E39" i="1" s="1"/>
  <c r="E38" i="1"/>
  <c r="D38" i="1"/>
  <c r="B38" i="1"/>
  <c r="E37" i="1"/>
  <c r="C37" i="1"/>
  <c r="B37" i="1"/>
  <c r="D37" i="1" s="1"/>
  <c r="E36" i="1"/>
  <c r="B36" i="1"/>
  <c r="D36" i="1" s="1"/>
  <c r="E35" i="1"/>
  <c r="B35" i="1"/>
  <c r="D35" i="1" s="1"/>
  <c r="E34" i="1"/>
  <c r="D34" i="1"/>
  <c r="B33" i="1"/>
  <c r="D33" i="1" s="1"/>
  <c r="C32" i="1"/>
  <c r="E32" i="1" s="1"/>
  <c r="C31" i="1"/>
  <c r="E31" i="1" s="1"/>
  <c r="B31" i="1"/>
  <c r="D31" i="1" s="1"/>
  <c r="D30" i="1"/>
  <c r="C30" i="1"/>
  <c r="E30" i="1" s="1"/>
  <c r="D29" i="1"/>
  <c r="C29" i="1"/>
  <c r="E29" i="1" s="1"/>
  <c r="D28" i="1"/>
  <c r="C28" i="1"/>
  <c r="C33" i="1" s="1"/>
  <c r="E33" i="1" s="1"/>
  <c r="E27" i="1"/>
  <c r="D27" i="1"/>
  <c r="C26" i="1"/>
  <c r="B26" i="1"/>
  <c r="D26" i="1" s="1"/>
  <c r="E25" i="1"/>
  <c r="D25" i="1"/>
  <c r="C24" i="1"/>
  <c r="E24" i="1" s="1"/>
  <c r="D22" i="1"/>
  <c r="C22" i="1"/>
  <c r="E22" i="1" s="1"/>
  <c r="B22" i="1"/>
  <c r="E21" i="1"/>
  <c r="D21" i="1"/>
  <c r="C21" i="1"/>
  <c r="E20" i="1"/>
  <c r="C20" i="1"/>
  <c r="D20" i="1" s="1"/>
  <c r="C19" i="1"/>
  <c r="B19" i="1"/>
  <c r="D19" i="1" s="1"/>
  <c r="C18" i="1"/>
  <c r="E18" i="1" s="1"/>
  <c r="B18" i="1"/>
  <c r="D18" i="1" s="1"/>
  <c r="C16" i="1"/>
  <c r="B16" i="1"/>
  <c r="E16" i="1" s="1"/>
  <c r="C15" i="1"/>
  <c r="E15" i="1" s="1"/>
  <c r="B15" i="1"/>
  <c r="D15" i="1" s="1"/>
  <c r="E14" i="1"/>
  <c r="D14" i="1"/>
  <c r="E13" i="1"/>
  <c r="D13" i="1"/>
  <c r="B12" i="1"/>
  <c r="C11" i="1"/>
  <c r="E11" i="1" s="1"/>
  <c r="B11" i="1"/>
  <c r="D11" i="1" s="1"/>
  <c r="D10" i="1"/>
  <c r="C10" i="1"/>
  <c r="E10" i="1" s="1"/>
  <c r="B10" i="1"/>
  <c r="E9" i="1"/>
  <c r="D9" i="1"/>
  <c r="C9" i="1"/>
  <c r="C12" i="1" s="1"/>
  <c r="E8" i="1"/>
  <c r="D8" i="1"/>
  <c r="G26" i="7" l="1"/>
  <c r="C33" i="7"/>
  <c r="G33" i="7" s="1"/>
  <c r="G6" i="7"/>
  <c r="O19" i="6"/>
  <c r="O6" i="6"/>
  <c r="O7" i="6"/>
  <c r="G9" i="6"/>
  <c r="D29" i="5"/>
  <c r="B60" i="5"/>
  <c r="C59" i="5"/>
  <c r="D48" i="5"/>
  <c r="B30" i="5"/>
  <c r="D16" i="5"/>
  <c r="D58" i="5"/>
  <c r="C30" i="5"/>
  <c r="E16" i="5"/>
  <c r="D10" i="5"/>
  <c r="D45" i="5"/>
  <c r="D50" i="5"/>
  <c r="D63" i="5"/>
  <c r="E10" i="5"/>
  <c r="E45" i="5"/>
  <c r="E50" i="5"/>
  <c r="E63" i="5"/>
  <c r="B35" i="5"/>
  <c r="C35" i="5"/>
  <c r="E35" i="5" s="1"/>
  <c r="D22" i="5"/>
  <c r="D47" i="5"/>
  <c r="E22" i="5"/>
  <c r="E47" i="5"/>
  <c r="B19" i="4"/>
  <c r="D14" i="4"/>
  <c r="C19" i="4"/>
  <c r="E14" i="4"/>
  <c r="D36" i="4"/>
  <c r="D39" i="4"/>
  <c r="B46" i="4"/>
  <c r="D9" i="4"/>
  <c r="C46" i="4"/>
  <c r="E46" i="4" s="1"/>
  <c r="D50" i="4"/>
  <c r="E9" i="4"/>
  <c r="D27" i="4"/>
  <c r="D30" i="4"/>
  <c r="E50" i="4"/>
  <c r="D10" i="4"/>
  <c r="D28" i="4"/>
  <c r="D11" i="4"/>
  <c r="D49" i="4"/>
  <c r="E12" i="3"/>
  <c r="D12" i="3"/>
  <c r="E28" i="3"/>
  <c r="C72" i="3"/>
  <c r="E35" i="3"/>
  <c r="E80" i="3"/>
  <c r="E93" i="3"/>
  <c r="D93" i="3"/>
  <c r="D28" i="3"/>
  <c r="D128" i="3"/>
  <c r="D149" i="3"/>
  <c r="C21" i="3"/>
  <c r="E17" i="3"/>
  <c r="E135" i="3"/>
  <c r="B21" i="3"/>
  <c r="D21" i="3" s="1"/>
  <c r="D17" i="3"/>
  <c r="E106" i="3"/>
  <c r="D32" i="3"/>
  <c r="E71" i="3"/>
  <c r="E75" i="3"/>
  <c r="D118" i="3"/>
  <c r="D15" i="3"/>
  <c r="D26" i="3"/>
  <c r="D43" i="3"/>
  <c r="D46" i="3"/>
  <c r="D95" i="3"/>
  <c r="D112" i="3"/>
  <c r="D123" i="3"/>
  <c r="D126" i="3"/>
  <c r="D129" i="3"/>
  <c r="B150" i="3"/>
  <c r="D11" i="3"/>
  <c r="E15" i="3"/>
  <c r="E26" i="3"/>
  <c r="D30" i="3"/>
  <c r="D33" i="3"/>
  <c r="D73" i="3"/>
  <c r="E95" i="3"/>
  <c r="B106" i="3"/>
  <c r="D106" i="3" s="1"/>
  <c r="E123" i="3"/>
  <c r="D143" i="3"/>
  <c r="D154" i="3"/>
  <c r="E33" i="3"/>
  <c r="D40" i="3"/>
  <c r="D53" i="3"/>
  <c r="E73" i="3"/>
  <c r="D133" i="3"/>
  <c r="D147" i="3"/>
  <c r="E154" i="3"/>
  <c r="D16" i="3"/>
  <c r="E37" i="3"/>
  <c r="E92" i="3"/>
  <c r="D120" i="3"/>
  <c r="E133" i="3"/>
  <c r="E147" i="3"/>
  <c r="D64" i="3"/>
  <c r="D74" i="3"/>
  <c r="D78" i="3"/>
  <c r="D124" i="3"/>
  <c r="B111" i="3"/>
  <c r="D111" i="3" s="1"/>
  <c r="D148" i="3"/>
  <c r="D48" i="3"/>
  <c r="B72" i="3"/>
  <c r="D72" i="3" s="1"/>
  <c r="D131" i="3"/>
  <c r="C101" i="3"/>
  <c r="E101" i="3" s="1"/>
  <c r="C118" i="3"/>
  <c r="E118" i="3" s="1"/>
  <c r="D153" i="3"/>
  <c r="B18" i="2"/>
  <c r="C48" i="2"/>
  <c r="E48" i="2" s="1"/>
  <c r="D9" i="2"/>
  <c r="E12" i="2"/>
  <c r="E16" i="2"/>
  <c r="E20" i="2"/>
  <c r="E23" i="2"/>
  <c r="C13" i="2"/>
  <c r="D13" i="2" s="1"/>
  <c r="C17" i="2"/>
  <c r="E17" i="2" s="1"/>
  <c r="D10" i="2"/>
  <c r="D37" i="2"/>
  <c r="D40" i="2"/>
  <c r="D43" i="2"/>
  <c r="D46" i="2"/>
  <c r="D25" i="2"/>
  <c r="D11" i="2"/>
  <c r="D15" i="2"/>
  <c r="D22" i="2"/>
  <c r="D35" i="2"/>
  <c r="D162" i="1"/>
  <c r="E108" i="1"/>
  <c r="D132" i="1"/>
  <c r="E152" i="1"/>
  <c r="E123" i="1"/>
  <c r="D145" i="1"/>
  <c r="C86" i="1"/>
  <c r="D167" i="1"/>
  <c r="E12" i="1"/>
  <c r="D16" i="1"/>
  <c r="E26" i="1"/>
  <c r="E48" i="1"/>
  <c r="E61" i="1"/>
  <c r="D68" i="1"/>
  <c r="E71" i="1"/>
  <c r="E103" i="1"/>
  <c r="D107" i="1"/>
  <c r="D117" i="1"/>
  <c r="D127" i="1"/>
  <c r="E137" i="1"/>
  <c r="D141" i="1"/>
  <c r="E144" i="1"/>
  <c r="E147" i="1"/>
  <c r="E157" i="1"/>
  <c r="D12" i="1"/>
  <c r="E19" i="1"/>
  <c r="D45" i="1"/>
  <c r="D58" i="1"/>
  <c r="E107" i="1"/>
  <c r="E127" i="1"/>
  <c r="E141" i="1"/>
  <c r="D151" i="1"/>
  <c r="D161" i="1"/>
  <c r="D62" i="1"/>
  <c r="B86" i="1"/>
  <c r="D86" i="1" s="1"/>
  <c r="D104" i="1"/>
  <c r="B118" i="1"/>
  <c r="D118" i="1" s="1"/>
  <c r="E134" i="1"/>
  <c r="E161" i="1"/>
  <c r="D165" i="1"/>
  <c r="B17" i="1"/>
  <c r="E42" i="1"/>
  <c r="C17" i="1"/>
  <c r="E165" i="1"/>
  <c r="D24" i="1"/>
  <c r="E28" i="1"/>
  <c r="D32" i="1"/>
  <c r="D43" i="1"/>
  <c r="D56" i="1"/>
  <c r="D66" i="1"/>
  <c r="C105" i="1"/>
  <c r="E105" i="1" s="1"/>
  <c r="C132" i="1"/>
  <c r="E132" i="1" s="1"/>
  <c r="C156" i="1"/>
  <c r="E156" i="1" s="1"/>
  <c r="D166" i="1"/>
  <c r="D143" i="1"/>
  <c r="D67" i="1"/>
  <c r="D116" i="1"/>
  <c r="D119" i="1"/>
  <c r="D140" i="1"/>
  <c r="D44" i="1"/>
  <c r="D57" i="1"/>
  <c r="E91" i="1"/>
  <c r="C113" i="1"/>
  <c r="E113" i="1" s="1"/>
  <c r="B123" i="1"/>
  <c r="D123" i="1" s="1"/>
  <c r="B85" i="1"/>
  <c r="D85" i="1" s="1"/>
  <c r="C39" i="5" l="1"/>
  <c r="E30" i="5"/>
  <c r="D35" i="5"/>
  <c r="B39" i="5"/>
  <c r="D39" i="5" s="1"/>
  <c r="D30" i="5"/>
  <c r="C60" i="5"/>
  <c r="E59" i="5"/>
  <c r="D59" i="5"/>
  <c r="B68" i="5"/>
  <c r="D60" i="5"/>
  <c r="D46" i="4"/>
  <c r="C47" i="4"/>
  <c r="E19" i="4"/>
  <c r="D19" i="4"/>
  <c r="B47" i="4"/>
  <c r="C150" i="3"/>
  <c r="E150" i="3" s="1"/>
  <c r="E72" i="3"/>
  <c r="D101" i="3"/>
  <c r="C76" i="3"/>
  <c r="E21" i="3"/>
  <c r="B76" i="3"/>
  <c r="D17" i="2"/>
  <c r="C18" i="2"/>
  <c r="E13" i="2"/>
  <c r="D48" i="2"/>
  <c r="D18" i="2"/>
  <c r="B49" i="2"/>
  <c r="D113" i="1"/>
  <c r="E118" i="1"/>
  <c r="B168" i="1"/>
  <c r="D168" i="1" s="1"/>
  <c r="C168" i="1"/>
  <c r="E168" i="1" s="1"/>
  <c r="E17" i="1"/>
  <c r="C23" i="1"/>
  <c r="E85" i="1"/>
  <c r="D17" i="1"/>
  <c r="B23" i="1"/>
  <c r="D105" i="1"/>
  <c r="E86" i="1"/>
  <c r="D156" i="1"/>
  <c r="C68" i="5" l="1"/>
  <c r="E68" i="5" s="1"/>
  <c r="E60" i="5"/>
  <c r="E39" i="5"/>
  <c r="C52" i="4"/>
  <c r="E47" i="4"/>
  <c r="B52" i="4"/>
  <c r="D52" i="4" s="1"/>
  <c r="D47" i="4"/>
  <c r="B81" i="3"/>
  <c r="D76" i="3"/>
  <c r="C81" i="3"/>
  <c r="E76" i="3"/>
  <c r="D150" i="3"/>
  <c r="B50" i="2"/>
  <c r="E18" i="2"/>
  <c r="C49" i="2"/>
  <c r="D49" i="2" s="1"/>
  <c r="D23" i="1"/>
  <c r="B88" i="1"/>
  <c r="E23" i="1"/>
  <c r="C88" i="1"/>
  <c r="D68" i="5" l="1"/>
  <c r="E52" i="4"/>
  <c r="C151" i="3"/>
  <c r="E81" i="3"/>
  <c r="B151" i="3"/>
  <c r="D81" i="3"/>
  <c r="C50" i="2"/>
  <c r="E50" i="2" s="1"/>
  <c r="E49" i="2"/>
  <c r="D50" i="2"/>
  <c r="C93" i="1"/>
  <c r="E88" i="1"/>
  <c r="B93" i="1"/>
  <c r="D88" i="1"/>
  <c r="B156" i="3" l="1"/>
  <c r="D151" i="3"/>
  <c r="C156" i="3"/>
  <c r="E156" i="3" s="1"/>
  <c r="E151" i="3"/>
  <c r="C169" i="1"/>
  <c r="E93" i="1"/>
  <c r="D93" i="1"/>
  <c r="B169" i="1"/>
  <c r="D156" i="3" l="1"/>
  <c r="B170" i="1"/>
  <c r="D169" i="1"/>
  <c r="C170" i="1"/>
  <c r="E170" i="1" s="1"/>
  <c r="E169" i="1"/>
  <c r="D170" i="1" l="1"/>
</calcChain>
</file>

<file path=xl/sharedStrings.xml><?xml version="1.0" encoding="utf-8"?>
<sst xmlns="http://schemas.openxmlformats.org/spreadsheetml/2006/main" count="786" uniqueCount="383">
  <si>
    <t>Total</t>
  </si>
  <si>
    <t>Actual</t>
  </si>
  <si>
    <t>Budget</t>
  </si>
  <si>
    <t>over Budget</t>
  </si>
  <si>
    <t>% of Budget</t>
  </si>
  <si>
    <t>Revenue</t>
  </si>
  <si>
    <t xml:space="preserve">   4200 Grants</t>
  </si>
  <si>
    <t xml:space="preserve">      8006 State of Alaska</t>
  </si>
  <si>
    <t xml:space="preserve">      8032 4110 City of Valdez</t>
  </si>
  <si>
    <t xml:space="preserve">      8033 Foundation</t>
  </si>
  <si>
    <t xml:space="preserve">   Total 4200 Grants</t>
  </si>
  <si>
    <t xml:space="preserve">   8003 Fund Development</t>
  </si>
  <si>
    <t xml:space="preserve">      4030 Donations Income</t>
  </si>
  <si>
    <t xml:space="preserve">         8002 Unrestricted</t>
  </si>
  <si>
    <t xml:space="preserve">         8062 6145 In-Kind Income</t>
  </si>
  <si>
    <t xml:space="preserve">      Total 4030 Donations Income</t>
  </si>
  <si>
    <t xml:space="preserve">      8004 Corporate Sponsorship</t>
  </si>
  <si>
    <t xml:space="preserve">      8021 Annual Appeal</t>
  </si>
  <si>
    <t xml:space="preserve">      8022 Raffle</t>
  </si>
  <si>
    <t xml:space="preserve">      8060 Roadhouse Dinner</t>
  </si>
  <si>
    <t xml:space="preserve">      8061 Membership</t>
  </si>
  <si>
    <t xml:space="preserve">   Total 8003 Fund Development</t>
  </si>
  <si>
    <t xml:space="preserve">   8011 Reimbursed Expenses</t>
  </si>
  <si>
    <t xml:space="preserve">   8024 Earned Revenue</t>
  </si>
  <si>
    <t xml:space="preserve">      4110 Shipping and Delivery Income</t>
  </si>
  <si>
    <t xml:space="preserve">      4120 Museum Fees</t>
  </si>
  <si>
    <t xml:space="preserve">         80011 Presenter &amp; Guide Income</t>
  </si>
  <si>
    <t xml:space="preserve">         8009 Admission Fees - Tour/Bulk</t>
  </si>
  <si>
    <t xml:space="preserve">         8010 Archival Fees</t>
  </si>
  <si>
    <t xml:space="preserve">         8026 Admissions - General</t>
  </si>
  <si>
    <t xml:space="preserve">         8159 Space Rental</t>
  </si>
  <si>
    <t xml:space="preserve">      Total 4120 Museum Fees</t>
  </si>
  <si>
    <t xml:space="preserve">      48600 Service Sales</t>
  </si>
  <si>
    <t xml:space="preserve">         486001 Shipping</t>
  </si>
  <si>
    <t xml:space="preserve">         Services</t>
  </si>
  <si>
    <t xml:space="preserve">      Total 48600 Service Sales</t>
  </si>
  <si>
    <t xml:space="preserve">      8025 Program Fees</t>
  </si>
  <si>
    <t xml:space="preserve">         8025.1 Enrollment Fees</t>
  </si>
  <si>
    <t xml:space="preserve">      Total 8025 Program Fees</t>
  </si>
  <si>
    <t xml:space="preserve">      8027 Store Sales</t>
  </si>
  <si>
    <t xml:space="preserve">         8012 Cards</t>
  </si>
  <si>
    <t xml:space="preserve">         8013 Books</t>
  </si>
  <si>
    <t xml:space="preserve">         8014 Childrens Books</t>
  </si>
  <si>
    <t xml:space="preserve">         8015 Gallery Sales</t>
  </si>
  <si>
    <t xml:space="preserve">         8017 Other Items</t>
  </si>
  <si>
    <t xml:space="preserve">         8029 Fundraising</t>
  </si>
  <si>
    <t xml:space="preserve">         8063 Copies/Fax</t>
  </si>
  <si>
    <t xml:space="preserve">         8164 Miscellaneous</t>
  </si>
  <si>
    <t xml:space="preserve">         8165 Audio/Video</t>
  </si>
  <si>
    <t xml:space="preserve">         8166 Post Cards</t>
  </si>
  <si>
    <t xml:space="preserve">         8167 Plush/Puppets</t>
  </si>
  <si>
    <t xml:space="preserve">         Art</t>
  </si>
  <si>
    <t xml:space="preserve">         Art Supplies</t>
  </si>
  <si>
    <t xml:space="preserve">         Body &amp; Bath Products</t>
  </si>
  <si>
    <t xml:space="preserve">         Bookmark</t>
  </si>
  <si>
    <t xml:space="preserve">         Candy</t>
  </si>
  <si>
    <t xml:space="preserve">         Childrens Toys</t>
  </si>
  <si>
    <t xml:space="preserve">         Clothing</t>
  </si>
  <si>
    <t xml:space="preserve">         Discount Income</t>
  </si>
  <si>
    <t xml:space="preserve">         Dog Toys&amp; Treats</t>
  </si>
  <si>
    <t xml:space="preserve">         Dolls</t>
  </si>
  <si>
    <t xml:space="preserve">         Food</t>
  </si>
  <si>
    <t xml:space="preserve">         Gold Vials</t>
  </si>
  <si>
    <t xml:space="preserve">         Jewelry</t>
  </si>
  <si>
    <t xml:space="preserve">         Key Chain</t>
  </si>
  <si>
    <t xml:space="preserve">         Kitchen Items</t>
  </si>
  <si>
    <t xml:space="preserve">         Magnet</t>
  </si>
  <si>
    <t xml:space="preserve">         Maps</t>
  </si>
  <si>
    <t xml:space="preserve">         Moosey Chews</t>
  </si>
  <si>
    <t xml:space="preserve">         Mugs</t>
  </si>
  <si>
    <t xml:space="preserve">         Ornament</t>
  </si>
  <si>
    <t xml:space="preserve">         Playing cards</t>
  </si>
  <si>
    <t xml:space="preserve">         Plush</t>
  </si>
  <si>
    <t xml:space="preserve">         Print</t>
  </si>
  <si>
    <t xml:space="preserve">         Sales of Product Income</t>
  </si>
  <si>
    <t xml:space="preserve">         Scarves</t>
  </si>
  <si>
    <t xml:space="preserve">         Seeds</t>
  </si>
  <si>
    <t xml:space="preserve">         Stickers</t>
  </si>
  <si>
    <t xml:space="preserve">         Suncatcher</t>
  </si>
  <si>
    <t xml:space="preserve">         Tote Bag</t>
  </si>
  <si>
    <t xml:space="preserve">         Ulu</t>
  </si>
  <si>
    <t xml:space="preserve">         Umbrella</t>
  </si>
  <si>
    <t xml:space="preserve">         Zipper Pulls</t>
  </si>
  <si>
    <t xml:space="preserve">      Total 8027 Store Sales</t>
  </si>
  <si>
    <t xml:space="preserve">   Total 8024 Earned Revenue</t>
  </si>
  <si>
    <t xml:space="preserve">   8501 7015 Interest Income</t>
  </si>
  <si>
    <t>Total Revenue</t>
  </si>
  <si>
    <t>Cost of Goods Sold</t>
  </si>
  <si>
    <t xml:space="preserve">   8101 Cost of Goods Sold</t>
  </si>
  <si>
    <t xml:space="preserve">   8102 Gallery Commission</t>
  </si>
  <si>
    <t>Total Cost of Goods Sold</t>
  </si>
  <si>
    <t>Gross Profit</t>
  </si>
  <si>
    <t>Expenditures</t>
  </si>
  <si>
    <t xml:space="preserve">   6185 Insurance</t>
  </si>
  <si>
    <t xml:space="preserve">      8137 Liability Insurance</t>
  </si>
  <si>
    <t xml:space="preserve">   Total 6185 Insurance</t>
  </si>
  <si>
    <t xml:space="preserve">   8036 Fundraising Expenses</t>
  </si>
  <si>
    <t xml:space="preserve">   8036.1 Membership</t>
  </si>
  <si>
    <t xml:space="preserve">   8037 IT Services</t>
  </si>
  <si>
    <t xml:space="preserve">   8039 Education</t>
  </si>
  <si>
    <t xml:space="preserve">   8040 Collections</t>
  </si>
  <si>
    <t xml:space="preserve">      8042 Collections Supplies</t>
  </si>
  <si>
    <t xml:space="preserve">      8043 Acquisitions</t>
  </si>
  <si>
    <t xml:space="preserve">   Total 8040 Collections</t>
  </si>
  <si>
    <t xml:space="preserve">   8047 Janitoral Services</t>
  </si>
  <si>
    <t xml:space="preserve">      8114 General Janitoral</t>
  </si>
  <si>
    <t xml:space="preserve">   Total 8047 Janitoral Services</t>
  </si>
  <si>
    <t xml:space="preserve">   8048 Utilities</t>
  </si>
  <si>
    <t xml:space="preserve">      8115 Electric</t>
  </si>
  <si>
    <t xml:space="preserve">      8116 Heating Oil</t>
  </si>
  <si>
    <t xml:space="preserve">      8117 Water</t>
  </si>
  <si>
    <t xml:space="preserve">   Total 8048 Utilities</t>
  </si>
  <si>
    <t xml:space="preserve">   8049 Supplies</t>
  </si>
  <si>
    <t xml:space="preserve">      8125 Technology</t>
  </si>
  <si>
    <t xml:space="preserve">      8126 Office Supplies</t>
  </si>
  <si>
    <t xml:space="preserve">      8127 Operating</t>
  </si>
  <si>
    <t xml:space="preserve">   Total 8049 Supplies</t>
  </si>
  <si>
    <t xml:space="preserve">   8053 Advertising/Marketing</t>
  </si>
  <si>
    <t xml:space="preserve">   8056 Travel</t>
  </si>
  <si>
    <t xml:space="preserve">      8142 Meals</t>
  </si>
  <si>
    <t xml:space="preserve">      8143 Travel</t>
  </si>
  <si>
    <t xml:space="preserve">   Total 8056 Travel</t>
  </si>
  <si>
    <t xml:space="preserve">   8058 Public Programs</t>
  </si>
  <si>
    <t xml:space="preserve">   8059 Contingency</t>
  </si>
  <si>
    <t xml:space="preserve">   8103 Personnel Expenses</t>
  </si>
  <si>
    <t xml:space="preserve">      8104 Salaries &amp; Wages</t>
  </si>
  <si>
    <t xml:space="preserve">      8105 ESC Payroll Tax</t>
  </si>
  <si>
    <t xml:space="preserve">      8106 FICA Payroll Tax</t>
  </si>
  <si>
    <t xml:space="preserve">      8107 403(b) - Employer</t>
  </si>
  <si>
    <t xml:space="preserve">      8108 Health Insurance</t>
  </si>
  <si>
    <t xml:space="preserve">   Total 8103 Personnel Expenses</t>
  </si>
  <si>
    <t xml:space="preserve">   8110 Professional Fees</t>
  </si>
  <si>
    <t xml:space="preserve">      8045 Accounting</t>
  </si>
  <si>
    <t xml:space="preserve">      8046 Consulting</t>
  </si>
  <si>
    <t xml:space="preserve">   Total 8110 Professional Fees</t>
  </si>
  <si>
    <t xml:space="preserve">   8113 Vehicle Expense</t>
  </si>
  <si>
    <t xml:space="preserve">   8118 Telephone</t>
  </si>
  <si>
    <t xml:space="preserve">      8119 Fax</t>
  </si>
  <si>
    <t xml:space="preserve">      8120 Internet</t>
  </si>
  <si>
    <t xml:space="preserve">      8121 Local Service</t>
  </si>
  <si>
    <t xml:space="preserve">      8122 Long Distance</t>
  </si>
  <si>
    <t xml:space="preserve">      8124 Conference Line</t>
  </si>
  <si>
    <t xml:space="preserve">      Cell Phone</t>
  </si>
  <si>
    <t xml:space="preserve">   Total 8118 Telephone</t>
  </si>
  <si>
    <t xml:space="preserve">   8123 Postage and Delivery</t>
  </si>
  <si>
    <t xml:space="preserve">   8130 Dues and Subscriptions</t>
  </si>
  <si>
    <t xml:space="preserve">   8131 Printing and Reproduction</t>
  </si>
  <si>
    <t xml:space="preserve">   8134 Rent</t>
  </si>
  <si>
    <t xml:space="preserve">      8055 Building Lease</t>
  </si>
  <si>
    <t xml:space="preserve">      8056.1 Storage Rent</t>
  </si>
  <si>
    <t xml:space="preserve">   Total 8134 Rent</t>
  </si>
  <si>
    <t xml:space="preserve">   8138 Credit Card Fees</t>
  </si>
  <si>
    <t xml:space="preserve">      QuickBooks Payments Fees</t>
  </si>
  <si>
    <t xml:space="preserve">      Square Fees</t>
  </si>
  <si>
    <t xml:space="preserve">   Total 8138 Credit Card Fees</t>
  </si>
  <si>
    <t xml:space="preserve">   8139 Bank Service Charges</t>
  </si>
  <si>
    <t xml:space="preserve">   8144 Training &amp; Education</t>
  </si>
  <si>
    <t xml:space="preserve">   8145 Licenses and Permits</t>
  </si>
  <si>
    <t xml:space="preserve">   8148 Contributions</t>
  </si>
  <si>
    <t xml:space="preserve">      8057 In-Kind Expenses</t>
  </si>
  <si>
    <t xml:space="preserve">   Total 8148 Contributions</t>
  </si>
  <si>
    <t xml:space="preserve">   9002 Freight and Shipping Costs</t>
  </si>
  <si>
    <t xml:space="preserve">   Exhibits</t>
  </si>
  <si>
    <t xml:space="preserve">      8051 Permanent Exhibits</t>
  </si>
  <si>
    <t xml:space="preserve">      8052 Temporary Exhibits</t>
  </si>
  <si>
    <t xml:space="preserve">   Total Exhibits</t>
  </si>
  <si>
    <t>Total Expenditures</t>
  </si>
  <si>
    <t>Net Operating Revenue</t>
  </si>
  <si>
    <t>Net Revenue</t>
  </si>
  <si>
    <t>Thursday, Apr 06, 2023 04:55:47 PM GMT-7 - Accrual Basis</t>
  </si>
  <si>
    <t>VALDEZ MUSEUM &amp; HISTORICAL ARCHIVE ASSOCIATION, IN</t>
  </si>
  <si>
    <t xml:space="preserve">Budget vs. Actuals: FY-2023 - FY23 P&amp;L </t>
  </si>
  <si>
    <t>January - December 2023</t>
  </si>
  <si>
    <t>Thursday, Apr 06, 2023 04:57:28 PM GMT-7 - Accrual Basis</t>
  </si>
  <si>
    <t>Statement of Activity Comparison</t>
  </si>
  <si>
    <t>January - March, 2023</t>
  </si>
  <si>
    <t>Jan - Mar, 2023</t>
  </si>
  <si>
    <t>Jan - Mar, 2022 (PY)</t>
  </si>
  <si>
    <t>Change</t>
  </si>
  <si>
    <t>% Change</t>
  </si>
  <si>
    <t xml:space="preserve">   8008 Miscellaneous Income</t>
  </si>
  <si>
    <t xml:space="preserve">      Phyllis Irish Memorial Fund CD</t>
  </si>
  <si>
    <t xml:space="preserve">   Total 8501 7015 Interest Income</t>
  </si>
  <si>
    <t xml:space="preserve">      8043.1 Intern</t>
  </si>
  <si>
    <t>Other Expenditures</t>
  </si>
  <si>
    <t xml:space="preserve">   Reconciliation Discrepancies-1</t>
  </si>
  <si>
    <t>Total Other Expenditures</t>
  </si>
  <si>
    <t>Net Other Revenue</t>
  </si>
  <si>
    <t>Thursday, Apr 06, 2023 05:02:15 PM GMT-7 - Accrual Basis</t>
  </si>
  <si>
    <t>Thursday, Apr 06, 2023 05:03:15 PM GMT-7 - Accrual Basis</t>
  </si>
  <si>
    <t xml:space="preserve">Statement of Financial Position Comparison </t>
  </si>
  <si>
    <t>As of March 31, 2023</t>
  </si>
  <si>
    <t>As of Mar 31, 2023</t>
  </si>
  <si>
    <t>As of Mar 31, 2022 (PY)</t>
  </si>
  <si>
    <t>ASSETS</t>
  </si>
  <si>
    <t xml:space="preserve">   Current Assets</t>
  </si>
  <si>
    <t xml:space="preserve">      Bank Accounts</t>
  </si>
  <si>
    <t xml:space="preserve">         1003 WF Merchant Services Account</t>
  </si>
  <si>
    <t xml:space="preserve">         1021 CD 61215021 -Phyllis Irish</t>
  </si>
  <si>
    <t xml:space="preserve">         1022 10950 Cash in Drawer</t>
  </si>
  <si>
    <t xml:space="preserve">         1024 1st National Savings</t>
  </si>
  <si>
    <t xml:space="preserve">         1025 1st National  Operating</t>
  </si>
  <si>
    <t xml:space="preserve">         1026 1st National Gaming</t>
  </si>
  <si>
    <t xml:space="preserve">      Total Bank Accounts</t>
  </si>
  <si>
    <t xml:space="preserve">      Accounts Receivable</t>
  </si>
  <si>
    <t xml:space="preserve">         102 Accounts Receivable (AR)</t>
  </si>
  <si>
    <t xml:space="preserve">         1501 Accounts Receivable</t>
  </si>
  <si>
    <t xml:space="preserve">      Total Accounts Receivable</t>
  </si>
  <si>
    <t xml:space="preserve">      Other Current Assets</t>
  </si>
  <si>
    <t xml:space="preserve">         1017 Undeposited Funds</t>
  </si>
  <si>
    <t xml:space="preserve">         1502 Museum Endowment Fund</t>
  </si>
  <si>
    <t xml:space="preserve">         2002 1120 Inventory Asset</t>
  </si>
  <si>
    <t xml:space="preserve">         2501 Prepaid Insurance</t>
  </si>
  <si>
    <t xml:space="preserve">         8132 Cash Reserves</t>
  </si>
  <si>
    <t xml:space="preserve">         Cash on Hand</t>
  </si>
  <si>
    <t xml:space="preserve">         Uncategorized Asset</t>
  </si>
  <si>
    <t xml:space="preserve">      Total Other Current Assets</t>
  </si>
  <si>
    <t xml:space="preserve">   Total Current Assets</t>
  </si>
  <si>
    <t xml:space="preserve">   Fixed Assets</t>
  </si>
  <si>
    <t xml:space="preserve">      4000 Construction in Progress</t>
  </si>
  <si>
    <t xml:space="preserve">      4001 Fixed Assets</t>
  </si>
  <si>
    <t xml:space="preserve">      4002 Lifeboat Shelter Asset</t>
  </si>
  <si>
    <t xml:space="preserve">   Total Fixed Assets</t>
  </si>
  <si>
    <t xml:space="preserve">   Other Assets</t>
  </si>
  <si>
    <t xml:space="preserve">      Merchandise Inventory</t>
  </si>
  <si>
    <t xml:space="preserve">   Total Other Assets</t>
  </si>
  <si>
    <t>TOTAL ASSETS</t>
  </si>
  <si>
    <t>LIABILITIES AND EQUITY</t>
  </si>
  <si>
    <t xml:space="preserve">   Liabilities</t>
  </si>
  <si>
    <t xml:space="preserve">      Current Liabilities</t>
  </si>
  <si>
    <t xml:space="preserve">         Accounts Payable</t>
  </si>
  <si>
    <t xml:space="preserve">            5501 2000 Accounts Payable</t>
  </si>
  <si>
    <t xml:space="preserve">         Total Accounts Payable</t>
  </si>
  <si>
    <t xml:space="preserve">         Credit Cards</t>
  </si>
  <si>
    <t xml:space="preserve">            5505 Bank of America  Business Card</t>
  </si>
  <si>
    <t xml:space="preserve">         Total Credit Cards</t>
  </si>
  <si>
    <t xml:space="preserve">         Other Current Liabilities</t>
  </si>
  <si>
    <t xml:space="preserve">            25100 Employee Tips Payable</t>
  </si>
  <si>
    <t xml:space="preserve">            5503 Loss on Disposal of Assets</t>
  </si>
  <si>
    <t xml:space="preserve">            5504 24700 Customer Deposits</t>
  </si>
  <si>
    <t xml:space="preserve">            6002 Leave Payable</t>
  </si>
  <si>
    <t xml:space="preserve">            6003 2100 Payroll Liabilities</t>
  </si>
  <si>
    <t xml:space="preserve">            6601 Deferred Revenue</t>
  </si>
  <si>
    <t xml:space="preserve">            Direct Deposit Payable</t>
  </si>
  <si>
    <t xml:space="preserve">            Payroll Liabilities</t>
  </si>
  <si>
    <t xml:space="preserve">         Total Other Current Liabilities</t>
  </si>
  <si>
    <t xml:space="preserve">      Total Current Liabilities</t>
  </si>
  <si>
    <t xml:space="preserve">   Total Liabilities</t>
  </si>
  <si>
    <t xml:space="preserve">   Equity</t>
  </si>
  <si>
    <t xml:space="preserve">      3000 Opening Bal Equity</t>
  </si>
  <si>
    <t xml:space="preserve">      7502 3900 Retained Earnings</t>
  </si>
  <si>
    <t xml:space="preserve">      7503 Museum Endowment Fund Equity</t>
  </si>
  <si>
    <t xml:space="preserve">      8079 Contributed Capital</t>
  </si>
  <si>
    <t xml:space="preserve">      Net Revenue</t>
  </si>
  <si>
    <t xml:space="preserve">   Total Equity</t>
  </si>
  <si>
    <t>TOTAL LIABILITIES AND EQUITY</t>
  </si>
  <si>
    <t>Thursday, Apr 06, 2023 05:05:00 PM GMT-7 - Accrual Basis</t>
  </si>
  <si>
    <t>A/P Aging Summary</t>
  </si>
  <si>
    <t>Current</t>
  </si>
  <si>
    <t>1 - 30</t>
  </si>
  <si>
    <t>31 - 60</t>
  </si>
  <si>
    <t>61 - 90</t>
  </si>
  <si>
    <t>91 and over</t>
  </si>
  <si>
    <t>Audit Adjustment.1</t>
  </si>
  <si>
    <t>Barnacle Foods</t>
  </si>
  <si>
    <t>Copper Valley Electric Assoc., Inc.</t>
  </si>
  <si>
    <t>Copper Valley Telecom</t>
  </si>
  <si>
    <t>Dahlis _crafter</t>
  </si>
  <si>
    <t>Mythink Works</t>
  </si>
  <si>
    <t>North Pacific Fuel</t>
  </si>
  <si>
    <t>Other Vender</t>
  </si>
  <si>
    <t>Valdez Museum Store</t>
  </si>
  <si>
    <t>Wells Fargo Bank</t>
  </si>
  <si>
    <t>WSU Press</t>
  </si>
  <si>
    <t>TOTAL</t>
  </si>
  <si>
    <t>Thursday, Apr 06, 2023 05:08:50 PM GMT-7</t>
  </si>
  <si>
    <t>As of March 31, 2022</t>
  </si>
  <si>
    <t>Crafty Design LTD</t>
  </si>
  <si>
    <t>From the C</t>
  </si>
  <si>
    <t>Jack of Arts</t>
  </si>
  <si>
    <t>Shrimp Whisperer</t>
  </si>
  <si>
    <t>Stuckonu Quillworks</t>
  </si>
  <si>
    <t>Wallace IT Solutions</t>
  </si>
  <si>
    <t>Xerox</t>
  </si>
  <si>
    <t>Thursday, Apr 06, 2023 05:10:19 PM GMT-7</t>
  </si>
  <si>
    <t>A/R Aging Summary</t>
  </si>
  <si>
    <t>Alyeska Pipeline Service Co.</t>
  </si>
  <si>
    <t>City of Valdez - Grant Income</t>
  </si>
  <si>
    <t>Margaret Holm</t>
  </si>
  <si>
    <t>Matt Orr</t>
  </si>
  <si>
    <t>Other Customer</t>
  </si>
  <si>
    <t>Patricia Relay</t>
  </si>
  <si>
    <t>QuickBooks Customer</t>
  </si>
  <si>
    <t>Steven Diaz</t>
  </si>
  <si>
    <t>Wells Fargo</t>
  </si>
  <si>
    <t>Thursday, Apr 06, 2023 05:12:10 PM GMT-7</t>
  </si>
  <si>
    <t>Need to be written off as the credit card process failed multiple times and now the customer is not returning calls</t>
  </si>
  <si>
    <t>National Parks Service</t>
  </si>
  <si>
    <t>Thursday, Apr 06, 2023 05:14:52 PM GMT-7</t>
  </si>
  <si>
    <t xml:space="preserve">Date:  Custom			</t>
  </si>
  <si>
    <t>Date</t>
  </si>
  <si>
    <t>Ref No.</t>
  </si>
  <si>
    <t>Type</t>
  </si>
  <si>
    <t>Payee</t>
  </si>
  <si>
    <t>Account</t>
  </si>
  <si>
    <t>Charge</t>
  </si>
  <si>
    <t>Payment</t>
  </si>
  <si>
    <t>Reconciliation Status</t>
  </si>
  <si>
    <t>Balance</t>
  </si>
  <si>
    <t>04/04/2023</t>
  </si>
  <si>
    <t>Expenditure</t>
  </si>
  <si>
    <t>AK Dept of Commerce Web</t>
  </si>
  <si>
    <t>Dropbox</t>
  </si>
  <si>
    <t>8130 Dues and Subscriptions</t>
  </si>
  <si>
    <t>04/01/2023</t>
  </si>
  <si>
    <t>Account Maintenance Fee</t>
  </si>
  <si>
    <t>8139 Bank Service Charges</t>
  </si>
  <si>
    <t>Cleared</t>
  </si>
  <si>
    <t>Microsoft</t>
  </si>
  <si>
    <t>8037 IT Services</t>
  </si>
  <si>
    <t>03/30/2023</t>
  </si>
  <si>
    <t>safeway</t>
  </si>
  <si>
    <t>8144 Training &amp; Education</t>
  </si>
  <si>
    <t>Valdez Food Cache</t>
  </si>
  <si>
    <t>03/24/2023</t>
  </si>
  <si>
    <t>Verizon Wireless</t>
  </si>
  <si>
    <t>Telephone:Cell Phone</t>
  </si>
  <si>
    <t>03/23/2023</t>
  </si>
  <si>
    <t>8127 Supplies:Operating</t>
  </si>
  <si>
    <t>Zoom</t>
  </si>
  <si>
    <t>03/21/2023</t>
  </si>
  <si>
    <t>amazon prime</t>
  </si>
  <si>
    <t>8101 Cost of Goods Sold</t>
  </si>
  <si>
    <t>8126 Supplies:Office Supplies</t>
  </si>
  <si>
    <t>03/17/2023</t>
  </si>
  <si>
    <t>03/13/2023</t>
  </si>
  <si>
    <t>Bill</t>
  </si>
  <si>
    <t>Business Card</t>
  </si>
  <si>
    <t>2000 Accounts Payable:Raffle Proceeds Payable</t>
  </si>
  <si>
    <t>Reconciled</t>
  </si>
  <si>
    <t>03/11/2023</t>
  </si>
  <si>
    <t>03/10/2023</t>
  </si>
  <si>
    <t>4 Imprint</t>
  </si>
  <si>
    <t>apple.com</t>
  </si>
  <si>
    <t>8039 Education</t>
  </si>
  <si>
    <t>USPS</t>
  </si>
  <si>
    <t>8123 Postage and Delivery</t>
  </si>
  <si>
    <t>03/09/2023</t>
  </si>
  <si>
    <t>8058 Public Programs</t>
  </si>
  <si>
    <t>03/07/2023</t>
  </si>
  <si>
    <t>Microsoft Online</t>
  </si>
  <si>
    <t>03/04/2023</t>
  </si>
  <si>
    <t>Hub of Alaska</t>
  </si>
  <si>
    <t>8143 Travel:Travel</t>
  </si>
  <si>
    <t>Alaska Park</t>
  </si>
  <si>
    <t>03/03/2023</t>
  </si>
  <si>
    <t>GAB</t>
  </si>
  <si>
    <t>8056 Travel</t>
  </si>
  <si>
    <t>03/02/2023</t>
  </si>
  <si>
    <t>03/01/2023</t>
  </si>
  <si>
    <t>Curb Serve</t>
  </si>
  <si>
    <t>Lincoln Restaurant</t>
  </si>
  <si>
    <t>8142 Travel:Meals</t>
  </si>
  <si>
    <t>Washington Plaza Hotel</t>
  </si>
  <si>
    <t xml:space="preserve">5505 Bank of America  Business Card					</t>
  </si>
  <si>
    <t>Grants</t>
  </si>
  <si>
    <t xml:space="preserve">Fud Development </t>
  </si>
  <si>
    <t>Earned Revenue</t>
  </si>
  <si>
    <t xml:space="preserve">   8047 Janitorial Services</t>
  </si>
  <si>
    <t>Training &amp; Education</t>
  </si>
  <si>
    <t>Dues &amp; Subscriptions</t>
  </si>
  <si>
    <t>Professional Fees</t>
  </si>
  <si>
    <t>Utilities</t>
  </si>
  <si>
    <t>Fund Development</t>
  </si>
  <si>
    <t>Collections</t>
  </si>
  <si>
    <t>Supplies</t>
  </si>
  <si>
    <t>Travel</t>
  </si>
  <si>
    <t>Bank Account</t>
  </si>
  <si>
    <t>Accounts Receivable</t>
  </si>
  <si>
    <t>Museum Endowment</t>
  </si>
  <si>
    <t>Net Income</t>
  </si>
  <si>
    <t>Accounts Payable</t>
  </si>
  <si>
    <t>Credit Card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</si>
</sst>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_€"/>
    <numFmt numFmtId="165" formatCode="&quot;$&quot;* #,##0.00\ _€"/>
  </numFmts>
  <fonts count="9" x14ac:knownFonts="1">
    <font>
      <sz val="11"/>
      <color indexed="8"/>
      <name val="Calibri"/>
      <family val="2"/>
      <scheme val="minor"/>
    </font>
    <font>
      <b/>
      <sz val="9"/>
      <color indexed="8"/>
      <name val="Arial"/>
    </font>
    <font>
      <b/>
      <sz val="8"/>
      <color indexed="8"/>
      <name val="Arial"/>
    </font>
    <font>
      <sz val="8"/>
      <color indexed="8"/>
      <name val="Arial"/>
    </font>
    <font>
      <b/>
      <sz val="14"/>
      <color indexed="8"/>
      <name val="Arial"/>
    </font>
    <font>
      <b/>
      <sz val="10"/>
      <color indexed="8"/>
      <name val="Arial"/>
    </font>
    <font>
      <b/>
      <sz val="9"/>
      <name val="Arial"/>
    </font>
    <font>
      <b/>
      <sz val="8"/>
      <name val="Arial"/>
    </font>
    <font>
      <sz val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indexed="8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>
      <alignment wrapText="1"/>
    </xf>
    <xf numFmtId="0" fontId="1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wrapText="1"/>
    </xf>
    <xf numFmtId="164" fontId="3" fillId="0" borderId="0" xfId="0" applyNumberFormat="1" applyFont="1" applyAlignment="1">
      <alignment wrapText="1"/>
    </xf>
    <xf numFmtId="164" fontId="3" fillId="0" borderId="0" xfId="0" applyNumberFormat="1" applyFont="1" applyAlignment="1">
      <alignment horizontal="right" wrapText="1"/>
    </xf>
    <xf numFmtId="10" fontId="3" fillId="0" borderId="0" xfId="0" applyNumberFormat="1" applyFont="1" applyAlignment="1">
      <alignment horizontal="right" wrapText="1"/>
    </xf>
    <xf numFmtId="165" fontId="2" fillId="0" borderId="2" xfId="0" applyNumberFormat="1" applyFont="1" applyBorder="1" applyAlignment="1">
      <alignment horizontal="right" wrapText="1"/>
    </xf>
    <xf numFmtId="10" fontId="2" fillId="0" borderId="2" xfId="0" applyNumberFormat="1" applyFont="1" applyBorder="1" applyAlignment="1">
      <alignment horizontal="right" wrapText="1"/>
    </xf>
    <xf numFmtId="165" fontId="2" fillId="0" borderId="3" xfId="0" applyNumberFormat="1" applyFont="1" applyBorder="1" applyAlignment="1">
      <alignment horizontal="right" wrapText="1"/>
    </xf>
    <xf numFmtId="10" fontId="2" fillId="0" borderId="3" xfId="0" applyNumberFormat="1" applyFont="1" applyBorder="1" applyAlignment="1">
      <alignment horizontal="right" wrapText="1"/>
    </xf>
    <xf numFmtId="164" fontId="3" fillId="2" borderId="0" xfId="0" applyNumberFormat="1" applyFont="1" applyFill="1" applyAlignment="1">
      <alignment horizontal="right" wrapText="1"/>
    </xf>
    <xf numFmtId="164" fontId="3" fillId="3" borderId="0" xfId="0" applyNumberFormat="1" applyFont="1" applyFill="1" applyAlignment="1">
      <alignment horizontal="right" wrapText="1"/>
    </xf>
    <xf numFmtId="0" fontId="0" fillId="3" borderId="0" xfId="0" applyFill="1"/>
    <xf numFmtId="0" fontId="7" fillId="0" borderId="4" xfId="0" applyFont="1" applyBorder="1" applyAlignment="1">
      <alignment horizontal="center" wrapText="1"/>
    </xf>
    <xf numFmtId="0" fontId="8" fillId="0" borderId="0" xfId="0" applyFont="1" applyAlignment="1">
      <alignment horizontal="left" wrapText="1"/>
    </xf>
    <xf numFmtId="4" fontId="8" fillId="0" borderId="0" xfId="0" applyNumberFormat="1" applyFont="1" applyAlignment="1">
      <alignment horizontal="left" wrapText="1"/>
    </xf>
    <xf numFmtId="164" fontId="0" fillId="0" borderId="0" xfId="0" applyNumberFormat="1"/>
    <xf numFmtId="0" fontId="1" fillId="0" borderId="1" xfId="0" applyFont="1" applyBorder="1" applyAlignment="1">
      <alignment horizontal="center" wrapText="1"/>
    </xf>
    <xf numFmtId="0" fontId="0" fillId="0" borderId="0" xfId="0" applyAlignment="1">
      <alignment wrapText="1"/>
    </xf>
    <xf numFmtId="0" fontId="3" fillId="0" borderId="0" xfId="0" applyFont="1" applyAlignment="1">
      <alignment horizontal="center"/>
    </xf>
    <xf numFmtId="0" fontId="0" fillId="0" borderId="0" xfId="0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 wrapText="1"/>
    </xf>
    <xf numFmtId="0" fontId="2" fillId="2" borderId="0" xfId="0" applyFont="1" applyFill="1" applyAlignment="1">
      <alignment horizontal="left" wrapText="1"/>
    </xf>
    <xf numFmtId="10" fontId="3" fillId="2" borderId="0" xfId="0" applyNumberFormat="1" applyFont="1" applyFill="1" applyAlignment="1">
      <alignment horizontal="right" wrapText="1"/>
    </xf>
    <xf numFmtId="165" fontId="2" fillId="2" borderId="3" xfId="0" applyNumberFormat="1" applyFont="1" applyFill="1" applyBorder="1" applyAlignment="1">
      <alignment horizontal="right" wrapText="1"/>
    </xf>
    <xf numFmtId="10" fontId="2" fillId="2" borderId="3" xfId="0" applyNumberFormat="1" applyFont="1" applyFill="1" applyBorder="1" applyAlignment="1">
      <alignment horizontal="right" wrapText="1"/>
    </xf>
    <xf numFmtId="164" fontId="3" fillId="2" borderId="0" xfId="0" applyNumberFormat="1" applyFont="1" applyFill="1" applyAlignment="1">
      <alignment wrapText="1"/>
    </xf>
    <xf numFmtId="4" fontId="0" fillId="0" borderId="0" xfId="0" applyNumberFormat="1"/>
    <xf numFmtId="165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Q1 2023</a:t>
            </a:r>
            <a:r>
              <a:rPr lang="en-US" baseline="0"/>
              <a:t> Income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'BVA Collapsed '!$J$9</c:f>
              <c:strCache>
                <c:ptCount val="1"/>
                <c:pt idx="0">
                  <c:v>Actual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'BVA Collapsed '!$I$10:$I$12</c:f>
              <c:strCache>
                <c:ptCount val="3"/>
                <c:pt idx="0">
                  <c:v>Fud Development </c:v>
                </c:pt>
                <c:pt idx="1">
                  <c:v>Earned Revenue</c:v>
                </c:pt>
                <c:pt idx="2">
                  <c:v>Grants</c:v>
                </c:pt>
              </c:strCache>
            </c:strRef>
          </c:cat>
          <c:val>
            <c:numRef>
              <c:f>'BVA Collapsed '!$J$10:$J$12</c:f>
              <c:numCache>
                <c:formatCode>#,##0.00\ _€</c:formatCode>
                <c:ptCount val="3"/>
                <c:pt idx="0">
                  <c:v>8508.4500000000007</c:v>
                </c:pt>
                <c:pt idx="1">
                  <c:v>3439.48</c:v>
                </c:pt>
                <c:pt idx="2">
                  <c:v>270000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6C-4410-A9FE-76CF16C3E056}"/>
            </c:ext>
          </c:extLst>
        </c:ser>
        <c:ser>
          <c:idx val="1"/>
          <c:order val="1"/>
          <c:tx>
            <c:strRef>
              <c:f>'BVA Collapsed '!$K$9</c:f>
              <c:strCache>
                <c:ptCount val="1"/>
                <c:pt idx="0">
                  <c:v>Budget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'BVA Collapsed '!$I$10:$I$12</c:f>
              <c:strCache>
                <c:ptCount val="3"/>
                <c:pt idx="0">
                  <c:v>Fud Development </c:v>
                </c:pt>
                <c:pt idx="1">
                  <c:v>Earned Revenue</c:v>
                </c:pt>
                <c:pt idx="2">
                  <c:v>Grants</c:v>
                </c:pt>
              </c:strCache>
            </c:strRef>
          </c:cat>
          <c:val>
            <c:numRef>
              <c:f>'BVA Collapsed '!$K$10:$K$12</c:f>
              <c:numCache>
                <c:formatCode>#,##0.00\ _€</c:formatCode>
                <c:ptCount val="3"/>
                <c:pt idx="0">
                  <c:v>70700</c:v>
                </c:pt>
                <c:pt idx="1">
                  <c:v>196881.53</c:v>
                </c:pt>
                <c:pt idx="2">
                  <c:v>543500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36C-4410-A9FE-76CF16C3E056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1791622800"/>
        <c:axId val="1425810704"/>
      </c:barChart>
      <c:catAx>
        <c:axId val="1791622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25810704"/>
        <c:crosses val="autoZero"/>
        <c:auto val="1"/>
        <c:lblAlgn val="ctr"/>
        <c:lblOffset val="100"/>
        <c:noMultiLvlLbl val="0"/>
      </c:catAx>
      <c:valAx>
        <c:axId val="1425810704"/>
        <c:scaling>
          <c:orientation val="minMax"/>
        </c:scaling>
        <c:delete val="1"/>
        <c:axPos val="b"/>
        <c:numFmt formatCode="0%" sourceLinked="1"/>
        <c:majorTickMark val="none"/>
        <c:minorTickMark val="none"/>
        <c:tickLblPos val="nextTo"/>
        <c:crossAx val="1791622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Q2 2023 Notable</a:t>
            </a:r>
            <a:r>
              <a:rPr lang="en-US" baseline="0"/>
              <a:t> Expenses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'BVA Collapsed '!$J$33</c:f>
              <c:strCache>
                <c:ptCount val="1"/>
                <c:pt idx="0">
                  <c:v>Actual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'BVA Collapsed '!$I$34:$I$37</c:f>
              <c:strCache>
                <c:ptCount val="4"/>
                <c:pt idx="0">
                  <c:v>Utilities</c:v>
                </c:pt>
                <c:pt idx="1">
                  <c:v>Professional Fees</c:v>
                </c:pt>
                <c:pt idx="2">
                  <c:v>Dues &amp; Subscriptions</c:v>
                </c:pt>
                <c:pt idx="3">
                  <c:v>Training &amp; Education</c:v>
                </c:pt>
              </c:strCache>
            </c:strRef>
          </c:cat>
          <c:val>
            <c:numRef>
              <c:f>'BVA Collapsed '!$J$34:$J$37</c:f>
              <c:numCache>
                <c:formatCode>#,##0.00\ _€</c:formatCode>
                <c:ptCount val="4"/>
                <c:pt idx="0">
                  <c:v>20396.55</c:v>
                </c:pt>
                <c:pt idx="1">
                  <c:v>10000</c:v>
                </c:pt>
                <c:pt idx="2">
                  <c:v>5039.3100000000004</c:v>
                </c:pt>
                <c:pt idx="3">
                  <c:v>4996.66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E1-4957-A788-7BCA2864D923}"/>
            </c:ext>
          </c:extLst>
        </c:ser>
        <c:ser>
          <c:idx val="1"/>
          <c:order val="1"/>
          <c:tx>
            <c:strRef>
              <c:f>'BVA Collapsed '!$K$33</c:f>
              <c:strCache>
                <c:ptCount val="1"/>
                <c:pt idx="0">
                  <c:v>Budget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'BVA Collapsed '!$I$34:$I$37</c:f>
              <c:strCache>
                <c:ptCount val="4"/>
                <c:pt idx="0">
                  <c:v>Utilities</c:v>
                </c:pt>
                <c:pt idx="1">
                  <c:v>Professional Fees</c:v>
                </c:pt>
                <c:pt idx="2">
                  <c:v>Dues &amp; Subscriptions</c:v>
                </c:pt>
                <c:pt idx="3">
                  <c:v>Training &amp; Education</c:v>
                </c:pt>
              </c:strCache>
            </c:strRef>
          </c:cat>
          <c:val>
            <c:numRef>
              <c:f>'BVA Collapsed '!$K$34:$K$37</c:f>
              <c:numCache>
                <c:formatCode>#,##0.00\ _€</c:formatCode>
                <c:ptCount val="4"/>
                <c:pt idx="0">
                  <c:v>64980</c:v>
                </c:pt>
                <c:pt idx="1">
                  <c:v>18400</c:v>
                </c:pt>
                <c:pt idx="2">
                  <c:v>11500</c:v>
                </c:pt>
                <c:pt idx="3">
                  <c:v>7750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7E1-4957-A788-7BCA2864D923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1952850496"/>
        <c:axId val="1952856736"/>
      </c:barChart>
      <c:catAx>
        <c:axId val="1952850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52856736"/>
        <c:crosses val="autoZero"/>
        <c:auto val="1"/>
        <c:lblAlgn val="ctr"/>
        <c:lblOffset val="100"/>
        <c:noMultiLvlLbl val="0"/>
      </c:catAx>
      <c:valAx>
        <c:axId val="1952856736"/>
        <c:scaling>
          <c:orientation val="minMax"/>
        </c:scaling>
        <c:delete val="1"/>
        <c:axPos val="b"/>
        <c:numFmt formatCode="0%" sourceLinked="1"/>
        <c:majorTickMark val="none"/>
        <c:minorTickMark val="none"/>
        <c:tickLblPos val="nextTo"/>
        <c:crossAx val="1952850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Q1 2023 Comparison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'SOA PYC Collapsed'!$I$12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'SOA PYC Collapsed'!$H$13:$H$15</c:f>
              <c:strCache>
                <c:ptCount val="3"/>
                <c:pt idx="0">
                  <c:v>Fund Development</c:v>
                </c:pt>
                <c:pt idx="1">
                  <c:v>Earned Revenue</c:v>
                </c:pt>
                <c:pt idx="2">
                  <c:v>Grants</c:v>
                </c:pt>
              </c:strCache>
            </c:strRef>
          </c:cat>
          <c:val>
            <c:numRef>
              <c:f>'SOA PYC Collapsed'!$I$13:$I$15</c:f>
              <c:numCache>
                <c:formatCode>#,##0.00\ _€</c:formatCode>
                <c:ptCount val="3"/>
                <c:pt idx="0">
                  <c:v>7893.45</c:v>
                </c:pt>
                <c:pt idx="1">
                  <c:v>3161.34</c:v>
                </c:pt>
                <c:pt idx="2">
                  <c:v>270000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0E-42AF-90D4-1F2EC7E12198}"/>
            </c:ext>
          </c:extLst>
        </c:ser>
        <c:ser>
          <c:idx val="1"/>
          <c:order val="1"/>
          <c:tx>
            <c:strRef>
              <c:f>'SOA PYC Collapsed'!$J$12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'SOA PYC Collapsed'!$H$13:$H$15</c:f>
              <c:strCache>
                <c:ptCount val="3"/>
                <c:pt idx="0">
                  <c:v>Fund Development</c:v>
                </c:pt>
                <c:pt idx="1">
                  <c:v>Earned Revenue</c:v>
                </c:pt>
                <c:pt idx="2">
                  <c:v>Grants</c:v>
                </c:pt>
              </c:strCache>
            </c:strRef>
          </c:cat>
          <c:val>
            <c:numRef>
              <c:f>'SOA PYC Collapsed'!$J$13:$J$15</c:f>
              <c:numCache>
                <c:formatCode>#,##0.00\ _€</c:formatCode>
                <c:ptCount val="3"/>
                <c:pt idx="0">
                  <c:v>8565.32</c:v>
                </c:pt>
                <c:pt idx="1">
                  <c:v>3045.59</c:v>
                </c:pt>
                <c:pt idx="2">
                  <c:v>277400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C0E-42AF-90D4-1F2EC7E1219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159817536"/>
        <c:axId val="159818496"/>
      </c:barChart>
      <c:catAx>
        <c:axId val="1598175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9818496"/>
        <c:crosses val="autoZero"/>
        <c:auto val="1"/>
        <c:lblAlgn val="ctr"/>
        <c:lblOffset val="100"/>
        <c:noMultiLvlLbl val="0"/>
      </c:catAx>
      <c:valAx>
        <c:axId val="159818496"/>
        <c:scaling>
          <c:orientation val="minMax"/>
        </c:scaling>
        <c:delete val="1"/>
        <c:axPos val="b"/>
        <c:numFmt formatCode="0%" sourceLinked="1"/>
        <c:majorTickMark val="none"/>
        <c:minorTickMark val="none"/>
        <c:tickLblPos val="nextTo"/>
        <c:crossAx val="1598175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Q2 2023 Expense Comparison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'SOA PYC Collapsed'!$I$34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'SOA PYC Collapsed'!$H$35:$H$39</c:f>
              <c:strCache>
                <c:ptCount val="5"/>
                <c:pt idx="0">
                  <c:v>Travel</c:v>
                </c:pt>
                <c:pt idx="1">
                  <c:v>Supplies</c:v>
                </c:pt>
                <c:pt idx="2">
                  <c:v>Utilities</c:v>
                </c:pt>
                <c:pt idx="3">
                  <c:v>Collections</c:v>
                </c:pt>
                <c:pt idx="4">
                  <c:v>Professional Fees</c:v>
                </c:pt>
              </c:strCache>
            </c:strRef>
          </c:cat>
          <c:val>
            <c:numRef>
              <c:f>'SOA PYC Collapsed'!$I$35:$I$39</c:f>
              <c:numCache>
                <c:formatCode>#,##0.00\ _€</c:formatCode>
                <c:ptCount val="5"/>
                <c:pt idx="0">
                  <c:v>1643.24</c:v>
                </c:pt>
                <c:pt idx="1">
                  <c:v>3958.34</c:v>
                </c:pt>
                <c:pt idx="2">
                  <c:v>19545.400000000001</c:v>
                </c:pt>
                <c:pt idx="3">
                  <c:v>0</c:v>
                </c:pt>
                <c:pt idx="4" formatCode="#,##0.00">
                  <c:v>10000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49-4137-A84A-278551C0396E}"/>
            </c:ext>
          </c:extLst>
        </c:ser>
        <c:ser>
          <c:idx val="1"/>
          <c:order val="1"/>
          <c:tx>
            <c:strRef>
              <c:f>'SOA PYC Collapsed'!$J$34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'SOA PYC Collapsed'!$H$35:$H$39</c:f>
              <c:strCache>
                <c:ptCount val="5"/>
                <c:pt idx="0">
                  <c:v>Travel</c:v>
                </c:pt>
                <c:pt idx="1">
                  <c:v>Supplies</c:v>
                </c:pt>
                <c:pt idx="2">
                  <c:v>Utilities</c:v>
                </c:pt>
                <c:pt idx="3">
                  <c:v>Collections</c:v>
                </c:pt>
                <c:pt idx="4">
                  <c:v>Professional Fees</c:v>
                </c:pt>
              </c:strCache>
            </c:strRef>
          </c:cat>
          <c:val>
            <c:numRef>
              <c:f>'SOA PYC Collapsed'!$J$35:$J$39</c:f>
              <c:numCache>
                <c:formatCode>#,##0.00\ _€</c:formatCode>
                <c:ptCount val="5"/>
                <c:pt idx="0">
                  <c:v>0</c:v>
                </c:pt>
                <c:pt idx="1">
                  <c:v>2206.66</c:v>
                </c:pt>
                <c:pt idx="2">
                  <c:v>24207.74</c:v>
                </c:pt>
                <c:pt idx="3">
                  <c:v>1701.97</c:v>
                </c:pt>
                <c:pt idx="4" formatCode="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B49-4137-A84A-278551C0396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199168144"/>
        <c:axId val="199168624"/>
      </c:barChart>
      <c:catAx>
        <c:axId val="1991681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9168624"/>
        <c:crosses val="autoZero"/>
        <c:auto val="1"/>
        <c:lblAlgn val="ctr"/>
        <c:lblOffset val="100"/>
        <c:noMultiLvlLbl val="0"/>
      </c:catAx>
      <c:valAx>
        <c:axId val="199168624"/>
        <c:scaling>
          <c:orientation val="minMax"/>
        </c:scaling>
        <c:delete val="1"/>
        <c:axPos val="b"/>
        <c:numFmt formatCode="0%" sourceLinked="1"/>
        <c:majorTickMark val="none"/>
        <c:minorTickMark val="none"/>
        <c:tickLblPos val="nextTo"/>
        <c:crossAx val="1991681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Q1 2023 Change of Assets as of 03/31/2023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'SOF Collapsed'!$J$8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'SOF Collapsed'!$I$9:$I$11</c:f>
              <c:strCache>
                <c:ptCount val="3"/>
                <c:pt idx="0">
                  <c:v>Museum Endowment</c:v>
                </c:pt>
                <c:pt idx="1">
                  <c:v>Accounts Receivable</c:v>
                </c:pt>
                <c:pt idx="2">
                  <c:v>Bank Account</c:v>
                </c:pt>
              </c:strCache>
            </c:strRef>
          </c:cat>
          <c:val>
            <c:numRef>
              <c:f>'SOF Collapsed'!$J$9:$J$11</c:f>
              <c:numCache>
                <c:formatCode>"$"* #,##0.00\ _€</c:formatCode>
                <c:ptCount val="3"/>
                <c:pt idx="0" formatCode="#,##0.00\ _€">
                  <c:v>1192182</c:v>
                </c:pt>
                <c:pt idx="1">
                  <c:v>1305.8499999999999</c:v>
                </c:pt>
                <c:pt idx="2">
                  <c:v>389738.54000000004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EB-4F94-84CB-58DD20AAA63B}"/>
            </c:ext>
          </c:extLst>
        </c:ser>
        <c:ser>
          <c:idx val="1"/>
          <c:order val="1"/>
          <c:tx>
            <c:strRef>
              <c:f>'SOF Collapsed'!$K$8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'SOF Collapsed'!$I$9:$I$11</c:f>
              <c:strCache>
                <c:ptCount val="3"/>
                <c:pt idx="0">
                  <c:v>Museum Endowment</c:v>
                </c:pt>
                <c:pt idx="1">
                  <c:v>Accounts Receivable</c:v>
                </c:pt>
                <c:pt idx="2">
                  <c:v>Bank Account</c:v>
                </c:pt>
              </c:strCache>
            </c:strRef>
          </c:cat>
          <c:val>
            <c:numRef>
              <c:f>'SOF Collapsed'!$K$9:$K$11</c:f>
              <c:numCache>
                <c:formatCode>"$"* #,##0.00\ _€</c:formatCode>
                <c:ptCount val="3"/>
                <c:pt idx="0" formatCode="#,##0.00\ _€">
                  <c:v>1300447</c:v>
                </c:pt>
                <c:pt idx="1">
                  <c:v>1300</c:v>
                </c:pt>
                <c:pt idx="2">
                  <c:v>385516.36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0EB-4F94-84CB-58DD20AAA63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190039600"/>
        <c:axId val="190040560"/>
      </c:barChart>
      <c:catAx>
        <c:axId val="190039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0040560"/>
        <c:crosses val="autoZero"/>
        <c:auto val="1"/>
        <c:lblAlgn val="ctr"/>
        <c:lblOffset val="100"/>
        <c:noMultiLvlLbl val="0"/>
      </c:catAx>
      <c:valAx>
        <c:axId val="190040560"/>
        <c:scaling>
          <c:orientation val="minMax"/>
        </c:scaling>
        <c:delete val="1"/>
        <c:axPos val="b"/>
        <c:numFmt formatCode="0%" sourceLinked="1"/>
        <c:majorTickMark val="none"/>
        <c:minorTickMark val="none"/>
        <c:tickLblPos val="nextTo"/>
        <c:crossAx val="1900396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cap="all" baseline="0">
                <a:effectLst/>
              </a:rPr>
              <a:t>Q1 2023 Change of Liabilities as of 03/31/2023</a:t>
            </a:r>
            <a:endParaRPr lang="en-US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'SOF Collapsed'!$J$31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'SOF Collapsed'!$I$32:$I$34</c:f>
              <c:strCache>
                <c:ptCount val="3"/>
                <c:pt idx="0">
                  <c:v>Credit Card</c:v>
                </c:pt>
                <c:pt idx="1">
                  <c:v>Accounts Payable</c:v>
                </c:pt>
                <c:pt idx="2">
                  <c:v>Net Income</c:v>
                </c:pt>
              </c:strCache>
            </c:strRef>
          </c:cat>
          <c:val>
            <c:numRef>
              <c:f>'SOF Collapsed'!$J$32:$J$34</c:f>
              <c:numCache>
                <c:formatCode>"$"* #,##0.00\ _€</c:formatCode>
                <c:ptCount val="3"/>
                <c:pt idx="0">
                  <c:v>595.02</c:v>
                </c:pt>
                <c:pt idx="1">
                  <c:v>5216.53</c:v>
                </c:pt>
                <c:pt idx="2" formatCode="#,##0.00\ _€">
                  <c:v>82058.78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F2-4410-84F9-373EA01FBDBE}"/>
            </c:ext>
          </c:extLst>
        </c:ser>
        <c:ser>
          <c:idx val="1"/>
          <c:order val="1"/>
          <c:tx>
            <c:strRef>
              <c:f>'SOF Collapsed'!$K$31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'SOF Collapsed'!$I$32:$I$34</c:f>
              <c:strCache>
                <c:ptCount val="3"/>
                <c:pt idx="0">
                  <c:v>Credit Card</c:v>
                </c:pt>
                <c:pt idx="1">
                  <c:v>Accounts Payable</c:v>
                </c:pt>
                <c:pt idx="2">
                  <c:v>Net Income</c:v>
                </c:pt>
              </c:strCache>
            </c:strRef>
          </c:cat>
          <c:val>
            <c:numRef>
              <c:f>'SOF Collapsed'!$K$32:$K$34</c:f>
              <c:numCache>
                <c:formatCode>"$"* #,##0.00\ _€</c:formatCode>
                <c:ptCount val="3"/>
                <c:pt idx="0">
                  <c:v>898.77</c:v>
                </c:pt>
                <c:pt idx="1">
                  <c:v>8046.01</c:v>
                </c:pt>
                <c:pt idx="2" formatCode="#,##0.00\ _€">
                  <c:v>94481.42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FF2-4410-84F9-373EA01FBDB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2021985744"/>
        <c:axId val="2021982384"/>
      </c:barChart>
      <c:catAx>
        <c:axId val="20219857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21982384"/>
        <c:crosses val="autoZero"/>
        <c:auto val="1"/>
        <c:lblAlgn val="ctr"/>
        <c:lblOffset val="100"/>
        <c:noMultiLvlLbl val="0"/>
      </c:catAx>
      <c:valAx>
        <c:axId val="2021982384"/>
        <c:scaling>
          <c:orientation val="minMax"/>
        </c:scaling>
        <c:delete val="1"/>
        <c:axPos val="b"/>
        <c:numFmt formatCode="0%" sourceLinked="1"/>
        <c:majorTickMark val="none"/>
        <c:minorTickMark val="none"/>
        <c:tickLblPos val="nextTo"/>
        <c:crossAx val="2021985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181570</xdr:colOff>
      <xdr:row>13</xdr:row>
      <xdr:rowOff>185141</xdr:rowOff>
    </xdr:from>
    <xdr:to>
      <xdr:col>11</xdr:col>
      <xdr:colOff>163710</xdr:colOff>
      <xdr:row>28</xdr:row>
      <xdr:rowOff>70841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CEAAA40-9DF8-63A9-0E98-FEB79EA6C06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265043</xdr:colOff>
      <xdr:row>38</xdr:row>
      <xdr:rowOff>19878</xdr:rowOff>
    </xdr:from>
    <xdr:to>
      <xdr:col>13</xdr:col>
      <xdr:colOff>223630</xdr:colOff>
      <xdr:row>52</xdr:row>
      <xdr:rowOff>96078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61DC82F-3744-8417-851B-8FB5E8B7E93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348155</xdr:colOff>
      <xdr:row>15</xdr:row>
      <xdr:rowOff>89994</xdr:rowOff>
    </xdr:from>
    <xdr:to>
      <xdr:col>12</xdr:col>
      <xdr:colOff>249621</xdr:colOff>
      <xdr:row>29</xdr:row>
      <xdr:rowOff>166194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6F0923C-6ABD-2EB7-6B52-03251790FD9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364577</xdr:colOff>
      <xdr:row>39</xdr:row>
      <xdr:rowOff>4597</xdr:rowOff>
    </xdr:from>
    <xdr:to>
      <xdr:col>13</xdr:col>
      <xdr:colOff>266043</xdr:colOff>
      <xdr:row>53</xdr:row>
      <xdr:rowOff>80797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8C181B62-276F-8DBD-9E49-2BAC223F31F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561975</xdr:colOff>
      <xdr:row>11</xdr:row>
      <xdr:rowOff>138112</xdr:rowOff>
    </xdr:from>
    <xdr:to>
      <xdr:col>13</xdr:col>
      <xdr:colOff>190500</xdr:colOff>
      <xdr:row>26</xdr:row>
      <xdr:rowOff>23812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51837C3-70BC-3D37-A45F-87BAE77D346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71437</xdr:colOff>
      <xdr:row>38</xdr:row>
      <xdr:rowOff>166687</xdr:rowOff>
    </xdr:from>
    <xdr:to>
      <xdr:col>12</xdr:col>
      <xdr:colOff>309562</xdr:colOff>
      <xdr:row>53</xdr:row>
      <xdr:rowOff>52387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4E2D48D4-B575-665D-1752-AA987E9A7CA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74"/>
  <sheetViews>
    <sheetView topLeftCell="A6" workbookViewId="0">
      <selection sqref="A1:E1"/>
    </sheetView>
  </sheetViews>
  <sheetFormatPr defaultRowHeight="15" x14ac:dyDescent="0.25"/>
  <cols>
    <col min="1" max="1" width="35.28515625" customWidth="1"/>
    <col min="2" max="5" width="18" customWidth="1"/>
  </cols>
  <sheetData>
    <row r="1" spans="1:5" ht="18" x14ac:dyDescent="0.25">
      <c r="A1" s="22" t="s">
        <v>170</v>
      </c>
      <c r="B1" s="21"/>
      <c r="C1" s="21"/>
      <c r="D1" s="21"/>
      <c r="E1" s="21"/>
    </row>
    <row r="2" spans="1:5" ht="18" x14ac:dyDescent="0.25">
      <c r="A2" s="22" t="s">
        <v>171</v>
      </c>
      <c r="B2" s="21"/>
      <c r="C2" s="21"/>
      <c r="D2" s="21"/>
      <c r="E2" s="21"/>
    </row>
    <row r="3" spans="1:5" x14ac:dyDescent="0.25">
      <c r="A3" s="23" t="s">
        <v>172</v>
      </c>
      <c r="B3" s="21"/>
      <c r="C3" s="21"/>
      <c r="D3" s="21"/>
      <c r="E3" s="21"/>
    </row>
    <row r="5" spans="1:5" x14ac:dyDescent="0.25">
      <c r="A5" s="1"/>
      <c r="B5" s="18" t="s">
        <v>0</v>
      </c>
      <c r="C5" s="19"/>
      <c r="D5" s="19"/>
      <c r="E5" s="19"/>
    </row>
    <row r="6" spans="1:5" x14ac:dyDescent="0.25">
      <c r="A6" s="1"/>
      <c r="B6" s="2" t="s">
        <v>1</v>
      </c>
      <c r="C6" s="2" t="s">
        <v>2</v>
      </c>
      <c r="D6" s="2" t="s">
        <v>3</v>
      </c>
      <c r="E6" s="2" t="s">
        <v>4</v>
      </c>
    </row>
    <row r="7" spans="1:5" x14ac:dyDescent="0.25">
      <c r="A7" s="3" t="s">
        <v>5</v>
      </c>
      <c r="B7" s="4"/>
      <c r="C7" s="4"/>
      <c r="D7" s="4"/>
      <c r="E7" s="4"/>
    </row>
    <row r="8" spans="1:5" x14ac:dyDescent="0.25">
      <c r="A8" s="3" t="s">
        <v>6</v>
      </c>
      <c r="B8" s="4"/>
      <c r="C8" s="4"/>
      <c r="D8" s="5">
        <f t="shared" ref="D8:D39" si="0">(B8)-(C8)</f>
        <v>0</v>
      </c>
      <c r="E8" s="6" t="str">
        <f t="shared" ref="E8:E39" si="1">IF(C8=0,"",(B8)/(C8))</f>
        <v/>
      </c>
    </row>
    <row r="9" spans="1:5" x14ac:dyDescent="0.25">
      <c r="A9" s="3" t="s">
        <v>7</v>
      </c>
      <c r="B9" s="4"/>
      <c r="C9" s="5">
        <f>5000</f>
        <v>5000</v>
      </c>
      <c r="D9" s="5">
        <f t="shared" si="0"/>
        <v>-5000</v>
      </c>
      <c r="E9" s="6">
        <f t="shared" si="1"/>
        <v>0</v>
      </c>
    </row>
    <row r="10" spans="1:5" x14ac:dyDescent="0.25">
      <c r="A10" s="3" t="s">
        <v>8</v>
      </c>
      <c r="B10" s="5">
        <f>267500</f>
        <v>267500</v>
      </c>
      <c r="C10" s="5">
        <f>535000</f>
        <v>535000</v>
      </c>
      <c r="D10" s="5">
        <f t="shared" si="0"/>
        <v>-267500</v>
      </c>
      <c r="E10" s="6">
        <f t="shared" si="1"/>
        <v>0.5</v>
      </c>
    </row>
    <row r="11" spans="1:5" x14ac:dyDescent="0.25">
      <c r="A11" s="3" t="s">
        <v>9</v>
      </c>
      <c r="B11" s="5">
        <f>2500</f>
        <v>2500</v>
      </c>
      <c r="C11" s="5">
        <f>3500</f>
        <v>3500</v>
      </c>
      <c r="D11" s="5">
        <f t="shared" si="0"/>
        <v>-1000</v>
      </c>
      <c r="E11" s="6">
        <f t="shared" si="1"/>
        <v>0.7142857142857143</v>
      </c>
    </row>
    <row r="12" spans="1:5" x14ac:dyDescent="0.25">
      <c r="A12" s="3" t="s">
        <v>10</v>
      </c>
      <c r="B12" s="7">
        <f>(((B8)+(B9))+(B10))+(B11)</f>
        <v>270000</v>
      </c>
      <c r="C12" s="7">
        <f>(((C8)+(C9))+(C10))+(C11)</f>
        <v>543500</v>
      </c>
      <c r="D12" s="7">
        <f t="shared" si="0"/>
        <v>-273500</v>
      </c>
      <c r="E12" s="8">
        <f t="shared" si="1"/>
        <v>0.49678012879484823</v>
      </c>
    </row>
    <row r="13" spans="1:5" x14ac:dyDescent="0.25">
      <c r="A13" s="3" t="s">
        <v>11</v>
      </c>
      <c r="B13" s="4"/>
      <c r="C13" s="4"/>
      <c r="D13" s="5">
        <f t="shared" si="0"/>
        <v>0</v>
      </c>
      <c r="E13" s="6" t="str">
        <f t="shared" si="1"/>
        <v/>
      </c>
    </row>
    <row r="14" spans="1:5" x14ac:dyDescent="0.25">
      <c r="A14" s="3" t="s">
        <v>12</v>
      </c>
      <c r="B14" s="4"/>
      <c r="C14" s="4"/>
      <c r="D14" s="5">
        <f t="shared" si="0"/>
        <v>0</v>
      </c>
      <c r="E14" s="6" t="str">
        <f t="shared" si="1"/>
        <v/>
      </c>
    </row>
    <row r="15" spans="1:5" x14ac:dyDescent="0.25">
      <c r="A15" s="3" t="s">
        <v>13</v>
      </c>
      <c r="B15" s="5">
        <f>603.45</f>
        <v>603.45000000000005</v>
      </c>
      <c r="C15" s="5">
        <f>6750</f>
        <v>6750</v>
      </c>
      <c r="D15" s="5">
        <f t="shared" si="0"/>
        <v>-6146.55</v>
      </c>
      <c r="E15" s="6">
        <f t="shared" si="1"/>
        <v>8.9400000000000007E-2</v>
      </c>
    </row>
    <row r="16" spans="1:5" x14ac:dyDescent="0.25">
      <c r="A16" s="3" t="s">
        <v>14</v>
      </c>
      <c r="B16" s="5">
        <f>100</f>
        <v>100</v>
      </c>
      <c r="C16" s="5">
        <f>13250</f>
        <v>13250</v>
      </c>
      <c r="D16" s="5">
        <f t="shared" si="0"/>
        <v>-13150</v>
      </c>
      <c r="E16" s="6">
        <f t="shared" si="1"/>
        <v>7.5471698113207548E-3</v>
      </c>
    </row>
    <row r="17" spans="1:5" x14ac:dyDescent="0.25">
      <c r="A17" s="3" t="s">
        <v>15</v>
      </c>
      <c r="B17" s="7">
        <f>((B14)+(B15))+(B16)</f>
        <v>703.45</v>
      </c>
      <c r="C17" s="7">
        <f>((C14)+(C15))+(C16)</f>
        <v>20000</v>
      </c>
      <c r="D17" s="7">
        <f t="shared" si="0"/>
        <v>-19296.55</v>
      </c>
      <c r="E17" s="8">
        <f t="shared" si="1"/>
        <v>3.5172500000000002E-2</v>
      </c>
    </row>
    <row r="18" spans="1:5" x14ac:dyDescent="0.25">
      <c r="A18" s="3" t="s">
        <v>16</v>
      </c>
      <c r="B18" s="5">
        <f>1200</f>
        <v>1200</v>
      </c>
      <c r="C18" s="5">
        <f>10000</f>
        <v>10000</v>
      </c>
      <c r="D18" s="5">
        <f t="shared" si="0"/>
        <v>-8800</v>
      </c>
      <c r="E18" s="6">
        <f t="shared" si="1"/>
        <v>0.12</v>
      </c>
    </row>
    <row r="19" spans="1:5" x14ac:dyDescent="0.25">
      <c r="A19" s="3" t="s">
        <v>17</v>
      </c>
      <c r="B19" s="5">
        <f>3175</f>
        <v>3175</v>
      </c>
      <c r="C19" s="5">
        <f>4200</f>
        <v>4200</v>
      </c>
      <c r="D19" s="5">
        <f t="shared" si="0"/>
        <v>-1025</v>
      </c>
      <c r="E19" s="6">
        <f t="shared" si="1"/>
        <v>0.75595238095238093</v>
      </c>
    </row>
    <row r="20" spans="1:5" x14ac:dyDescent="0.25">
      <c r="A20" s="3" t="s">
        <v>18</v>
      </c>
      <c r="B20" s="4"/>
      <c r="C20" s="5">
        <f>4000</f>
        <v>4000</v>
      </c>
      <c r="D20" s="5">
        <f t="shared" si="0"/>
        <v>-4000</v>
      </c>
      <c r="E20" s="6">
        <f t="shared" si="1"/>
        <v>0</v>
      </c>
    </row>
    <row r="21" spans="1:5" x14ac:dyDescent="0.25">
      <c r="A21" s="3" t="s">
        <v>19</v>
      </c>
      <c r="B21" s="4"/>
      <c r="C21" s="5">
        <f>20000</f>
        <v>20000</v>
      </c>
      <c r="D21" s="5">
        <f t="shared" si="0"/>
        <v>-20000</v>
      </c>
      <c r="E21" s="6">
        <f t="shared" si="1"/>
        <v>0</v>
      </c>
    </row>
    <row r="22" spans="1:5" x14ac:dyDescent="0.25">
      <c r="A22" s="3" t="s">
        <v>20</v>
      </c>
      <c r="B22" s="5">
        <f>3430</f>
        <v>3430</v>
      </c>
      <c r="C22" s="5">
        <f>12500</f>
        <v>12500</v>
      </c>
      <c r="D22" s="5">
        <f t="shared" si="0"/>
        <v>-9070</v>
      </c>
      <c r="E22" s="6">
        <f t="shared" si="1"/>
        <v>0.27439999999999998</v>
      </c>
    </row>
    <row r="23" spans="1:5" x14ac:dyDescent="0.25">
      <c r="A23" s="3" t="s">
        <v>21</v>
      </c>
      <c r="B23" s="7">
        <f>((((((B13)+(B17))+(B18))+(B19))+(B20))+(B21))+(B22)</f>
        <v>8508.4500000000007</v>
      </c>
      <c r="C23" s="7">
        <f>((((((C13)+(C17))+(C18))+(C19))+(C20))+(C21))+(C22)</f>
        <v>70700</v>
      </c>
      <c r="D23" s="7">
        <f t="shared" si="0"/>
        <v>-62191.55</v>
      </c>
      <c r="E23" s="8">
        <f t="shared" si="1"/>
        <v>0.12034582743988685</v>
      </c>
    </row>
    <row r="24" spans="1:5" x14ac:dyDescent="0.25">
      <c r="A24" s="3" t="s">
        <v>22</v>
      </c>
      <c r="B24" s="4"/>
      <c r="C24" s="5">
        <f>3000</f>
        <v>3000</v>
      </c>
      <c r="D24" s="5">
        <f t="shared" si="0"/>
        <v>-3000</v>
      </c>
      <c r="E24" s="6">
        <f t="shared" si="1"/>
        <v>0</v>
      </c>
    </row>
    <row r="25" spans="1:5" x14ac:dyDescent="0.25">
      <c r="A25" s="3" t="s">
        <v>23</v>
      </c>
      <c r="B25" s="4"/>
      <c r="C25" s="4"/>
      <c r="D25" s="5">
        <f t="shared" si="0"/>
        <v>0</v>
      </c>
      <c r="E25" s="6" t="str">
        <f t="shared" si="1"/>
        <v/>
      </c>
    </row>
    <row r="26" spans="1:5" x14ac:dyDescent="0.25">
      <c r="A26" s="3" t="s">
        <v>24</v>
      </c>
      <c r="B26" s="5">
        <f>10</f>
        <v>10</v>
      </c>
      <c r="C26" s="5">
        <f>75</f>
        <v>75</v>
      </c>
      <c r="D26" s="5">
        <f t="shared" si="0"/>
        <v>-65</v>
      </c>
      <c r="E26" s="6">
        <f t="shared" si="1"/>
        <v>0.13333333333333333</v>
      </c>
    </row>
    <row r="27" spans="1:5" x14ac:dyDescent="0.25">
      <c r="A27" s="3" t="s">
        <v>25</v>
      </c>
      <c r="B27" s="4"/>
      <c r="C27" s="4"/>
      <c r="D27" s="5">
        <f t="shared" si="0"/>
        <v>0</v>
      </c>
      <c r="E27" s="6" t="str">
        <f t="shared" si="1"/>
        <v/>
      </c>
    </row>
    <row r="28" spans="1:5" x14ac:dyDescent="0.25">
      <c r="A28" s="3" t="s">
        <v>26</v>
      </c>
      <c r="B28" s="4"/>
      <c r="C28" s="5">
        <f>15000</f>
        <v>15000</v>
      </c>
      <c r="D28" s="5">
        <f t="shared" si="0"/>
        <v>-15000</v>
      </c>
      <c r="E28" s="6">
        <f t="shared" si="1"/>
        <v>0</v>
      </c>
    </row>
    <row r="29" spans="1:5" x14ac:dyDescent="0.25">
      <c r="A29" s="3" t="s">
        <v>27</v>
      </c>
      <c r="B29" s="4"/>
      <c r="C29" s="5">
        <f>51000</f>
        <v>51000</v>
      </c>
      <c r="D29" s="5">
        <f t="shared" si="0"/>
        <v>-51000</v>
      </c>
      <c r="E29" s="6">
        <f t="shared" si="1"/>
        <v>0</v>
      </c>
    </row>
    <row r="30" spans="1:5" x14ac:dyDescent="0.25">
      <c r="A30" s="3" t="s">
        <v>28</v>
      </c>
      <c r="B30" s="4"/>
      <c r="C30" s="5">
        <f>1000</f>
        <v>1000</v>
      </c>
      <c r="D30" s="5">
        <f t="shared" si="0"/>
        <v>-1000</v>
      </c>
      <c r="E30" s="6">
        <f t="shared" si="1"/>
        <v>0</v>
      </c>
    </row>
    <row r="31" spans="1:5" x14ac:dyDescent="0.25">
      <c r="A31" s="3" t="s">
        <v>29</v>
      </c>
      <c r="B31" s="5">
        <f>1425</f>
        <v>1425</v>
      </c>
      <c r="C31" s="5">
        <f>65250</f>
        <v>65250</v>
      </c>
      <c r="D31" s="5">
        <f t="shared" si="0"/>
        <v>-63825</v>
      </c>
      <c r="E31" s="6">
        <f t="shared" si="1"/>
        <v>2.1839080459770115E-2</v>
      </c>
    </row>
    <row r="32" spans="1:5" x14ac:dyDescent="0.25">
      <c r="A32" s="3" t="s">
        <v>30</v>
      </c>
      <c r="B32" s="4"/>
      <c r="C32" s="5">
        <f>1500</f>
        <v>1500</v>
      </c>
      <c r="D32" s="5">
        <f t="shared" si="0"/>
        <v>-1500</v>
      </c>
      <c r="E32" s="6">
        <f t="shared" si="1"/>
        <v>0</v>
      </c>
    </row>
    <row r="33" spans="1:5" x14ac:dyDescent="0.25">
      <c r="A33" s="3" t="s">
        <v>31</v>
      </c>
      <c r="B33" s="7">
        <f>(((((B27)+(B28))+(B29))+(B30))+(B31))+(B32)</f>
        <v>1425</v>
      </c>
      <c r="C33" s="7">
        <f>(((((C27)+(C28))+(C29))+(C30))+(C31))+(C32)</f>
        <v>133750</v>
      </c>
      <c r="D33" s="7">
        <f t="shared" si="0"/>
        <v>-132325</v>
      </c>
      <c r="E33" s="8">
        <f t="shared" si="1"/>
        <v>1.0654205607476635E-2</v>
      </c>
    </row>
    <row r="34" spans="1:5" x14ac:dyDescent="0.25">
      <c r="A34" s="3" t="s">
        <v>32</v>
      </c>
      <c r="B34" s="4"/>
      <c r="C34" s="4"/>
      <c r="D34" s="5">
        <f t="shared" si="0"/>
        <v>0</v>
      </c>
      <c r="E34" s="6" t="str">
        <f t="shared" si="1"/>
        <v/>
      </c>
    </row>
    <row r="35" spans="1:5" x14ac:dyDescent="0.25">
      <c r="A35" s="3" t="s">
        <v>33</v>
      </c>
      <c r="B35" s="5">
        <f>10</f>
        <v>10</v>
      </c>
      <c r="C35" s="4"/>
      <c r="D35" s="5">
        <f t="shared" si="0"/>
        <v>10</v>
      </c>
      <c r="E35" s="6" t="str">
        <f t="shared" si="1"/>
        <v/>
      </c>
    </row>
    <row r="36" spans="1:5" x14ac:dyDescent="0.25">
      <c r="A36" s="3" t="s">
        <v>34</v>
      </c>
      <c r="B36" s="5">
        <f>10.95</f>
        <v>10.95</v>
      </c>
      <c r="C36" s="4"/>
      <c r="D36" s="5">
        <f t="shared" si="0"/>
        <v>10.95</v>
      </c>
      <c r="E36" s="6" t="str">
        <f t="shared" si="1"/>
        <v/>
      </c>
    </row>
    <row r="37" spans="1:5" x14ac:dyDescent="0.25">
      <c r="A37" s="3" t="s">
        <v>35</v>
      </c>
      <c r="B37" s="7">
        <f>((B34)+(B35))+(B36)</f>
        <v>20.95</v>
      </c>
      <c r="C37" s="7">
        <f>((C34)+(C35))+(C36)</f>
        <v>0</v>
      </c>
      <c r="D37" s="7">
        <f t="shared" si="0"/>
        <v>20.95</v>
      </c>
      <c r="E37" s="8" t="str">
        <f t="shared" si="1"/>
        <v/>
      </c>
    </row>
    <row r="38" spans="1:5" x14ac:dyDescent="0.25">
      <c r="A38" s="3" t="s">
        <v>36</v>
      </c>
      <c r="B38" s="5">
        <f>19</f>
        <v>19</v>
      </c>
      <c r="C38" s="4"/>
      <c r="D38" s="5">
        <f t="shared" si="0"/>
        <v>19</v>
      </c>
      <c r="E38" s="6" t="str">
        <f t="shared" si="1"/>
        <v/>
      </c>
    </row>
    <row r="39" spans="1:5" x14ac:dyDescent="0.25">
      <c r="A39" s="3" t="s">
        <v>37</v>
      </c>
      <c r="B39" s="5">
        <f>360</f>
        <v>360</v>
      </c>
      <c r="C39" s="5">
        <f>1000</f>
        <v>1000</v>
      </c>
      <c r="D39" s="5">
        <f t="shared" si="0"/>
        <v>-640</v>
      </c>
      <c r="E39" s="6">
        <f t="shared" si="1"/>
        <v>0.36</v>
      </c>
    </row>
    <row r="40" spans="1:5" x14ac:dyDescent="0.25">
      <c r="A40" s="3" t="s">
        <v>38</v>
      </c>
      <c r="B40" s="7">
        <f>(B38)+(B39)</f>
        <v>379</v>
      </c>
      <c r="C40" s="7">
        <f>(C38)+(C39)</f>
        <v>1000</v>
      </c>
      <c r="D40" s="7">
        <f t="shared" ref="D40:D71" si="2">(B40)-(C40)</f>
        <v>-621</v>
      </c>
      <c r="E40" s="8">
        <f t="shared" ref="E40:E71" si="3">IF(C40=0,"",(B40)/(C40))</f>
        <v>0.379</v>
      </c>
    </row>
    <row r="41" spans="1:5" x14ac:dyDescent="0.25">
      <c r="A41" s="3" t="s">
        <v>39</v>
      </c>
      <c r="B41" s="4"/>
      <c r="C41" s="4"/>
      <c r="D41" s="5">
        <f t="shared" si="2"/>
        <v>0</v>
      </c>
      <c r="E41" s="6" t="str">
        <f t="shared" si="3"/>
        <v/>
      </c>
    </row>
    <row r="42" spans="1:5" x14ac:dyDescent="0.25">
      <c r="A42" s="3" t="s">
        <v>40</v>
      </c>
      <c r="B42" s="4"/>
      <c r="C42" s="5">
        <f>350</f>
        <v>350</v>
      </c>
      <c r="D42" s="5">
        <f t="shared" si="2"/>
        <v>-350</v>
      </c>
      <c r="E42" s="6">
        <f t="shared" si="3"/>
        <v>0</v>
      </c>
    </row>
    <row r="43" spans="1:5" x14ac:dyDescent="0.25">
      <c r="A43" s="3" t="s">
        <v>41</v>
      </c>
      <c r="B43" s="5">
        <f>537.96</f>
        <v>537.96</v>
      </c>
      <c r="C43" s="5">
        <f>7710.53</f>
        <v>7710.53</v>
      </c>
      <c r="D43" s="5">
        <f t="shared" si="2"/>
        <v>-7172.57</v>
      </c>
      <c r="E43" s="6">
        <f t="shared" si="3"/>
        <v>6.9769522977019743E-2</v>
      </c>
    </row>
    <row r="44" spans="1:5" x14ac:dyDescent="0.25">
      <c r="A44" s="3" t="s">
        <v>42</v>
      </c>
      <c r="B44" s="5">
        <f>24.97</f>
        <v>24.97</v>
      </c>
      <c r="C44" s="5">
        <f>2750</f>
        <v>2750</v>
      </c>
      <c r="D44" s="5">
        <f t="shared" si="2"/>
        <v>-2725.03</v>
      </c>
      <c r="E44" s="6">
        <f t="shared" si="3"/>
        <v>9.0799999999999995E-3</v>
      </c>
    </row>
    <row r="45" spans="1:5" x14ac:dyDescent="0.25">
      <c r="A45" s="3" t="s">
        <v>43</v>
      </c>
      <c r="B45" s="5">
        <f>144.19</f>
        <v>144.19</v>
      </c>
      <c r="C45" s="5">
        <f>7500</f>
        <v>7500</v>
      </c>
      <c r="D45" s="5">
        <f t="shared" si="2"/>
        <v>-7355.81</v>
      </c>
      <c r="E45" s="6">
        <f t="shared" si="3"/>
        <v>1.9225333333333334E-2</v>
      </c>
    </row>
    <row r="46" spans="1:5" x14ac:dyDescent="0.25">
      <c r="A46" s="3" t="s">
        <v>44</v>
      </c>
      <c r="B46" s="4"/>
      <c r="C46" s="5">
        <f>200</f>
        <v>200</v>
      </c>
      <c r="D46" s="5">
        <f t="shared" si="2"/>
        <v>-200</v>
      </c>
      <c r="E46" s="6">
        <f t="shared" si="3"/>
        <v>0</v>
      </c>
    </row>
    <row r="47" spans="1:5" x14ac:dyDescent="0.25">
      <c r="A47" s="3" t="s">
        <v>45</v>
      </c>
      <c r="B47" s="5">
        <f>5</f>
        <v>5</v>
      </c>
      <c r="C47" s="5">
        <f>1750</f>
        <v>1750</v>
      </c>
      <c r="D47" s="5">
        <f t="shared" si="2"/>
        <v>-1745</v>
      </c>
      <c r="E47" s="6">
        <f t="shared" si="3"/>
        <v>2.8571428571428571E-3</v>
      </c>
    </row>
    <row r="48" spans="1:5" x14ac:dyDescent="0.25">
      <c r="A48" s="3" t="s">
        <v>46</v>
      </c>
      <c r="B48" s="4"/>
      <c r="C48" s="5">
        <f>1</f>
        <v>1</v>
      </c>
      <c r="D48" s="5">
        <f t="shared" si="2"/>
        <v>-1</v>
      </c>
      <c r="E48" s="6">
        <f t="shared" si="3"/>
        <v>0</v>
      </c>
    </row>
    <row r="49" spans="1:5" x14ac:dyDescent="0.25">
      <c r="A49" s="3" t="s">
        <v>47</v>
      </c>
      <c r="B49" s="5">
        <f>24</f>
        <v>24</v>
      </c>
      <c r="C49" s="5">
        <f>1500</f>
        <v>1500</v>
      </c>
      <c r="D49" s="5">
        <f t="shared" si="2"/>
        <v>-1476</v>
      </c>
      <c r="E49" s="6">
        <f t="shared" si="3"/>
        <v>1.6E-2</v>
      </c>
    </row>
    <row r="50" spans="1:5" x14ac:dyDescent="0.25">
      <c r="A50" s="3" t="s">
        <v>48</v>
      </c>
      <c r="B50" s="5">
        <f>50.85</f>
        <v>50.85</v>
      </c>
      <c r="C50" s="5">
        <f>2000</f>
        <v>2000</v>
      </c>
      <c r="D50" s="5">
        <f t="shared" si="2"/>
        <v>-1949.15</v>
      </c>
      <c r="E50" s="6">
        <f t="shared" si="3"/>
        <v>2.5425E-2</v>
      </c>
    </row>
    <row r="51" spans="1:5" x14ac:dyDescent="0.25">
      <c r="A51" s="3" t="s">
        <v>49</v>
      </c>
      <c r="B51" s="5">
        <f>11</f>
        <v>11</v>
      </c>
      <c r="C51" s="5">
        <f>350</f>
        <v>350</v>
      </c>
      <c r="D51" s="5">
        <f t="shared" si="2"/>
        <v>-339</v>
      </c>
      <c r="E51" s="6">
        <f t="shared" si="3"/>
        <v>3.1428571428571431E-2</v>
      </c>
    </row>
    <row r="52" spans="1:5" x14ac:dyDescent="0.25">
      <c r="A52" s="3" t="s">
        <v>50</v>
      </c>
      <c r="B52" s="5">
        <f>58.5</f>
        <v>58.5</v>
      </c>
      <c r="C52" s="5">
        <f>4000</f>
        <v>4000</v>
      </c>
      <c r="D52" s="5">
        <f t="shared" si="2"/>
        <v>-3941.5</v>
      </c>
      <c r="E52" s="6">
        <f t="shared" si="3"/>
        <v>1.4625000000000001E-2</v>
      </c>
    </row>
    <row r="53" spans="1:5" x14ac:dyDescent="0.25">
      <c r="A53" s="3" t="s">
        <v>51</v>
      </c>
      <c r="B53" s="4"/>
      <c r="C53" s="5">
        <f>250</f>
        <v>250</v>
      </c>
      <c r="D53" s="5">
        <f t="shared" si="2"/>
        <v>-250</v>
      </c>
      <c r="E53" s="6">
        <f t="shared" si="3"/>
        <v>0</v>
      </c>
    </row>
    <row r="54" spans="1:5" x14ac:dyDescent="0.25">
      <c r="A54" s="3" t="s">
        <v>52</v>
      </c>
      <c r="B54" s="5">
        <f>31.75</f>
        <v>31.75</v>
      </c>
      <c r="C54" s="5">
        <f>750</f>
        <v>750</v>
      </c>
      <c r="D54" s="5">
        <f t="shared" si="2"/>
        <v>-718.25</v>
      </c>
      <c r="E54" s="6">
        <f t="shared" si="3"/>
        <v>4.2333333333333334E-2</v>
      </c>
    </row>
    <row r="55" spans="1:5" x14ac:dyDescent="0.25">
      <c r="A55" s="3" t="s">
        <v>53</v>
      </c>
      <c r="B55" s="5">
        <f>46.5</f>
        <v>46.5</v>
      </c>
      <c r="C55" s="5">
        <f>2250</f>
        <v>2250</v>
      </c>
      <c r="D55" s="5">
        <f t="shared" si="2"/>
        <v>-2203.5</v>
      </c>
      <c r="E55" s="6">
        <f t="shared" si="3"/>
        <v>2.0666666666666667E-2</v>
      </c>
    </row>
    <row r="56" spans="1:5" x14ac:dyDescent="0.25">
      <c r="A56" s="3" t="s">
        <v>54</v>
      </c>
      <c r="B56" s="4"/>
      <c r="C56" s="5">
        <f>50</f>
        <v>50</v>
      </c>
      <c r="D56" s="5">
        <f t="shared" si="2"/>
        <v>-50</v>
      </c>
      <c r="E56" s="6">
        <f t="shared" si="3"/>
        <v>0</v>
      </c>
    </row>
    <row r="57" spans="1:5" x14ac:dyDescent="0.25">
      <c r="A57" s="3" t="s">
        <v>55</v>
      </c>
      <c r="B57" s="5">
        <f>48.9</f>
        <v>48.9</v>
      </c>
      <c r="C57" s="5">
        <f>2250</f>
        <v>2250</v>
      </c>
      <c r="D57" s="5">
        <f t="shared" si="2"/>
        <v>-2201.1</v>
      </c>
      <c r="E57" s="6">
        <f t="shared" si="3"/>
        <v>2.1733333333333334E-2</v>
      </c>
    </row>
    <row r="58" spans="1:5" x14ac:dyDescent="0.25">
      <c r="A58" s="3" t="s">
        <v>56</v>
      </c>
      <c r="B58" s="5">
        <f>149.94</f>
        <v>149.94</v>
      </c>
      <c r="C58" s="5">
        <f>3500</f>
        <v>3500</v>
      </c>
      <c r="D58" s="5">
        <f t="shared" si="2"/>
        <v>-3350.06</v>
      </c>
      <c r="E58" s="6">
        <f t="shared" si="3"/>
        <v>4.2839999999999996E-2</v>
      </c>
    </row>
    <row r="59" spans="1:5" x14ac:dyDescent="0.25">
      <c r="A59" s="3" t="s">
        <v>57</v>
      </c>
      <c r="B59" s="4"/>
      <c r="C59" s="5">
        <f>2000</f>
        <v>2000</v>
      </c>
      <c r="D59" s="5">
        <f t="shared" si="2"/>
        <v>-2000</v>
      </c>
      <c r="E59" s="6">
        <f t="shared" si="3"/>
        <v>0</v>
      </c>
    </row>
    <row r="60" spans="1:5" x14ac:dyDescent="0.25">
      <c r="A60" s="3" t="s">
        <v>58</v>
      </c>
      <c r="B60" s="5">
        <f>-23.03</f>
        <v>-23.03</v>
      </c>
      <c r="C60" s="5">
        <f>-750</f>
        <v>-750</v>
      </c>
      <c r="D60" s="5">
        <f t="shared" si="2"/>
        <v>726.97</v>
      </c>
      <c r="E60" s="6">
        <f t="shared" si="3"/>
        <v>3.0706666666666667E-2</v>
      </c>
    </row>
    <row r="61" spans="1:5" x14ac:dyDescent="0.25">
      <c r="A61" s="3" t="s">
        <v>59</v>
      </c>
      <c r="B61" s="4"/>
      <c r="C61" s="5">
        <f>250</f>
        <v>250</v>
      </c>
      <c r="D61" s="5">
        <f t="shared" si="2"/>
        <v>-250</v>
      </c>
      <c r="E61" s="6">
        <f t="shared" si="3"/>
        <v>0</v>
      </c>
    </row>
    <row r="62" spans="1:5" x14ac:dyDescent="0.25">
      <c r="A62" s="3" t="s">
        <v>60</v>
      </c>
      <c r="B62" s="4"/>
      <c r="C62" s="5">
        <f>75</f>
        <v>75</v>
      </c>
      <c r="D62" s="5">
        <f t="shared" si="2"/>
        <v>-75</v>
      </c>
      <c r="E62" s="6">
        <f t="shared" si="3"/>
        <v>0</v>
      </c>
    </row>
    <row r="63" spans="1:5" x14ac:dyDescent="0.25">
      <c r="A63" s="3" t="s">
        <v>61</v>
      </c>
      <c r="B63" s="5">
        <f>27.5</f>
        <v>27.5</v>
      </c>
      <c r="C63" s="5">
        <f>2500</f>
        <v>2500</v>
      </c>
      <c r="D63" s="5">
        <f t="shared" si="2"/>
        <v>-2472.5</v>
      </c>
      <c r="E63" s="6">
        <f t="shared" si="3"/>
        <v>1.0999999999999999E-2</v>
      </c>
    </row>
    <row r="64" spans="1:5" x14ac:dyDescent="0.25">
      <c r="A64" s="3" t="s">
        <v>62</v>
      </c>
      <c r="B64" s="4"/>
      <c r="C64" s="5">
        <f>200</f>
        <v>200</v>
      </c>
      <c r="D64" s="5">
        <f t="shared" si="2"/>
        <v>-200</v>
      </c>
      <c r="E64" s="6">
        <f t="shared" si="3"/>
        <v>0</v>
      </c>
    </row>
    <row r="65" spans="1:5" x14ac:dyDescent="0.25">
      <c r="A65" s="3" t="s">
        <v>63</v>
      </c>
      <c r="B65" s="5">
        <f>134.5</f>
        <v>134.5</v>
      </c>
      <c r="C65" s="5">
        <f>7500</f>
        <v>7500</v>
      </c>
      <c r="D65" s="5">
        <f t="shared" si="2"/>
        <v>-7365.5</v>
      </c>
      <c r="E65" s="6">
        <f t="shared" si="3"/>
        <v>1.7933333333333332E-2</v>
      </c>
    </row>
    <row r="66" spans="1:5" x14ac:dyDescent="0.25">
      <c r="A66" s="3" t="s">
        <v>64</v>
      </c>
      <c r="B66" s="5">
        <f>9</f>
        <v>9</v>
      </c>
      <c r="C66" s="5">
        <f>375</f>
        <v>375</v>
      </c>
      <c r="D66" s="5">
        <f t="shared" si="2"/>
        <v>-366</v>
      </c>
      <c r="E66" s="6">
        <f t="shared" si="3"/>
        <v>2.4E-2</v>
      </c>
    </row>
    <row r="67" spans="1:5" x14ac:dyDescent="0.25">
      <c r="A67" s="3" t="s">
        <v>65</v>
      </c>
      <c r="B67" s="4"/>
      <c r="C67" s="5">
        <f>3000</f>
        <v>3000</v>
      </c>
      <c r="D67" s="5">
        <f t="shared" si="2"/>
        <v>-3000</v>
      </c>
      <c r="E67" s="6">
        <f t="shared" si="3"/>
        <v>0</v>
      </c>
    </row>
    <row r="68" spans="1:5" x14ac:dyDescent="0.25">
      <c r="A68" s="3" t="s">
        <v>66</v>
      </c>
      <c r="B68" s="5">
        <f>2</f>
        <v>2</v>
      </c>
      <c r="C68" s="5">
        <f>750</f>
        <v>750</v>
      </c>
      <c r="D68" s="5">
        <f t="shared" si="2"/>
        <v>-748</v>
      </c>
      <c r="E68" s="6">
        <f t="shared" si="3"/>
        <v>2.6666666666666666E-3</v>
      </c>
    </row>
    <row r="69" spans="1:5" x14ac:dyDescent="0.25">
      <c r="A69" s="3" t="s">
        <v>67</v>
      </c>
      <c r="B69" s="5">
        <f>30</f>
        <v>30</v>
      </c>
      <c r="C69" s="5">
        <f>75</f>
        <v>75</v>
      </c>
      <c r="D69" s="5">
        <f t="shared" si="2"/>
        <v>-45</v>
      </c>
      <c r="E69" s="6">
        <f t="shared" si="3"/>
        <v>0.4</v>
      </c>
    </row>
    <row r="70" spans="1:5" x14ac:dyDescent="0.25">
      <c r="A70" s="3" t="s">
        <v>68</v>
      </c>
      <c r="B70" s="5">
        <f>48</f>
        <v>48</v>
      </c>
      <c r="C70" s="5">
        <f>375</f>
        <v>375</v>
      </c>
      <c r="D70" s="5">
        <f t="shared" si="2"/>
        <v>-327</v>
      </c>
      <c r="E70" s="6">
        <f t="shared" si="3"/>
        <v>0.128</v>
      </c>
    </row>
    <row r="71" spans="1:5" x14ac:dyDescent="0.25">
      <c r="A71" s="3" t="s">
        <v>69</v>
      </c>
      <c r="B71" s="4"/>
      <c r="C71" s="5">
        <f>75</f>
        <v>75</v>
      </c>
      <c r="D71" s="5">
        <f t="shared" si="2"/>
        <v>-75</v>
      </c>
      <c r="E71" s="6">
        <f t="shared" si="3"/>
        <v>0</v>
      </c>
    </row>
    <row r="72" spans="1:5" x14ac:dyDescent="0.25">
      <c r="A72" s="3" t="s">
        <v>70</v>
      </c>
      <c r="B72" s="5">
        <f>40</f>
        <v>40</v>
      </c>
      <c r="C72" s="5">
        <f>1250</f>
        <v>1250</v>
      </c>
      <c r="D72" s="5">
        <f t="shared" ref="D72:D88" si="4">(B72)-(C72)</f>
        <v>-1210</v>
      </c>
      <c r="E72" s="6">
        <f t="shared" ref="E72:E88" si="5">IF(C72=0,"",(B72)/(C72))</f>
        <v>3.2000000000000001E-2</v>
      </c>
    </row>
    <row r="73" spans="1:5" x14ac:dyDescent="0.25">
      <c r="A73" s="3" t="s">
        <v>71</v>
      </c>
      <c r="B73" s="4"/>
      <c r="C73" s="5">
        <f>300</f>
        <v>300</v>
      </c>
      <c r="D73" s="5">
        <f t="shared" si="4"/>
        <v>-300</v>
      </c>
      <c r="E73" s="6">
        <f t="shared" si="5"/>
        <v>0</v>
      </c>
    </row>
    <row r="74" spans="1:5" x14ac:dyDescent="0.25">
      <c r="A74" s="3" t="s">
        <v>72</v>
      </c>
      <c r="B74" s="4"/>
      <c r="C74" s="5">
        <f>300</f>
        <v>300</v>
      </c>
      <c r="D74" s="5">
        <f t="shared" si="4"/>
        <v>-300</v>
      </c>
      <c r="E74" s="6">
        <f t="shared" si="5"/>
        <v>0</v>
      </c>
    </row>
    <row r="75" spans="1:5" x14ac:dyDescent="0.25">
      <c r="A75" s="3" t="s">
        <v>73</v>
      </c>
      <c r="B75" s="4"/>
      <c r="C75" s="5">
        <f>75</f>
        <v>75</v>
      </c>
      <c r="D75" s="5">
        <f t="shared" si="4"/>
        <v>-75</v>
      </c>
      <c r="E75" s="6">
        <f t="shared" si="5"/>
        <v>0</v>
      </c>
    </row>
    <row r="76" spans="1:5" x14ac:dyDescent="0.25">
      <c r="A76" s="3" t="s">
        <v>74</v>
      </c>
      <c r="B76" s="5">
        <f>26</f>
        <v>26</v>
      </c>
      <c r="C76" s="5">
        <f>1250</f>
        <v>1250</v>
      </c>
      <c r="D76" s="5">
        <f t="shared" si="4"/>
        <v>-1224</v>
      </c>
      <c r="E76" s="6">
        <f t="shared" si="5"/>
        <v>2.0799999999999999E-2</v>
      </c>
    </row>
    <row r="77" spans="1:5" x14ac:dyDescent="0.25">
      <c r="A77" s="3" t="s">
        <v>75</v>
      </c>
      <c r="B77" s="4"/>
      <c r="C77" s="5">
        <f>75</f>
        <v>75</v>
      </c>
      <c r="D77" s="5">
        <f t="shared" si="4"/>
        <v>-75</v>
      </c>
      <c r="E77" s="6">
        <f t="shared" si="5"/>
        <v>0</v>
      </c>
    </row>
    <row r="78" spans="1:5" x14ac:dyDescent="0.25">
      <c r="A78" s="3" t="s">
        <v>76</v>
      </c>
      <c r="B78" s="5">
        <f>21</f>
        <v>21</v>
      </c>
      <c r="C78" s="5">
        <f>500</f>
        <v>500</v>
      </c>
      <c r="D78" s="5">
        <f t="shared" si="4"/>
        <v>-479</v>
      </c>
      <c r="E78" s="6">
        <f t="shared" si="5"/>
        <v>4.2000000000000003E-2</v>
      </c>
    </row>
    <row r="79" spans="1:5" x14ac:dyDescent="0.25">
      <c r="A79" s="3" t="s">
        <v>77</v>
      </c>
      <c r="B79" s="5">
        <f>55</f>
        <v>55</v>
      </c>
      <c r="C79" s="5">
        <f>1000</f>
        <v>1000</v>
      </c>
      <c r="D79" s="5">
        <f t="shared" si="4"/>
        <v>-945</v>
      </c>
      <c r="E79" s="6">
        <f t="shared" si="5"/>
        <v>5.5E-2</v>
      </c>
    </row>
    <row r="80" spans="1:5" x14ac:dyDescent="0.25">
      <c r="A80" s="3" t="s">
        <v>78</v>
      </c>
      <c r="B80" s="4"/>
      <c r="C80" s="5">
        <f>1000</f>
        <v>1000</v>
      </c>
      <c r="D80" s="5">
        <f t="shared" si="4"/>
        <v>-1000</v>
      </c>
      <c r="E80" s="6">
        <f t="shared" si="5"/>
        <v>0</v>
      </c>
    </row>
    <row r="81" spans="1:5" x14ac:dyDescent="0.25">
      <c r="A81" s="3" t="s">
        <v>79</v>
      </c>
      <c r="B81" s="4"/>
      <c r="C81" s="5">
        <f>120</f>
        <v>120</v>
      </c>
      <c r="D81" s="5">
        <f t="shared" si="4"/>
        <v>-120</v>
      </c>
      <c r="E81" s="6">
        <f t="shared" si="5"/>
        <v>0</v>
      </c>
    </row>
    <row r="82" spans="1:5" x14ac:dyDescent="0.25">
      <c r="A82" s="3" t="s">
        <v>80</v>
      </c>
      <c r="B82" s="5">
        <f>45</f>
        <v>45</v>
      </c>
      <c r="C82" s="5">
        <f>1000</f>
        <v>1000</v>
      </c>
      <c r="D82" s="5">
        <f t="shared" si="4"/>
        <v>-955</v>
      </c>
      <c r="E82" s="6">
        <f t="shared" si="5"/>
        <v>4.4999999999999998E-2</v>
      </c>
    </row>
    <row r="83" spans="1:5" x14ac:dyDescent="0.25">
      <c r="A83" s="3" t="s">
        <v>81</v>
      </c>
      <c r="B83" s="4"/>
      <c r="C83" s="5">
        <f>100</f>
        <v>100</v>
      </c>
      <c r="D83" s="5">
        <f t="shared" si="4"/>
        <v>-100</v>
      </c>
      <c r="E83" s="6">
        <f t="shared" si="5"/>
        <v>0</v>
      </c>
    </row>
    <row r="84" spans="1:5" x14ac:dyDescent="0.25">
      <c r="A84" s="3" t="s">
        <v>82</v>
      </c>
      <c r="B84" s="5">
        <f>56</f>
        <v>56</v>
      </c>
      <c r="C84" s="5">
        <f>1500</f>
        <v>1500</v>
      </c>
      <c r="D84" s="5">
        <f t="shared" si="4"/>
        <v>-1444</v>
      </c>
      <c r="E84" s="6">
        <f t="shared" si="5"/>
        <v>3.7333333333333336E-2</v>
      </c>
    </row>
    <row r="85" spans="1:5" x14ac:dyDescent="0.25">
      <c r="A85" s="3" t="s">
        <v>83</v>
      </c>
      <c r="B85" s="7">
        <f>(((((((((((((((((((((((((((((((((((((((((((B41)+(B42))+(B43))+(B44))+(B45))+(B46))+(B47))+(B48))+(B49))+(B50))+(B51))+(B52))+(B53))+(B54))+(B55))+(B56))+(B57))+(B58))+(B59))+(B60))+(B61))+(B62))+(B63))+(B64))+(B65))+(B66))+(B67))+(B68))+(B69))+(B70))+(B71))+(B72))+(B73))+(B74))+(B75))+(B76))+(B77))+(B78))+(B79))+(B80))+(B81))+(B82))+(B83))+(B84)</f>
        <v>1604.5300000000002</v>
      </c>
      <c r="C85" s="7">
        <f>(((((((((((((((((((((((((((((((((((((((((((C41)+(C42))+(C43))+(C44))+(C45))+(C46))+(C47))+(C48))+(C49))+(C50))+(C51))+(C52))+(C53))+(C54))+(C55))+(C56))+(C57))+(C58))+(C59))+(C60))+(C61))+(C62))+(C63))+(C64))+(C65))+(C66))+(C67))+(C68))+(C69))+(C70))+(C71))+(C72))+(C73))+(C74))+(C75))+(C76))+(C77))+(C78))+(C79))+(C80))+(C81))+(C82))+(C83))+(C84)</f>
        <v>62056.53</v>
      </c>
      <c r="D85" s="7">
        <f t="shared" si="4"/>
        <v>-60452</v>
      </c>
      <c r="E85" s="8">
        <f t="shared" si="5"/>
        <v>2.5855941348960378E-2</v>
      </c>
    </row>
    <row r="86" spans="1:5" x14ac:dyDescent="0.25">
      <c r="A86" s="3" t="s">
        <v>84</v>
      </c>
      <c r="B86" s="7">
        <f>(((((B25)+(B26))+(B33))+(B37))+(B40))+(B85)</f>
        <v>3439.4800000000005</v>
      </c>
      <c r="C86" s="7">
        <f>(((((C25)+(C26))+(C33))+(C37))+(C40))+(C85)</f>
        <v>196881.53</v>
      </c>
      <c r="D86" s="7">
        <f t="shared" si="4"/>
        <v>-193442.05</v>
      </c>
      <c r="E86" s="8">
        <f t="shared" si="5"/>
        <v>1.7469795160571948E-2</v>
      </c>
    </row>
    <row r="87" spans="1:5" x14ac:dyDescent="0.25">
      <c r="A87" s="3" t="s">
        <v>85</v>
      </c>
      <c r="B87" s="5">
        <f>184.51</f>
        <v>184.51</v>
      </c>
      <c r="C87" s="5">
        <f>300</f>
        <v>300</v>
      </c>
      <c r="D87" s="5">
        <f t="shared" si="4"/>
        <v>-115.49000000000001</v>
      </c>
      <c r="E87" s="6">
        <f t="shared" si="5"/>
        <v>0.61503333333333332</v>
      </c>
    </row>
    <row r="88" spans="1:5" x14ac:dyDescent="0.25">
      <c r="A88" s="3" t="s">
        <v>86</v>
      </c>
      <c r="B88" s="7">
        <f>((((B12)+(B23))+(B24))+(B86))+(B87)</f>
        <v>282132.44</v>
      </c>
      <c r="C88" s="7">
        <f>((((C12)+(C23))+(C24))+(C86))+(C87)</f>
        <v>814381.53</v>
      </c>
      <c r="D88" s="7">
        <f t="shared" si="4"/>
        <v>-532249.09000000008</v>
      </c>
      <c r="E88" s="8">
        <f t="shared" si="5"/>
        <v>0.34643767031406031</v>
      </c>
    </row>
    <row r="89" spans="1:5" x14ac:dyDescent="0.25">
      <c r="A89" s="3" t="s">
        <v>87</v>
      </c>
      <c r="B89" s="4"/>
      <c r="C89" s="4"/>
      <c r="D89" s="4"/>
      <c r="E89" s="4"/>
    </row>
    <row r="90" spans="1:5" x14ac:dyDescent="0.25">
      <c r="A90" s="3" t="s">
        <v>88</v>
      </c>
      <c r="B90" s="5">
        <f>689.7</f>
        <v>689.7</v>
      </c>
      <c r="C90" s="5">
        <f>25000</f>
        <v>25000</v>
      </c>
      <c r="D90" s="5">
        <f>(B90)-(C90)</f>
        <v>-24310.3</v>
      </c>
      <c r="E90" s="6">
        <f>IF(C90=0,"",(B90)/(C90))</f>
        <v>2.7588000000000001E-2</v>
      </c>
    </row>
    <row r="91" spans="1:5" x14ac:dyDescent="0.25">
      <c r="A91" s="3" t="s">
        <v>89</v>
      </c>
      <c r="B91" s="5">
        <f>143.63</f>
        <v>143.63</v>
      </c>
      <c r="C91" s="5">
        <f>5000</f>
        <v>5000</v>
      </c>
      <c r="D91" s="5">
        <f>(B91)-(C91)</f>
        <v>-4856.37</v>
      </c>
      <c r="E91" s="6">
        <f>IF(C91=0,"",(B91)/(C91))</f>
        <v>2.8725999999999998E-2</v>
      </c>
    </row>
    <row r="92" spans="1:5" x14ac:dyDescent="0.25">
      <c r="A92" s="3" t="s">
        <v>90</v>
      </c>
      <c r="B92" s="7">
        <f>(B90)+(B91)</f>
        <v>833.33</v>
      </c>
      <c r="C92" s="7">
        <f>(C90)+(C91)</f>
        <v>30000</v>
      </c>
      <c r="D92" s="7">
        <f>(B92)-(C92)</f>
        <v>-29166.67</v>
      </c>
      <c r="E92" s="8">
        <f>IF(C92=0,"",(B92)/(C92))</f>
        <v>2.7777666666666669E-2</v>
      </c>
    </row>
    <row r="93" spans="1:5" x14ac:dyDescent="0.25">
      <c r="A93" s="3" t="s">
        <v>91</v>
      </c>
      <c r="B93" s="7">
        <f>(B88)-(B92)</f>
        <v>281299.11</v>
      </c>
      <c r="C93" s="7">
        <f>(C88)-(C92)</f>
        <v>784381.53</v>
      </c>
      <c r="D93" s="7">
        <f>(B93)-(C93)</f>
        <v>-503082.42000000004</v>
      </c>
      <c r="E93" s="8">
        <f>IF(C93=0,"",(B93)/(C93))</f>
        <v>0.35862536181850174</v>
      </c>
    </row>
    <row r="94" spans="1:5" x14ac:dyDescent="0.25">
      <c r="A94" s="3" t="s">
        <v>92</v>
      </c>
      <c r="B94" s="4"/>
      <c r="C94" s="4"/>
      <c r="D94" s="4"/>
      <c r="E94" s="4"/>
    </row>
    <row r="95" spans="1:5" x14ac:dyDescent="0.25">
      <c r="A95" s="3" t="s">
        <v>93</v>
      </c>
      <c r="B95" s="4"/>
      <c r="C95" s="4"/>
      <c r="D95" s="5">
        <f t="shared" ref="D95:D126" si="6">(B95)-(C95)</f>
        <v>0</v>
      </c>
      <c r="E95" s="6" t="str">
        <f t="shared" ref="E95:E126" si="7">IF(C95=0,"",(B95)/(C95))</f>
        <v/>
      </c>
    </row>
    <row r="96" spans="1:5" x14ac:dyDescent="0.25">
      <c r="A96" s="3" t="s">
        <v>94</v>
      </c>
      <c r="B96" s="5">
        <f>32572</f>
        <v>32572</v>
      </c>
      <c r="C96" s="5">
        <f>33500</f>
        <v>33500</v>
      </c>
      <c r="D96" s="5">
        <f t="shared" si="6"/>
        <v>-928</v>
      </c>
      <c r="E96" s="6">
        <f t="shared" si="7"/>
        <v>0.97229850746268653</v>
      </c>
    </row>
    <row r="97" spans="1:5" x14ac:dyDescent="0.25">
      <c r="A97" s="3" t="s">
        <v>95</v>
      </c>
      <c r="B97" s="7">
        <f>(B95)+(B96)</f>
        <v>32572</v>
      </c>
      <c r="C97" s="7">
        <f>(C95)+(C96)</f>
        <v>33500</v>
      </c>
      <c r="D97" s="7">
        <f t="shared" si="6"/>
        <v>-928</v>
      </c>
      <c r="E97" s="8">
        <f t="shared" si="7"/>
        <v>0.97229850746268653</v>
      </c>
    </row>
    <row r="98" spans="1:5" x14ac:dyDescent="0.25">
      <c r="A98" s="3" t="s">
        <v>96</v>
      </c>
      <c r="B98" s="5">
        <f>250</f>
        <v>250</v>
      </c>
      <c r="C98" s="5">
        <f>13000</f>
        <v>13000</v>
      </c>
      <c r="D98" s="5">
        <f t="shared" si="6"/>
        <v>-12750</v>
      </c>
      <c r="E98" s="6">
        <f t="shared" si="7"/>
        <v>1.9230769230769232E-2</v>
      </c>
    </row>
    <row r="99" spans="1:5" x14ac:dyDescent="0.25">
      <c r="A99" s="3" t="s">
        <v>97</v>
      </c>
      <c r="B99" s="5">
        <f>551.69</f>
        <v>551.69000000000005</v>
      </c>
      <c r="C99" s="5">
        <f>2500</f>
        <v>2500</v>
      </c>
      <c r="D99" s="5">
        <f t="shared" si="6"/>
        <v>-1948.31</v>
      </c>
      <c r="E99" s="6">
        <f t="shared" si="7"/>
        <v>0.22067600000000001</v>
      </c>
    </row>
    <row r="100" spans="1:5" x14ac:dyDescent="0.25">
      <c r="A100" s="3" t="s">
        <v>98</v>
      </c>
      <c r="B100" s="5">
        <f>2704.93</f>
        <v>2704.93</v>
      </c>
      <c r="C100" s="5">
        <f>15250</f>
        <v>15250</v>
      </c>
      <c r="D100" s="5">
        <f t="shared" si="6"/>
        <v>-12545.07</v>
      </c>
      <c r="E100" s="6">
        <f t="shared" si="7"/>
        <v>0.17737245901639342</v>
      </c>
    </row>
    <row r="101" spans="1:5" x14ac:dyDescent="0.25">
      <c r="A101" s="3" t="s">
        <v>99</v>
      </c>
      <c r="B101" s="5">
        <f>2.97</f>
        <v>2.97</v>
      </c>
      <c r="C101" s="5">
        <f>1500</f>
        <v>1500</v>
      </c>
      <c r="D101" s="5">
        <f t="shared" si="6"/>
        <v>-1497.03</v>
      </c>
      <c r="E101" s="6">
        <f t="shared" si="7"/>
        <v>1.98E-3</v>
      </c>
    </row>
    <row r="102" spans="1:5" x14ac:dyDescent="0.25">
      <c r="A102" s="3" t="s">
        <v>100</v>
      </c>
      <c r="B102" s="4"/>
      <c r="C102" s="4"/>
      <c r="D102" s="5">
        <f t="shared" si="6"/>
        <v>0</v>
      </c>
      <c r="E102" s="6" t="str">
        <f t="shared" si="7"/>
        <v/>
      </c>
    </row>
    <row r="103" spans="1:5" x14ac:dyDescent="0.25">
      <c r="A103" s="3" t="s">
        <v>101</v>
      </c>
      <c r="B103" s="4"/>
      <c r="C103" s="5">
        <f>1500</f>
        <v>1500</v>
      </c>
      <c r="D103" s="5">
        <f t="shared" si="6"/>
        <v>-1500</v>
      </c>
      <c r="E103" s="6">
        <f t="shared" si="7"/>
        <v>0</v>
      </c>
    </row>
    <row r="104" spans="1:5" x14ac:dyDescent="0.25">
      <c r="A104" s="3" t="s">
        <v>102</v>
      </c>
      <c r="B104" s="4"/>
      <c r="C104" s="5">
        <f>150</f>
        <v>150</v>
      </c>
      <c r="D104" s="5">
        <f t="shared" si="6"/>
        <v>-150</v>
      </c>
      <c r="E104" s="6">
        <f t="shared" si="7"/>
        <v>0</v>
      </c>
    </row>
    <row r="105" spans="1:5" x14ac:dyDescent="0.25">
      <c r="A105" s="3" t="s">
        <v>103</v>
      </c>
      <c r="B105" s="7">
        <f>((B102)+(B103))+(B104)</f>
        <v>0</v>
      </c>
      <c r="C105" s="7">
        <f>((C102)+(C103))+(C104)</f>
        <v>1650</v>
      </c>
      <c r="D105" s="7">
        <f t="shared" si="6"/>
        <v>-1650</v>
      </c>
      <c r="E105" s="8">
        <f t="shared" si="7"/>
        <v>0</v>
      </c>
    </row>
    <row r="106" spans="1:5" x14ac:dyDescent="0.25">
      <c r="A106" s="3" t="s">
        <v>104</v>
      </c>
      <c r="B106" s="4"/>
      <c r="C106" s="4"/>
      <c r="D106" s="5">
        <f t="shared" si="6"/>
        <v>0</v>
      </c>
      <c r="E106" s="6" t="str">
        <f t="shared" si="7"/>
        <v/>
      </c>
    </row>
    <row r="107" spans="1:5" x14ac:dyDescent="0.25">
      <c r="A107" s="3" t="s">
        <v>105</v>
      </c>
      <c r="B107" s="5">
        <f>3803.01</f>
        <v>3803.01</v>
      </c>
      <c r="C107" s="5">
        <f>15250</f>
        <v>15250</v>
      </c>
      <c r="D107" s="5">
        <f t="shared" si="6"/>
        <v>-11446.99</v>
      </c>
      <c r="E107" s="6">
        <f t="shared" si="7"/>
        <v>0.24937770491803279</v>
      </c>
    </row>
    <row r="108" spans="1:5" x14ac:dyDescent="0.25">
      <c r="A108" s="3" t="s">
        <v>106</v>
      </c>
      <c r="B108" s="7">
        <f>(B106)+(B107)</f>
        <v>3803.01</v>
      </c>
      <c r="C108" s="7">
        <f>(C106)+(C107)</f>
        <v>15250</v>
      </c>
      <c r="D108" s="7">
        <f t="shared" si="6"/>
        <v>-11446.99</v>
      </c>
      <c r="E108" s="8">
        <f t="shared" si="7"/>
        <v>0.24937770491803279</v>
      </c>
    </row>
    <row r="109" spans="1:5" x14ac:dyDescent="0.25">
      <c r="A109" s="3" t="s">
        <v>107</v>
      </c>
      <c r="B109" s="4"/>
      <c r="C109" s="4"/>
      <c r="D109" s="5">
        <f t="shared" si="6"/>
        <v>0</v>
      </c>
      <c r="E109" s="6" t="str">
        <f t="shared" si="7"/>
        <v/>
      </c>
    </row>
    <row r="110" spans="1:5" x14ac:dyDescent="0.25">
      <c r="A110" s="3" t="s">
        <v>108</v>
      </c>
      <c r="B110" s="5">
        <f>10597.51</f>
        <v>10597.51</v>
      </c>
      <c r="C110" s="5">
        <f>41500</f>
        <v>41500</v>
      </c>
      <c r="D110" s="5">
        <f t="shared" si="6"/>
        <v>-30902.489999999998</v>
      </c>
      <c r="E110" s="6">
        <f t="shared" si="7"/>
        <v>0.25536168674698795</v>
      </c>
    </row>
    <row r="111" spans="1:5" x14ac:dyDescent="0.25">
      <c r="A111" s="3" t="s">
        <v>109</v>
      </c>
      <c r="B111" s="5">
        <f>9660.32</f>
        <v>9660.32</v>
      </c>
      <c r="C111" s="5">
        <f>23200</f>
        <v>23200</v>
      </c>
      <c r="D111" s="5">
        <f t="shared" si="6"/>
        <v>-13539.68</v>
      </c>
      <c r="E111" s="6">
        <f t="shared" si="7"/>
        <v>0.41639310344827585</v>
      </c>
    </row>
    <row r="112" spans="1:5" x14ac:dyDescent="0.25">
      <c r="A112" s="3" t="s">
        <v>110</v>
      </c>
      <c r="B112" s="5">
        <f>138.72</f>
        <v>138.72</v>
      </c>
      <c r="C112" s="5">
        <f>280</f>
        <v>280</v>
      </c>
      <c r="D112" s="5">
        <f t="shared" si="6"/>
        <v>-141.28</v>
      </c>
      <c r="E112" s="6">
        <f t="shared" si="7"/>
        <v>0.49542857142857144</v>
      </c>
    </row>
    <row r="113" spans="1:5" x14ac:dyDescent="0.25">
      <c r="A113" s="3" t="s">
        <v>111</v>
      </c>
      <c r="B113" s="7">
        <f>(((B109)+(B110))+(B111))+(B112)</f>
        <v>20396.550000000003</v>
      </c>
      <c r="C113" s="7">
        <f>(((C109)+(C110))+(C111))+(C112)</f>
        <v>64980</v>
      </c>
      <c r="D113" s="7">
        <f t="shared" si="6"/>
        <v>-44583.45</v>
      </c>
      <c r="E113" s="8">
        <f t="shared" si="7"/>
        <v>0.31388965835641741</v>
      </c>
    </row>
    <row r="114" spans="1:5" x14ac:dyDescent="0.25">
      <c r="A114" s="3" t="s">
        <v>112</v>
      </c>
      <c r="B114" s="4"/>
      <c r="C114" s="4"/>
      <c r="D114" s="5">
        <f t="shared" si="6"/>
        <v>0</v>
      </c>
      <c r="E114" s="6" t="str">
        <f t="shared" si="7"/>
        <v/>
      </c>
    </row>
    <row r="115" spans="1:5" x14ac:dyDescent="0.25">
      <c r="A115" s="3" t="s">
        <v>113</v>
      </c>
      <c r="B115" s="5">
        <f>1551.34</f>
        <v>1551.34</v>
      </c>
      <c r="C115" s="5">
        <f>4000</f>
        <v>4000</v>
      </c>
      <c r="D115" s="5">
        <f t="shared" si="6"/>
        <v>-2448.66</v>
      </c>
      <c r="E115" s="6">
        <f t="shared" si="7"/>
        <v>0.38783499999999999</v>
      </c>
    </row>
    <row r="116" spans="1:5" x14ac:dyDescent="0.25">
      <c r="A116" s="3" t="s">
        <v>114</v>
      </c>
      <c r="B116" s="5">
        <f>762.11</f>
        <v>762.11</v>
      </c>
      <c r="C116" s="5">
        <f>2250</f>
        <v>2250</v>
      </c>
      <c r="D116" s="5">
        <f t="shared" si="6"/>
        <v>-1487.8899999999999</v>
      </c>
      <c r="E116" s="6">
        <f t="shared" si="7"/>
        <v>0.33871555555555555</v>
      </c>
    </row>
    <row r="117" spans="1:5" x14ac:dyDescent="0.25">
      <c r="A117" s="3" t="s">
        <v>115</v>
      </c>
      <c r="B117" s="5">
        <f>1652.88</f>
        <v>1652.88</v>
      </c>
      <c r="C117" s="5">
        <f>8500</f>
        <v>8500</v>
      </c>
      <c r="D117" s="5">
        <f t="shared" si="6"/>
        <v>-6847.12</v>
      </c>
      <c r="E117" s="6">
        <f t="shared" si="7"/>
        <v>0.19445647058823531</v>
      </c>
    </row>
    <row r="118" spans="1:5" x14ac:dyDescent="0.25">
      <c r="A118" s="3" t="s">
        <v>116</v>
      </c>
      <c r="B118" s="7">
        <f>(((B114)+(B115))+(B116))+(B117)</f>
        <v>3966.33</v>
      </c>
      <c r="C118" s="7">
        <f>(((C114)+(C115))+(C116))+(C117)</f>
        <v>14750</v>
      </c>
      <c r="D118" s="7">
        <f t="shared" si="6"/>
        <v>-10783.67</v>
      </c>
      <c r="E118" s="8">
        <f t="shared" si="7"/>
        <v>0.26890372881355934</v>
      </c>
    </row>
    <row r="119" spans="1:5" x14ac:dyDescent="0.25">
      <c r="A119" s="3" t="s">
        <v>117</v>
      </c>
      <c r="B119" s="5">
        <f>1542.85</f>
        <v>1542.85</v>
      </c>
      <c r="C119" s="5">
        <f>8000</f>
        <v>8000</v>
      </c>
      <c r="D119" s="5">
        <f t="shared" si="6"/>
        <v>-6457.15</v>
      </c>
      <c r="E119" s="6">
        <f t="shared" si="7"/>
        <v>0.19285624999999998</v>
      </c>
    </row>
    <row r="120" spans="1:5" x14ac:dyDescent="0.25">
      <c r="A120" s="3" t="s">
        <v>118</v>
      </c>
      <c r="B120" s="5">
        <f>8.99</f>
        <v>8.99</v>
      </c>
      <c r="C120" s="4"/>
      <c r="D120" s="5">
        <f t="shared" si="6"/>
        <v>8.99</v>
      </c>
      <c r="E120" s="6" t="str">
        <f t="shared" si="7"/>
        <v/>
      </c>
    </row>
    <row r="121" spans="1:5" x14ac:dyDescent="0.25">
      <c r="A121" s="3" t="s">
        <v>119</v>
      </c>
      <c r="B121" s="5">
        <f>272.12</f>
        <v>272.12</v>
      </c>
      <c r="C121" s="5">
        <f>1500</f>
        <v>1500</v>
      </c>
      <c r="D121" s="5">
        <f t="shared" si="6"/>
        <v>-1227.8800000000001</v>
      </c>
      <c r="E121" s="6">
        <f t="shared" si="7"/>
        <v>0.18141333333333334</v>
      </c>
    </row>
    <row r="122" spans="1:5" x14ac:dyDescent="0.25">
      <c r="A122" s="3" t="s">
        <v>120</v>
      </c>
      <c r="B122" s="5">
        <f>1362.13</f>
        <v>1362.13</v>
      </c>
      <c r="C122" s="5">
        <f>10000</f>
        <v>10000</v>
      </c>
      <c r="D122" s="5">
        <f t="shared" si="6"/>
        <v>-8637.869999999999</v>
      </c>
      <c r="E122" s="6">
        <f t="shared" si="7"/>
        <v>0.136213</v>
      </c>
    </row>
    <row r="123" spans="1:5" x14ac:dyDescent="0.25">
      <c r="A123" s="3" t="s">
        <v>121</v>
      </c>
      <c r="B123" s="7">
        <f>((B120)+(B121))+(B122)</f>
        <v>1643.2400000000002</v>
      </c>
      <c r="C123" s="7">
        <f>((C120)+(C121))+(C122)</f>
        <v>11500</v>
      </c>
      <c r="D123" s="7">
        <f t="shared" si="6"/>
        <v>-9856.76</v>
      </c>
      <c r="E123" s="8">
        <f t="shared" si="7"/>
        <v>0.14289043478260871</v>
      </c>
    </row>
    <row r="124" spans="1:5" x14ac:dyDescent="0.25">
      <c r="A124" s="3" t="s">
        <v>122</v>
      </c>
      <c r="B124" s="5">
        <f>689.6</f>
        <v>689.6</v>
      </c>
      <c r="C124" s="5">
        <f>3000</f>
        <v>3000</v>
      </c>
      <c r="D124" s="5">
        <f t="shared" si="6"/>
        <v>-2310.4</v>
      </c>
      <c r="E124" s="6">
        <f t="shared" si="7"/>
        <v>0.22986666666666666</v>
      </c>
    </row>
    <row r="125" spans="1:5" x14ac:dyDescent="0.25">
      <c r="A125" s="3" t="s">
        <v>123</v>
      </c>
      <c r="B125" s="4"/>
      <c r="C125" s="5">
        <f>841.67</f>
        <v>841.67</v>
      </c>
      <c r="D125" s="5">
        <f t="shared" si="6"/>
        <v>-841.67</v>
      </c>
      <c r="E125" s="6">
        <f t="shared" si="7"/>
        <v>0</v>
      </c>
    </row>
    <row r="126" spans="1:5" x14ac:dyDescent="0.25">
      <c r="A126" s="3" t="s">
        <v>124</v>
      </c>
      <c r="B126" s="4"/>
      <c r="C126" s="4"/>
      <c r="D126" s="5">
        <f t="shared" si="6"/>
        <v>0</v>
      </c>
      <c r="E126" s="6" t="str">
        <f t="shared" si="7"/>
        <v/>
      </c>
    </row>
    <row r="127" spans="1:5" x14ac:dyDescent="0.25">
      <c r="A127" s="3" t="s">
        <v>125</v>
      </c>
      <c r="B127" s="5">
        <f>85901.34</f>
        <v>85901.34</v>
      </c>
      <c r="C127" s="5">
        <f>348022.79</f>
        <v>348022.79</v>
      </c>
      <c r="D127" s="5">
        <f t="shared" ref="D127:D158" si="8">(B127)-(C127)</f>
        <v>-262121.44999999998</v>
      </c>
      <c r="E127" s="6">
        <f t="shared" ref="E127:E158" si="9">IF(C127=0,"",(B127)/(C127))</f>
        <v>0.24682676671835199</v>
      </c>
    </row>
    <row r="128" spans="1:5" x14ac:dyDescent="0.25">
      <c r="A128" s="3" t="s">
        <v>126</v>
      </c>
      <c r="B128" s="4"/>
      <c r="C128" s="5">
        <f>3828.25</f>
        <v>3828.25</v>
      </c>
      <c r="D128" s="5">
        <f t="shared" si="8"/>
        <v>-3828.25</v>
      </c>
      <c r="E128" s="6">
        <f t="shared" si="9"/>
        <v>0</v>
      </c>
    </row>
    <row r="129" spans="1:5" x14ac:dyDescent="0.25">
      <c r="A129" s="3" t="s">
        <v>127</v>
      </c>
      <c r="B129" s="5">
        <f>7824.93</f>
        <v>7824.93</v>
      </c>
      <c r="C129" s="5">
        <f>32888.15</f>
        <v>32888.15</v>
      </c>
      <c r="D129" s="5">
        <f t="shared" si="8"/>
        <v>-25063.22</v>
      </c>
      <c r="E129" s="6">
        <f t="shared" si="9"/>
        <v>0.23792551420496441</v>
      </c>
    </row>
    <row r="130" spans="1:5" x14ac:dyDescent="0.25">
      <c r="A130" s="3" t="s">
        <v>128</v>
      </c>
      <c r="B130" s="5">
        <f>2603.39</f>
        <v>2603.39</v>
      </c>
      <c r="C130" s="5">
        <f>13307.87</f>
        <v>13307.87</v>
      </c>
      <c r="D130" s="5">
        <f t="shared" si="8"/>
        <v>-10704.480000000001</v>
      </c>
      <c r="E130" s="6">
        <f t="shared" si="9"/>
        <v>0.19562785028708574</v>
      </c>
    </row>
    <row r="131" spans="1:5" x14ac:dyDescent="0.25">
      <c r="A131" s="3" t="s">
        <v>129</v>
      </c>
      <c r="B131" s="5">
        <f>28213.2</f>
        <v>28213.200000000001</v>
      </c>
      <c r="C131" s="5">
        <f>112852.8</f>
        <v>112852.8</v>
      </c>
      <c r="D131" s="5">
        <f t="shared" si="8"/>
        <v>-84639.6</v>
      </c>
      <c r="E131" s="6">
        <f t="shared" si="9"/>
        <v>0.25</v>
      </c>
    </row>
    <row r="132" spans="1:5" x14ac:dyDescent="0.25">
      <c r="A132" s="3" t="s">
        <v>130</v>
      </c>
      <c r="B132" s="7">
        <f>(((((B126)+(B127))+(B128))+(B129))+(B130))+(B131)</f>
        <v>124542.85999999999</v>
      </c>
      <c r="C132" s="7">
        <f>(((((C126)+(C127))+(C128))+(C129))+(C130))+(C131)</f>
        <v>510899.86</v>
      </c>
      <c r="D132" s="7">
        <f t="shared" si="8"/>
        <v>-386357</v>
      </c>
      <c r="E132" s="8">
        <f t="shared" si="9"/>
        <v>0.24377156807206796</v>
      </c>
    </row>
    <row r="133" spans="1:5" x14ac:dyDescent="0.25">
      <c r="A133" s="3" t="s">
        <v>131</v>
      </c>
      <c r="B133" s="4"/>
      <c r="C133" s="4"/>
      <c r="D133" s="5">
        <f t="shared" si="8"/>
        <v>0</v>
      </c>
      <c r="E133" s="6" t="str">
        <f t="shared" si="9"/>
        <v/>
      </c>
    </row>
    <row r="134" spans="1:5" x14ac:dyDescent="0.25">
      <c r="A134" s="3" t="s">
        <v>132</v>
      </c>
      <c r="B134" s="5">
        <f>10000</f>
        <v>10000</v>
      </c>
      <c r="C134" s="5">
        <f>18000</f>
        <v>18000</v>
      </c>
      <c r="D134" s="5">
        <f t="shared" si="8"/>
        <v>-8000</v>
      </c>
      <c r="E134" s="6">
        <f t="shared" si="9"/>
        <v>0.55555555555555558</v>
      </c>
    </row>
    <row r="135" spans="1:5" x14ac:dyDescent="0.25">
      <c r="A135" s="3" t="s">
        <v>133</v>
      </c>
      <c r="B135" s="4"/>
      <c r="C135" s="5">
        <f>400</f>
        <v>400</v>
      </c>
      <c r="D135" s="5">
        <f t="shared" si="8"/>
        <v>-400</v>
      </c>
      <c r="E135" s="6">
        <f t="shared" si="9"/>
        <v>0</v>
      </c>
    </row>
    <row r="136" spans="1:5" x14ac:dyDescent="0.25">
      <c r="A136" s="3" t="s">
        <v>134</v>
      </c>
      <c r="B136" s="7">
        <f>((B133)+(B134))+(B135)</f>
        <v>10000</v>
      </c>
      <c r="C136" s="7">
        <f>((C133)+(C134))+(C135)</f>
        <v>18400</v>
      </c>
      <c r="D136" s="7">
        <f t="shared" si="8"/>
        <v>-8400</v>
      </c>
      <c r="E136" s="8">
        <f t="shared" si="9"/>
        <v>0.54347826086956519</v>
      </c>
    </row>
    <row r="137" spans="1:5" x14ac:dyDescent="0.25">
      <c r="A137" s="3" t="s">
        <v>135</v>
      </c>
      <c r="B137" s="4"/>
      <c r="C137" s="5">
        <f>2500</f>
        <v>2500</v>
      </c>
      <c r="D137" s="5">
        <f t="shared" si="8"/>
        <v>-2500</v>
      </c>
      <c r="E137" s="6">
        <f t="shared" si="9"/>
        <v>0</v>
      </c>
    </row>
    <row r="138" spans="1:5" x14ac:dyDescent="0.25">
      <c r="A138" s="3" t="s">
        <v>136</v>
      </c>
      <c r="B138" s="4"/>
      <c r="C138" s="4"/>
      <c r="D138" s="5">
        <f t="shared" si="8"/>
        <v>0</v>
      </c>
      <c r="E138" s="6" t="str">
        <f t="shared" si="9"/>
        <v/>
      </c>
    </row>
    <row r="139" spans="1:5" x14ac:dyDescent="0.25">
      <c r="A139" s="3" t="s">
        <v>137</v>
      </c>
      <c r="B139" s="4"/>
      <c r="C139" s="5">
        <f>75</f>
        <v>75</v>
      </c>
      <c r="D139" s="5">
        <f t="shared" si="8"/>
        <v>-75</v>
      </c>
      <c r="E139" s="6">
        <f t="shared" si="9"/>
        <v>0</v>
      </c>
    </row>
    <row r="140" spans="1:5" x14ac:dyDescent="0.25">
      <c r="A140" s="3" t="s">
        <v>138</v>
      </c>
      <c r="B140" s="5">
        <f>858.48</f>
        <v>858.48</v>
      </c>
      <c r="C140" s="5">
        <f>2750</f>
        <v>2750</v>
      </c>
      <c r="D140" s="5">
        <f t="shared" si="8"/>
        <v>-1891.52</v>
      </c>
      <c r="E140" s="6">
        <f t="shared" si="9"/>
        <v>0.31217454545454548</v>
      </c>
    </row>
    <row r="141" spans="1:5" x14ac:dyDescent="0.25">
      <c r="A141" s="3" t="s">
        <v>139</v>
      </c>
      <c r="B141" s="5">
        <f>1136.52</f>
        <v>1136.52</v>
      </c>
      <c r="C141" s="5">
        <f>3500</f>
        <v>3500</v>
      </c>
      <c r="D141" s="5">
        <f t="shared" si="8"/>
        <v>-2363.48</v>
      </c>
      <c r="E141" s="6">
        <f t="shared" si="9"/>
        <v>0.32472000000000001</v>
      </c>
    </row>
    <row r="142" spans="1:5" x14ac:dyDescent="0.25">
      <c r="A142" s="3" t="s">
        <v>140</v>
      </c>
      <c r="B142" s="5">
        <f>0</f>
        <v>0</v>
      </c>
      <c r="C142" s="5">
        <f>150</f>
        <v>150</v>
      </c>
      <c r="D142" s="5">
        <f t="shared" si="8"/>
        <v>-150</v>
      </c>
      <c r="E142" s="6">
        <f t="shared" si="9"/>
        <v>0</v>
      </c>
    </row>
    <row r="143" spans="1:5" x14ac:dyDescent="0.25">
      <c r="A143" s="3" t="s">
        <v>141</v>
      </c>
      <c r="B143" s="4"/>
      <c r="C143" s="5">
        <f>50</f>
        <v>50</v>
      </c>
      <c r="D143" s="5">
        <f t="shared" si="8"/>
        <v>-50</v>
      </c>
      <c r="E143" s="6">
        <f t="shared" si="9"/>
        <v>0</v>
      </c>
    </row>
    <row r="144" spans="1:5" x14ac:dyDescent="0.25">
      <c r="A144" s="3" t="s">
        <v>142</v>
      </c>
      <c r="B144" s="5">
        <f>397.8</f>
        <v>397.8</v>
      </c>
      <c r="C144" s="5">
        <f>1200</f>
        <v>1200</v>
      </c>
      <c r="D144" s="5">
        <f t="shared" si="8"/>
        <v>-802.2</v>
      </c>
      <c r="E144" s="6">
        <f t="shared" si="9"/>
        <v>0.33150000000000002</v>
      </c>
    </row>
    <row r="145" spans="1:5" x14ac:dyDescent="0.25">
      <c r="A145" s="3" t="s">
        <v>143</v>
      </c>
      <c r="B145" s="7">
        <f>((((((B138)+(B139))+(B140))+(B141))+(B142))+(B143))+(B144)</f>
        <v>2392.8000000000002</v>
      </c>
      <c r="C145" s="7">
        <f>((((((C138)+(C139))+(C140))+(C141))+(C142))+(C143))+(C144)</f>
        <v>7725</v>
      </c>
      <c r="D145" s="7">
        <f t="shared" si="8"/>
        <v>-5332.2</v>
      </c>
      <c r="E145" s="8">
        <f t="shared" si="9"/>
        <v>0.309747572815534</v>
      </c>
    </row>
    <row r="146" spans="1:5" x14ac:dyDescent="0.25">
      <c r="A146" s="3" t="s">
        <v>144</v>
      </c>
      <c r="B146" s="5">
        <f>439.92</f>
        <v>439.92</v>
      </c>
      <c r="C146" s="5">
        <f>2250</f>
        <v>2250</v>
      </c>
      <c r="D146" s="5">
        <f t="shared" si="8"/>
        <v>-1810.08</v>
      </c>
      <c r="E146" s="6">
        <f t="shared" si="9"/>
        <v>0.19552</v>
      </c>
    </row>
    <row r="147" spans="1:5" x14ac:dyDescent="0.25">
      <c r="A147" s="3" t="s">
        <v>145</v>
      </c>
      <c r="B147" s="5">
        <f>5039.31</f>
        <v>5039.3100000000004</v>
      </c>
      <c r="C147" s="5">
        <f>11500</f>
        <v>11500</v>
      </c>
      <c r="D147" s="5">
        <f t="shared" si="8"/>
        <v>-6460.69</v>
      </c>
      <c r="E147" s="6">
        <f t="shared" si="9"/>
        <v>0.43820086956521742</v>
      </c>
    </row>
    <row r="148" spans="1:5" x14ac:dyDescent="0.25">
      <c r="A148" s="3" t="s">
        <v>146</v>
      </c>
      <c r="B148" s="5">
        <f>2080.32</f>
        <v>2080.3200000000002</v>
      </c>
      <c r="C148" s="5">
        <f>6000</f>
        <v>6000</v>
      </c>
      <c r="D148" s="5">
        <f t="shared" si="8"/>
        <v>-3919.68</v>
      </c>
      <c r="E148" s="6">
        <f t="shared" si="9"/>
        <v>0.34672000000000003</v>
      </c>
    </row>
    <row r="149" spans="1:5" x14ac:dyDescent="0.25">
      <c r="A149" s="3" t="s">
        <v>147</v>
      </c>
      <c r="B149" s="4"/>
      <c r="C149" s="4"/>
      <c r="D149" s="5">
        <f t="shared" si="8"/>
        <v>0</v>
      </c>
      <c r="E149" s="6" t="str">
        <f t="shared" si="9"/>
        <v/>
      </c>
    </row>
    <row r="150" spans="1:5" x14ac:dyDescent="0.25">
      <c r="A150" s="3" t="s">
        <v>148</v>
      </c>
      <c r="B150" s="5">
        <f>10</f>
        <v>10</v>
      </c>
      <c r="C150" s="5">
        <f>10</f>
        <v>10</v>
      </c>
      <c r="D150" s="5">
        <f t="shared" si="8"/>
        <v>0</v>
      </c>
      <c r="E150" s="6">
        <f t="shared" si="9"/>
        <v>1</v>
      </c>
    </row>
    <row r="151" spans="1:5" x14ac:dyDescent="0.25">
      <c r="A151" s="3" t="s">
        <v>149</v>
      </c>
      <c r="B151" s="5">
        <f>1200</f>
        <v>1200</v>
      </c>
      <c r="C151" s="5">
        <f>1200</f>
        <v>1200</v>
      </c>
      <c r="D151" s="5">
        <f t="shared" si="8"/>
        <v>0</v>
      </c>
      <c r="E151" s="6">
        <f t="shared" si="9"/>
        <v>1</v>
      </c>
    </row>
    <row r="152" spans="1:5" x14ac:dyDescent="0.25">
      <c r="A152" s="3" t="s">
        <v>150</v>
      </c>
      <c r="B152" s="7">
        <f>((B149)+(B150))+(B151)</f>
        <v>1210</v>
      </c>
      <c r="C152" s="7">
        <f>((C149)+(C150))+(C151)</f>
        <v>1210</v>
      </c>
      <c r="D152" s="7">
        <f t="shared" si="8"/>
        <v>0</v>
      </c>
      <c r="E152" s="8">
        <f t="shared" si="9"/>
        <v>1</v>
      </c>
    </row>
    <row r="153" spans="1:5" x14ac:dyDescent="0.25">
      <c r="A153" s="3" t="s">
        <v>151</v>
      </c>
      <c r="B153" s="5">
        <f>971.13</f>
        <v>971.13</v>
      </c>
      <c r="C153" s="5">
        <f>6500</f>
        <v>6500</v>
      </c>
      <c r="D153" s="5">
        <f t="shared" si="8"/>
        <v>-5528.87</v>
      </c>
      <c r="E153" s="6">
        <f t="shared" si="9"/>
        <v>0.14940461538461539</v>
      </c>
    </row>
    <row r="154" spans="1:5" x14ac:dyDescent="0.25">
      <c r="A154" s="3" t="s">
        <v>152</v>
      </c>
      <c r="B154" s="5">
        <f>15.18</f>
        <v>15.18</v>
      </c>
      <c r="C154" s="4"/>
      <c r="D154" s="5">
        <f t="shared" si="8"/>
        <v>15.18</v>
      </c>
      <c r="E154" s="6" t="str">
        <f t="shared" si="9"/>
        <v/>
      </c>
    </row>
    <row r="155" spans="1:5" x14ac:dyDescent="0.25">
      <c r="A155" s="3" t="s">
        <v>153</v>
      </c>
      <c r="B155" s="5">
        <f>123.38</f>
        <v>123.38</v>
      </c>
      <c r="C155" s="4"/>
      <c r="D155" s="5">
        <f t="shared" si="8"/>
        <v>123.38</v>
      </c>
      <c r="E155" s="6" t="str">
        <f t="shared" si="9"/>
        <v/>
      </c>
    </row>
    <row r="156" spans="1:5" x14ac:dyDescent="0.25">
      <c r="A156" s="3" t="s">
        <v>154</v>
      </c>
      <c r="B156" s="7">
        <f>((B153)+(B154))+(B155)</f>
        <v>1109.69</v>
      </c>
      <c r="C156" s="7">
        <f>((C153)+(C154))+(C155)</f>
        <v>6500</v>
      </c>
      <c r="D156" s="7">
        <f t="shared" si="8"/>
        <v>-5390.3099999999995</v>
      </c>
      <c r="E156" s="8">
        <f t="shared" si="9"/>
        <v>0.17072153846153848</v>
      </c>
    </row>
    <row r="157" spans="1:5" x14ac:dyDescent="0.25">
      <c r="A157" s="3" t="s">
        <v>155</v>
      </c>
      <c r="B157" s="5">
        <f>106</f>
        <v>106</v>
      </c>
      <c r="C157" s="5">
        <f>175</f>
        <v>175</v>
      </c>
      <c r="D157" s="5">
        <f t="shared" si="8"/>
        <v>-69</v>
      </c>
      <c r="E157" s="6">
        <f t="shared" si="9"/>
        <v>0.60571428571428576</v>
      </c>
    </row>
    <row r="158" spans="1:5" x14ac:dyDescent="0.25">
      <c r="A158" s="3" t="s">
        <v>156</v>
      </c>
      <c r="B158" s="5">
        <f>4996.66</f>
        <v>4996.66</v>
      </c>
      <c r="C158" s="5">
        <f>7750</f>
        <v>7750</v>
      </c>
      <c r="D158" s="5">
        <f t="shared" si="8"/>
        <v>-2753.34</v>
      </c>
      <c r="E158" s="6">
        <f t="shared" si="9"/>
        <v>0.64473032258064511</v>
      </c>
    </row>
    <row r="159" spans="1:5" x14ac:dyDescent="0.25">
      <c r="A159" s="3" t="s">
        <v>157</v>
      </c>
      <c r="B159" s="5">
        <f>35</f>
        <v>35</v>
      </c>
      <c r="C159" s="5">
        <f>750</f>
        <v>750</v>
      </c>
      <c r="D159" s="5">
        <f t="shared" ref="D159:D170" si="10">(B159)-(C159)</f>
        <v>-715</v>
      </c>
      <c r="E159" s="6">
        <f t="shared" ref="E159:E170" si="11">IF(C159=0,"",(B159)/(C159))</f>
        <v>4.6666666666666669E-2</v>
      </c>
    </row>
    <row r="160" spans="1:5" x14ac:dyDescent="0.25">
      <c r="A160" s="3" t="s">
        <v>158</v>
      </c>
      <c r="B160" s="4"/>
      <c r="C160" s="4"/>
      <c r="D160" s="5">
        <f t="shared" si="10"/>
        <v>0</v>
      </c>
      <c r="E160" s="6" t="str">
        <f t="shared" si="11"/>
        <v/>
      </c>
    </row>
    <row r="161" spans="1:5" x14ac:dyDescent="0.25">
      <c r="A161" s="3" t="s">
        <v>159</v>
      </c>
      <c r="B161" s="5">
        <f>100</f>
        <v>100</v>
      </c>
      <c r="C161" s="5">
        <f>13250</f>
        <v>13250</v>
      </c>
      <c r="D161" s="5">
        <f t="shared" si="10"/>
        <v>-13150</v>
      </c>
      <c r="E161" s="6">
        <f t="shared" si="11"/>
        <v>7.5471698113207548E-3</v>
      </c>
    </row>
    <row r="162" spans="1:5" x14ac:dyDescent="0.25">
      <c r="A162" s="3" t="s">
        <v>160</v>
      </c>
      <c r="B162" s="7">
        <f>(B160)+(B161)</f>
        <v>100</v>
      </c>
      <c r="C162" s="7">
        <f>(C160)+(C161)</f>
        <v>13250</v>
      </c>
      <c r="D162" s="7">
        <f t="shared" si="10"/>
        <v>-13150</v>
      </c>
      <c r="E162" s="8">
        <f t="shared" si="11"/>
        <v>7.5471698113207548E-3</v>
      </c>
    </row>
    <row r="163" spans="1:5" x14ac:dyDescent="0.25">
      <c r="A163" s="3" t="s">
        <v>161</v>
      </c>
      <c r="B163" s="5">
        <f>230.9</f>
        <v>230.9</v>
      </c>
      <c r="C163" s="5">
        <f>3250</f>
        <v>3250</v>
      </c>
      <c r="D163" s="5">
        <f t="shared" si="10"/>
        <v>-3019.1</v>
      </c>
      <c r="E163" s="6">
        <f t="shared" si="11"/>
        <v>7.1046153846153842E-2</v>
      </c>
    </row>
    <row r="164" spans="1:5" x14ac:dyDescent="0.25">
      <c r="A164" s="3" t="s">
        <v>162</v>
      </c>
      <c r="B164" s="4"/>
      <c r="C164" s="4"/>
      <c r="D164" s="5">
        <f t="shared" si="10"/>
        <v>0</v>
      </c>
      <c r="E164" s="6" t="str">
        <f t="shared" si="11"/>
        <v/>
      </c>
    </row>
    <row r="165" spans="1:5" x14ac:dyDescent="0.25">
      <c r="A165" s="3" t="s">
        <v>163</v>
      </c>
      <c r="B165" s="4"/>
      <c r="C165" s="5">
        <f>1500</f>
        <v>1500</v>
      </c>
      <c r="D165" s="5">
        <f t="shared" si="10"/>
        <v>-1500</v>
      </c>
      <c r="E165" s="6">
        <f t="shared" si="11"/>
        <v>0</v>
      </c>
    </row>
    <row r="166" spans="1:5" x14ac:dyDescent="0.25">
      <c r="A166" s="3" t="s">
        <v>164</v>
      </c>
      <c r="B166" s="5">
        <f>1838.85</f>
        <v>1838.85</v>
      </c>
      <c r="C166" s="5">
        <f>5000</f>
        <v>5000</v>
      </c>
      <c r="D166" s="5">
        <f t="shared" si="10"/>
        <v>-3161.15</v>
      </c>
      <c r="E166" s="6">
        <f t="shared" si="11"/>
        <v>0.36776999999999999</v>
      </c>
    </row>
    <row r="167" spans="1:5" x14ac:dyDescent="0.25">
      <c r="A167" s="3" t="s">
        <v>165</v>
      </c>
      <c r="B167" s="7">
        <f>((B164)+(B165))+(B166)</f>
        <v>1838.85</v>
      </c>
      <c r="C167" s="7">
        <f>((C164)+(C165))+(C166)</f>
        <v>6500</v>
      </c>
      <c r="D167" s="7">
        <f t="shared" si="10"/>
        <v>-4661.1499999999996</v>
      </c>
      <c r="E167" s="8">
        <f t="shared" si="11"/>
        <v>0.28289999999999998</v>
      </c>
    </row>
    <row r="168" spans="1:5" x14ac:dyDescent="0.25">
      <c r="A168" s="3" t="s">
        <v>166</v>
      </c>
      <c r="B168" s="7">
        <f>(((((((((((((((((((((((((((B97)+(B98))+(B99))+(B100))+(B101))+(B105))+(B108))+(B113))+(B118))+(B119))+(B123))+(B124))+(B125))+(B132))+(B136))+(B137))+(B145))+(B146))+(B147))+(B148))+(B152))+(B156))+(B157))+(B158))+(B159))+(B162))+(B163))+(B167)</f>
        <v>222245.48000000004</v>
      </c>
      <c r="C168" s="7">
        <f>(((((((((((((((((((((((((((C97)+(C98))+(C99))+(C100))+(C101))+(C105))+(C108))+(C113))+(C118))+(C119))+(C123))+(C124))+(C125))+(C132))+(C136))+(C137))+(C145))+(C146))+(C147))+(C148))+(C152))+(C156))+(C157))+(C158))+(C159))+(C162))+(C163))+(C167)</f>
        <v>784381.53</v>
      </c>
      <c r="D168" s="7">
        <f t="shared" si="10"/>
        <v>-562136.05000000005</v>
      </c>
      <c r="E168" s="8">
        <f t="shared" si="11"/>
        <v>0.28333849217484763</v>
      </c>
    </row>
    <row r="169" spans="1:5" x14ac:dyDescent="0.25">
      <c r="A169" s="3" t="s">
        <v>167</v>
      </c>
      <c r="B169" s="7">
        <f>(B93)-(B168)</f>
        <v>59053.629999999946</v>
      </c>
      <c r="C169" s="7">
        <f>(C93)-(C168)</f>
        <v>0</v>
      </c>
      <c r="D169" s="7">
        <f t="shared" si="10"/>
        <v>59053.629999999946</v>
      </c>
      <c r="E169" s="8" t="str">
        <f t="shared" si="11"/>
        <v/>
      </c>
    </row>
    <row r="170" spans="1:5" x14ac:dyDescent="0.25">
      <c r="A170" s="3" t="s">
        <v>168</v>
      </c>
      <c r="B170" s="9">
        <f>(B169)+(0)</f>
        <v>59053.629999999946</v>
      </c>
      <c r="C170" s="9">
        <f>(C169)+(0)</f>
        <v>0</v>
      </c>
      <c r="D170" s="9">
        <f t="shared" si="10"/>
        <v>59053.629999999946</v>
      </c>
      <c r="E170" s="10" t="str">
        <f t="shared" si="11"/>
        <v/>
      </c>
    </row>
    <row r="171" spans="1:5" x14ac:dyDescent="0.25">
      <c r="A171" s="3"/>
      <c r="B171" s="4"/>
      <c r="C171" s="4"/>
      <c r="D171" s="4"/>
      <c r="E171" s="4"/>
    </row>
    <row r="174" spans="1:5" x14ac:dyDescent="0.25">
      <c r="A174" s="20" t="s">
        <v>169</v>
      </c>
      <c r="B174" s="21"/>
      <c r="C174" s="21"/>
      <c r="D174" s="21"/>
      <c r="E174" s="21"/>
    </row>
  </sheetData>
  <mergeCells count="5">
    <mergeCell ref="B5:E5"/>
    <mergeCell ref="A174:E174"/>
    <mergeCell ref="A1:E1"/>
    <mergeCell ref="A2:E2"/>
    <mergeCell ref="A3:E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5DAA28-8784-4930-AC45-EE96624FD386}">
  <sheetPr>
    <tabColor rgb="FFFF0000"/>
  </sheetPr>
  <dimension ref="A1:K54"/>
  <sheetViews>
    <sheetView topLeftCell="A16" zoomScale="115" zoomScaleNormal="115" workbookViewId="0">
      <selection activeCell="G42" sqref="G42"/>
    </sheetView>
  </sheetViews>
  <sheetFormatPr defaultRowHeight="15" x14ac:dyDescent="0.25"/>
  <cols>
    <col min="1" max="1" width="30.140625" customWidth="1"/>
    <col min="2" max="5" width="18" customWidth="1"/>
    <col min="9" max="9" width="17.5703125" bestFit="1" customWidth="1"/>
    <col min="10" max="11" width="12" bestFit="1" customWidth="1"/>
  </cols>
  <sheetData>
    <row r="1" spans="1:11" ht="18" x14ac:dyDescent="0.25">
      <c r="A1" s="22" t="s">
        <v>170</v>
      </c>
      <c r="B1" s="21"/>
      <c r="C1" s="21"/>
      <c r="D1" s="21"/>
      <c r="E1" s="21"/>
    </row>
    <row r="2" spans="1:11" ht="18" x14ac:dyDescent="0.25">
      <c r="A2" s="22" t="s">
        <v>171</v>
      </c>
      <c r="B2" s="21"/>
      <c r="C2" s="21"/>
      <c r="D2" s="21"/>
      <c r="E2" s="21"/>
    </row>
    <row r="3" spans="1:11" x14ac:dyDescent="0.25">
      <c r="A3" s="23" t="s">
        <v>172</v>
      </c>
      <c r="B3" s="21"/>
      <c r="C3" s="21"/>
      <c r="D3" s="21"/>
      <c r="E3" s="21"/>
    </row>
    <row r="5" spans="1:11" x14ac:dyDescent="0.25">
      <c r="A5" s="1"/>
      <c r="B5" s="18" t="s">
        <v>0</v>
      </c>
      <c r="C5" s="19"/>
      <c r="D5" s="19"/>
      <c r="E5" s="19"/>
    </row>
    <row r="6" spans="1:11" x14ac:dyDescent="0.25">
      <c r="A6" s="1"/>
      <c r="B6" s="2" t="s">
        <v>1</v>
      </c>
      <c r="C6" s="2" t="s">
        <v>2</v>
      </c>
      <c r="D6" s="2" t="s">
        <v>3</v>
      </c>
      <c r="E6" s="2" t="s">
        <v>4</v>
      </c>
    </row>
    <row r="7" spans="1:11" x14ac:dyDescent="0.25">
      <c r="A7" s="3" t="s">
        <v>5</v>
      </c>
      <c r="B7" s="4"/>
      <c r="C7" s="4"/>
      <c r="D7" s="4"/>
      <c r="E7" s="4"/>
    </row>
    <row r="8" spans="1:11" x14ac:dyDescent="0.25">
      <c r="A8" s="3" t="s">
        <v>6</v>
      </c>
      <c r="B8" s="5">
        <f>270000</f>
        <v>270000</v>
      </c>
      <c r="C8" s="5">
        <f>543500</f>
        <v>543500</v>
      </c>
      <c r="D8" s="5">
        <f t="shared" ref="D8:D13" si="0">(B8)-(C8)</f>
        <v>-273500</v>
      </c>
      <c r="E8" s="6">
        <f t="shared" ref="E8:E13" si="1">IF(C8=0,"",(B8)/(C8))</f>
        <v>0.49678012879484823</v>
      </c>
    </row>
    <row r="9" spans="1:11" x14ac:dyDescent="0.25">
      <c r="A9" s="3" t="s">
        <v>11</v>
      </c>
      <c r="B9" s="5">
        <f>8508.45</f>
        <v>8508.4500000000007</v>
      </c>
      <c r="C9" s="5">
        <f>70700</f>
        <v>70700</v>
      </c>
      <c r="D9" s="5">
        <f t="shared" si="0"/>
        <v>-62191.55</v>
      </c>
      <c r="E9" s="6">
        <f t="shared" si="1"/>
        <v>0.12034582743988685</v>
      </c>
      <c r="J9" t="s">
        <v>1</v>
      </c>
      <c r="K9" t="s">
        <v>2</v>
      </c>
    </row>
    <row r="10" spans="1:11" x14ac:dyDescent="0.25">
      <c r="A10" s="3" t="s">
        <v>22</v>
      </c>
      <c r="B10" s="4"/>
      <c r="C10" s="5">
        <f>3000</f>
        <v>3000</v>
      </c>
      <c r="D10" s="5">
        <f t="shared" si="0"/>
        <v>-3000</v>
      </c>
      <c r="E10" s="6">
        <f t="shared" si="1"/>
        <v>0</v>
      </c>
      <c r="I10" t="s">
        <v>366</v>
      </c>
      <c r="J10" s="17">
        <f>B9</f>
        <v>8508.4500000000007</v>
      </c>
      <c r="K10" s="17">
        <f>C9</f>
        <v>70700</v>
      </c>
    </row>
    <row r="11" spans="1:11" x14ac:dyDescent="0.25">
      <c r="A11" s="3" t="s">
        <v>23</v>
      </c>
      <c r="B11" s="5">
        <f>3439.48</f>
        <v>3439.48</v>
      </c>
      <c r="C11" s="5">
        <f>196881.53</f>
        <v>196881.53</v>
      </c>
      <c r="D11" s="5">
        <f t="shared" si="0"/>
        <v>-193442.05</v>
      </c>
      <c r="E11" s="6">
        <f t="shared" si="1"/>
        <v>1.7469795160571944E-2</v>
      </c>
      <c r="I11" t="s">
        <v>367</v>
      </c>
      <c r="J11" s="17">
        <f>B11</f>
        <v>3439.48</v>
      </c>
      <c r="K11" s="17">
        <f>C11</f>
        <v>196881.53</v>
      </c>
    </row>
    <row r="12" spans="1:11" x14ac:dyDescent="0.25">
      <c r="A12" s="3" t="s">
        <v>85</v>
      </c>
      <c r="B12" s="5">
        <f>184.51</f>
        <v>184.51</v>
      </c>
      <c r="C12" s="5">
        <f>300</f>
        <v>300</v>
      </c>
      <c r="D12" s="5">
        <f t="shared" si="0"/>
        <v>-115.49000000000001</v>
      </c>
      <c r="E12" s="6">
        <f t="shared" si="1"/>
        <v>0.61503333333333332</v>
      </c>
      <c r="I12" t="s">
        <v>365</v>
      </c>
      <c r="J12" s="17">
        <f>B8</f>
        <v>270000</v>
      </c>
      <c r="K12" s="17">
        <f>C8</f>
        <v>543500</v>
      </c>
    </row>
    <row r="13" spans="1:11" x14ac:dyDescent="0.25">
      <c r="A13" s="3" t="s">
        <v>86</v>
      </c>
      <c r="B13" s="9">
        <f>((((B8)+(B9))+(B10))+(B11))+(B12)</f>
        <v>282132.44</v>
      </c>
      <c r="C13" s="9">
        <f>((((C8)+(C9))+(C10))+(C11))+(C12)</f>
        <v>814381.53</v>
      </c>
      <c r="D13" s="9">
        <f t="shared" si="0"/>
        <v>-532249.09000000008</v>
      </c>
      <c r="E13" s="10">
        <f t="shared" si="1"/>
        <v>0.34643767031406031</v>
      </c>
    </row>
    <row r="14" spans="1:11" x14ac:dyDescent="0.25">
      <c r="A14" s="3" t="s">
        <v>87</v>
      </c>
      <c r="B14" s="4"/>
      <c r="C14" s="4"/>
      <c r="D14" s="4"/>
      <c r="E14" s="4"/>
    </row>
    <row r="15" spans="1:11" x14ac:dyDescent="0.25">
      <c r="A15" s="3" t="s">
        <v>88</v>
      </c>
      <c r="B15" s="5">
        <f>689.7</f>
        <v>689.7</v>
      </c>
      <c r="C15" s="5">
        <f>25000</f>
        <v>25000</v>
      </c>
      <c r="D15" s="5">
        <f>(B15)-(C15)</f>
        <v>-24310.3</v>
      </c>
      <c r="E15" s="6">
        <f>IF(C15=0,"",(B15)/(C15))</f>
        <v>2.7588000000000001E-2</v>
      </c>
    </row>
    <row r="16" spans="1:11" x14ac:dyDescent="0.25">
      <c r="A16" s="3" t="s">
        <v>89</v>
      </c>
      <c r="B16" s="5">
        <f>143.63</f>
        <v>143.63</v>
      </c>
      <c r="C16" s="5">
        <f>5000</f>
        <v>5000</v>
      </c>
      <c r="D16" s="5">
        <f>(B16)-(C16)</f>
        <v>-4856.37</v>
      </c>
      <c r="E16" s="6">
        <f>IF(C16=0,"",(B16)/(C16))</f>
        <v>2.8725999999999998E-2</v>
      </c>
    </row>
    <row r="17" spans="1:5" x14ac:dyDescent="0.25">
      <c r="A17" s="3" t="s">
        <v>90</v>
      </c>
      <c r="B17" s="9">
        <f>(B15)+(B16)</f>
        <v>833.33</v>
      </c>
      <c r="C17" s="9">
        <f>(C15)+(C16)</f>
        <v>30000</v>
      </c>
      <c r="D17" s="9">
        <f>(B17)-(C17)</f>
        <v>-29166.67</v>
      </c>
      <c r="E17" s="10">
        <f>IF(C17=0,"",(B17)/(C17))</f>
        <v>2.7777666666666669E-2</v>
      </c>
    </row>
    <row r="18" spans="1:5" x14ac:dyDescent="0.25">
      <c r="A18" s="3" t="s">
        <v>91</v>
      </c>
      <c r="B18" s="9">
        <f>(B13)-(B17)</f>
        <v>281299.11</v>
      </c>
      <c r="C18" s="9">
        <f>(C13)-(C17)</f>
        <v>784381.53</v>
      </c>
      <c r="D18" s="9">
        <f>(B18)-(C18)</f>
        <v>-503082.42000000004</v>
      </c>
      <c r="E18" s="10">
        <f>IF(C18=0,"",(B18)/(C18))</f>
        <v>0.35862536181850174</v>
      </c>
    </row>
    <row r="19" spans="1:5" x14ac:dyDescent="0.25">
      <c r="A19" s="3" t="s">
        <v>92</v>
      </c>
      <c r="B19" s="4"/>
      <c r="C19" s="4"/>
      <c r="D19" s="4"/>
      <c r="E19" s="4"/>
    </row>
    <row r="20" spans="1:5" x14ac:dyDescent="0.25">
      <c r="A20" s="3" t="s">
        <v>93</v>
      </c>
      <c r="B20" s="5">
        <f>32572</f>
        <v>32572</v>
      </c>
      <c r="C20" s="5">
        <f>33500</f>
        <v>33500</v>
      </c>
      <c r="D20" s="5">
        <f t="shared" ref="D20:D50" si="2">(B20)-(C20)</f>
        <v>-928</v>
      </c>
      <c r="E20" s="6">
        <f t="shared" ref="E20:E50" si="3">IF(C20=0,"",(B20)/(C20))</f>
        <v>0.97229850746268653</v>
      </c>
    </row>
    <row r="21" spans="1:5" x14ac:dyDescent="0.25">
      <c r="A21" s="3" t="s">
        <v>96</v>
      </c>
      <c r="B21" s="5">
        <f>250</f>
        <v>250</v>
      </c>
      <c r="C21" s="5">
        <f>13000</f>
        <v>13000</v>
      </c>
      <c r="D21" s="5">
        <f t="shared" si="2"/>
        <v>-12750</v>
      </c>
      <c r="E21" s="6">
        <f t="shared" si="3"/>
        <v>1.9230769230769232E-2</v>
      </c>
    </row>
    <row r="22" spans="1:5" x14ac:dyDescent="0.25">
      <c r="A22" s="3" t="s">
        <v>97</v>
      </c>
      <c r="B22" s="5">
        <f>551.69</f>
        <v>551.69000000000005</v>
      </c>
      <c r="C22" s="5">
        <f>2500</f>
        <v>2500</v>
      </c>
      <c r="D22" s="5">
        <f t="shared" si="2"/>
        <v>-1948.31</v>
      </c>
      <c r="E22" s="6">
        <f t="shared" si="3"/>
        <v>0.22067600000000001</v>
      </c>
    </row>
    <row r="23" spans="1:5" x14ac:dyDescent="0.25">
      <c r="A23" s="3" t="s">
        <v>98</v>
      </c>
      <c r="B23" s="5">
        <f>2704.93</f>
        <v>2704.93</v>
      </c>
      <c r="C23" s="5">
        <f>15250</f>
        <v>15250</v>
      </c>
      <c r="D23" s="5">
        <f t="shared" si="2"/>
        <v>-12545.07</v>
      </c>
      <c r="E23" s="6">
        <f t="shared" si="3"/>
        <v>0.17737245901639342</v>
      </c>
    </row>
    <row r="24" spans="1:5" x14ac:dyDescent="0.25">
      <c r="A24" s="3" t="s">
        <v>99</v>
      </c>
      <c r="B24" s="5">
        <f>2.97</f>
        <v>2.97</v>
      </c>
      <c r="C24" s="5">
        <f>1500</f>
        <v>1500</v>
      </c>
      <c r="D24" s="5">
        <f t="shared" si="2"/>
        <v>-1497.03</v>
      </c>
      <c r="E24" s="6">
        <f t="shared" si="3"/>
        <v>1.98E-3</v>
      </c>
    </row>
    <row r="25" spans="1:5" x14ac:dyDescent="0.25">
      <c r="A25" s="3" t="s">
        <v>100</v>
      </c>
      <c r="B25" s="4"/>
      <c r="C25" s="5">
        <f>1650</f>
        <v>1650</v>
      </c>
      <c r="D25" s="5">
        <f t="shared" si="2"/>
        <v>-1650</v>
      </c>
      <c r="E25" s="6">
        <f t="shared" si="3"/>
        <v>0</v>
      </c>
    </row>
    <row r="26" spans="1:5" x14ac:dyDescent="0.25">
      <c r="A26" s="3" t="s">
        <v>368</v>
      </c>
      <c r="B26" s="5">
        <f>3803.01</f>
        <v>3803.01</v>
      </c>
      <c r="C26" s="5">
        <f>15250</f>
        <v>15250</v>
      </c>
      <c r="D26" s="5">
        <f t="shared" si="2"/>
        <v>-11446.99</v>
      </c>
      <c r="E26" s="6">
        <f t="shared" si="3"/>
        <v>0.24937770491803279</v>
      </c>
    </row>
    <row r="27" spans="1:5" x14ac:dyDescent="0.25">
      <c r="A27" s="25" t="s">
        <v>107</v>
      </c>
      <c r="B27" s="11">
        <f>20396.55</f>
        <v>20396.55</v>
      </c>
      <c r="C27" s="11">
        <f>64980</f>
        <v>64980</v>
      </c>
      <c r="D27" s="11">
        <f t="shared" si="2"/>
        <v>-44583.45</v>
      </c>
      <c r="E27" s="26">
        <f t="shared" si="3"/>
        <v>0.31388965835641736</v>
      </c>
    </row>
    <row r="28" spans="1:5" x14ac:dyDescent="0.25">
      <c r="A28" s="3" t="s">
        <v>112</v>
      </c>
      <c r="B28" s="5">
        <f>3966.33</f>
        <v>3966.33</v>
      </c>
      <c r="C28" s="5">
        <f>14750</f>
        <v>14750</v>
      </c>
      <c r="D28" s="5">
        <f t="shared" si="2"/>
        <v>-10783.67</v>
      </c>
      <c r="E28" s="6">
        <f t="shared" si="3"/>
        <v>0.26890372881355934</v>
      </c>
    </row>
    <row r="29" spans="1:5" x14ac:dyDescent="0.25">
      <c r="A29" s="3" t="s">
        <v>117</v>
      </c>
      <c r="B29" s="5">
        <f>1542.85</f>
        <v>1542.85</v>
      </c>
      <c r="C29" s="5">
        <f>8000</f>
        <v>8000</v>
      </c>
      <c r="D29" s="5">
        <f t="shared" si="2"/>
        <v>-6457.15</v>
      </c>
      <c r="E29" s="6">
        <f t="shared" si="3"/>
        <v>0.19285624999999998</v>
      </c>
    </row>
    <row r="30" spans="1:5" x14ac:dyDescent="0.25">
      <c r="A30" s="3" t="s">
        <v>118</v>
      </c>
      <c r="B30" s="5">
        <f>1643.24</f>
        <v>1643.24</v>
      </c>
      <c r="C30" s="5">
        <f>11500</f>
        <v>11500</v>
      </c>
      <c r="D30" s="5">
        <f t="shared" si="2"/>
        <v>-9856.76</v>
      </c>
      <c r="E30" s="6">
        <f t="shared" si="3"/>
        <v>0.14289043478260868</v>
      </c>
    </row>
    <row r="31" spans="1:5" x14ac:dyDescent="0.25">
      <c r="A31" s="3" t="s">
        <v>122</v>
      </c>
      <c r="B31" s="5">
        <f>689.6</f>
        <v>689.6</v>
      </c>
      <c r="C31" s="5">
        <f>3000</f>
        <v>3000</v>
      </c>
      <c r="D31" s="5">
        <f t="shared" si="2"/>
        <v>-2310.4</v>
      </c>
      <c r="E31" s="6">
        <f t="shared" si="3"/>
        <v>0.22986666666666666</v>
      </c>
    </row>
    <row r="32" spans="1:5" x14ac:dyDescent="0.25">
      <c r="A32" s="3" t="s">
        <v>123</v>
      </c>
      <c r="B32" s="4"/>
      <c r="C32" s="5">
        <f>841.67</f>
        <v>841.67</v>
      </c>
      <c r="D32" s="5">
        <f t="shared" si="2"/>
        <v>-841.67</v>
      </c>
      <c r="E32" s="6">
        <f t="shared" si="3"/>
        <v>0</v>
      </c>
    </row>
    <row r="33" spans="1:11" x14ac:dyDescent="0.25">
      <c r="A33" s="3" t="s">
        <v>124</v>
      </c>
      <c r="B33" s="5">
        <f>124542.86</f>
        <v>124542.86</v>
      </c>
      <c r="C33" s="5">
        <f>510899.86</f>
        <v>510899.86</v>
      </c>
      <c r="D33" s="5">
        <f t="shared" si="2"/>
        <v>-386357</v>
      </c>
      <c r="E33" s="6">
        <f t="shared" si="3"/>
        <v>0.24377156807206798</v>
      </c>
      <c r="J33" t="s">
        <v>1</v>
      </c>
      <c r="K33" t="s">
        <v>2</v>
      </c>
    </row>
    <row r="34" spans="1:11" x14ac:dyDescent="0.25">
      <c r="A34" s="25" t="s">
        <v>131</v>
      </c>
      <c r="B34" s="11">
        <f>10000</f>
        <v>10000</v>
      </c>
      <c r="C34" s="11">
        <f>18400</f>
        <v>18400</v>
      </c>
      <c r="D34" s="11">
        <f t="shared" si="2"/>
        <v>-8400</v>
      </c>
      <c r="E34" s="26">
        <f t="shared" si="3"/>
        <v>0.54347826086956519</v>
      </c>
      <c r="I34" t="s">
        <v>372</v>
      </c>
      <c r="J34" s="17">
        <f>B27</f>
        <v>20396.55</v>
      </c>
      <c r="K34" s="17">
        <f>C27</f>
        <v>64980</v>
      </c>
    </row>
    <row r="35" spans="1:11" x14ac:dyDescent="0.25">
      <c r="A35" s="3" t="s">
        <v>135</v>
      </c>
      <c r="B35" s="4"/>
      <c r="C35" s="5">
        <f>2500</f>
        <v>2500</v>
      </c>
      <c r="D35" s="5">
        <f t="shared" si="2"/>
        <v>-2500</v>
      </c>
      <c r="E35" s="6">
        <f t="shared" si="3"/>
        <v>0</v>
      </c>
      <c r="I35" t="s">
        <v>371</v>
      </c>
      <c r="J35" s="17">
        <f>B34</f>
        <v>10000</v>
      </c>
      <c r="K35" s="17">
        <f>C34</f>
        <v>18400</v>
      </c>
    </row>
    <row r="36" spans="1:11" x14ac:dyDescent="0.25">
      <c r="A36" s="3" t="s">
        <v>136</v>
      </c>
      <c r="B36" s="5">
        <f>2392.8</f>
        <v>2392.8000000000002</v>
      </c>
      <c r="C36" s="5">
        <f>7725</f>
        <v>7725</v>
      </c>
      <c r="D36" s="5">
        <f t="shared" si="2"/>
        <v>-5332.2</v>
      </c>
      <c r="E36" s="6">
        <f t="shared" si="3"/>
        <v>0.309747572815534</v>
      </c>
      <c r="I36" t="s">
        <v>370</v>
      </c>
      <c r="J36" s="17">
        <f>B38</f>
        <v>5039.3100000000004</v>
      </c>
      <c r="K36" s="17">
        <f>C38</f>
        <v>11500</v>
      </c>
    </row>
    <row r="37" spans="1:11" x14ac:dyDescent="0.25">
      <c r="A37" s="3" t="s">
        <v>144</v>
      </c>
      <c r="B37" s="5">
        <f>439.92</f>
        <v>439.92</v>
      </c>
      <c r="C37" s="5">
        <f>2250</f>
        <v>2250</v>
      </c>
      <c r="D37" s="5">
        <f t="shared" si="2"/>
        <v>-1810.08</v>
      </c>
      <c r="E37" s="6">
        <f t="shared" si="3"/>
        <v>0.19552</v>
      </c>
      <c r="I37" t="s">
        <v>369</v>
      </c>
      <c r="J37" s="17">
        <f>B43</f>
        <v>4996.66</v>
      </c>
      <c r="K37" s="17">
        <f>C43</f>
        <v>7750</v>
      </c>
    </row>
    <row r="38" spans="1:11" x14ac:dyDescent="0.25">
      <c r="A38" s="25" t="s">
        <v>145</v>
      </c>
      <c r="B38" s="11">
        <f>5039.31</f>
        <v>5039.3100000000004</v>
      </c>
      <c r="C38" s="11">
        <f>11500</f>
        <v>11500</v>
      </c>
      <c r="D38" s="11">
        <f t="shared" si="2"/>
        <v>-6460.69</v>
      </c>
      <c r="E38" s="26">
        <f t="shared" si="3"/>
        <v>0.43820086956521742</v>
      </c>
    </row>
    <row r="39" spans="1:11" x14ac:dyDescent="0.25">
      <c r="A39" s="3" t="s">
        <v>146</v>
      </c>
      <c r="B39" s="5">
        <f>2080.32</f>
        <v>2080.3200000000002</v>
      </c>
      <c r="C39" s="5">
        <f>6000</f>
        <v>6000</v>
      </c>
      <c r="D39" s="5">
        <f t="shared" si="2"/>
        <v>-3919.68</v>
      </c>
      <c r="E39" s="6">
        <f t="shared" si="3"/>
        <v>0.34672000000000003</v>
      </c>
    </row>
    <row r="40" spans="1:11" x14ac:dyDescent="0.25">
      <c r="A40" s="3" t="s">
        <v>147</v>
      </c>
      <c r="B40" s="5">
        <f>1210</f>
        <v>1210</v>
      </c>
      <c r="C40" s="5">
        <f>1210</f>
        <v>1210</v>
      </c>
      <c r="D40" s="5">
        <f t="shared" si="2"/>
        <v>0</v>
      </c>
      <c r="E40" s="6">
        <f t="shared" si="3"/>
        <v>1</v>
      </c>
    </row>
    <row r="41" spans="1:11" x14ac:dyDescent="0.25">
      <c r="A41" s="3" t="s">
        <v>151</v>
      </c>
      <c r="B41" s="5">
        <f>1109.69</f>
        <v>1109.69</v>
      </c>
      <c r="C41" s="5">
        <f>6500</f>
        <v>6500</v>
      </c>
      <c r="D41" s="5">
        <f t="shared" si="2"/>
        <v>-5390.3099999999995</v>
      </c>
      <c r="E41" s="6">
        <f t="shared" si="3"/>
        <v>0.17072153846153848</v>
      </c>
    </row>
    <row r="42" spans="1:11" x14ac:dyDescent="0.25">
      <c r="A42" s="3" t="s">
        <v>155</v>
      </c>
      <c r="B42" s="5">
        <f>106</f>
        <v>106</v>
      </c>
      <c r="C42" s="5">
        <f>175</f>
        <v>175</v>
      </c>
      <c r="D42" s="5">
        <f t="shared" si="2"/>
        <v>-69</v>
      </c>
      <c r="E42" s="6">
        <f t="shared" si="3"/>
        <v>0.60571428571428576</v>
      </c>
    </row>
    <row r="43" spans="1:11" x14ac:dyDescent="0.25">
      <c r="A43" s="25" t="s">
        <v>156</v>
      </c>
      <c r="B43" s="11">
        <f>4996.66</f>
        <v>4996.66</v>
      </c>
      <c r="C43" s="11">
        <f>7750</f>
        <v>7750</v>
      </c>
      <c r="D43" s="11">
        <f t="shared" si="2"/>
        <v>-2753.34</v>
      </c>
      <c r="E43" s="26">
        <f t="shared" si="3"/>
        <v>0.64473032258064511</v>
      </c>
    </row>
    <row r="44" spans="1:11" x14ac:dyDescent="0.25">
      <c r="A44" s="3" t="s">
        <v>157</v>
      </c>
      <c r="B44" s="5">
        <f>35</f>
        <v>35</v>
      </c>
      <c r="C44" s="5">
        <f>750</f>
        <v>750</v>
      </c>
      <c r="D44" s="5">
        <f t="shared" si="2"/>
        <v>-715</v>
      </c>
      <c r="E44" s="6">
        <f t="shared" si="3"/>
        <v>4.6666666666666669E-2</v>
      </c>
    </row>
    <row r="45" spans="1:11" x14ac:dyDescent="0.25">
      <c r="A45" s="3" t="s">
        <v>158</v>
      </c>
      <c r="B45" s="5">
        <f>100</f>
        <v>100</v>
      </c>
      <c r="C45" s="5">
        <f>13250</f>
        <v>13250</v>
      </c>
      <c r="D45" s="5">
        <f t="shared" si="2"/>
        <v>-13150</v>
      </c>
      <c r="E45" s="6">
        <f t="shared" si="3"/>
        <v>7.5471698113207548E-3</v>
      </c>
    </row>
    <row r="46" spans="1:11" x14ac:dyDescent="0.25">
      <c r="A46" s="3" t="s">
        <v>161</v>
      </c>
      <c r="B46" s="5">
        <f>230.9</f>
        <v>230.9</v>
      </c>
      <c r="C46" s="5">
        <f>3250</f>
        <v>3250</v>
      </c>
      <c r="D46" s="5">
        <f t="shared" si="2"/>
        <v>-3019.1</v>
      </c>
      <c r="E46" s="6">
        <f t="shared" si="3"/>
        <v>7.1046153846153842E-2</v>
      </c>
    </row>
    <row r="47" spans="1:11" x14ac:dyDescent="0.25">
      <c r="A47" s="3" t="s">
        <v>162</v>
      </c>
      <c r="B47" s="5">
        <f>1838.85</f>
        <v>1838.85</v>
      </c>
      <c r="C47" s="5">
        <f>6500</f>
        <v>6500</v>
      </c>
      <c r="D47" s="5">
        <f t="shared" si="2"/>
        <v>-4661.1499999999996</v>
      </c>
      <c r="E47" s="6">
        <f t="shared" si="3"/>
        <v>0.28289999999999998</v>
      </c>
    </row>
    <row r="48" spans="1:11" x14ac:dyDescent="0.25">
      <c r="A48" s="3" t="s">
        <v>166</v>
      </c>
      <c r="B48" s="9">
        <f>(((((((((((((((((((((((((((B20)+(B21))+(B22))+(B23))+(B24))+(B25))+(B26))+(B27))+(B28))+(B29))+(B30))+(B31))+(B32))+(B33))+(B34))+(B35))+(B36))+(B37))+(B38))+(B39))+(B40))+(B41))+(B42))+(B43))+(B44))+(B45))+(B46))+(B47)</f>
        <v>222245.48000000004</v>
      </c>
      <c r="C48" s="9">
        <f>(((((((((((((((((((((((((((C20)+(C21))+(C22))+(C23))+(C24))+(C25))+(C26))+(C27))+(C28))+(C29))+(C30))+(C31))+(C32))+(C33))+(C34))+(C35))+(C36))+(C37))+(C38))+(C39))+(C40))+(C41))+(C42))+(C43))+(C44))+(C45))+(C46))+(C47)</f>
        <v>784381.53</v>
      </c>
      <c r="D48" s="9">
        <f t="shared" si="2"/>
        <v>-562136.05000000005</v>
      </c>
      <c r="E48" s="10">
        <f t="shared" si="3"/>
        <v>0.28333849217484763</v>
      </c>
    </row>
    <row r="49" spans="1:5" x14ac:dyDescent="0.25">
      <c r="A49" s="3" t="s">
        <v>167</v>
      </c>
      <c r="B49" s="9">
        <f>(B18)-(B48)</f>
        <v>59053.629999999946</v>
      </c>
      <c r="C49" s="9">
        <f>(C18)-(C48)</f>
        <v>0</v>
      </c>
      <c r="D49" s="9">
        <f t="shared" si="2"/>
        <v>59053.629999999946</v>
      </c>
      <c r="E49" s="10" t="str">
        <f t="shared" si="3"/>
        <v/>
      </c>
    </row>
    <row r="50" spans="1:5" x14ac:dyDescent="0.25">
      <c r="A50" s="3" t="s">
        <v>168</v>
      </c>
      <c r="B50" s="9">
        <f>(B49)+(0)</f>
        <v>59053.629999999946</v>
      </c>
      <c r="C50" s="9">
        <f>(C49)+(0)</f>
        <v>0</v>
      </c>
      <c r="D50" s="9">
        <f t="shared" si="2"/>
        <v>59053.629999999946</v>
      </c>
      <c r="E50" s="10" t="str">
        <f t="shared" si="3"/>
        <v/>
      </c>
    </row>
    <row r="51" spans="1:5" x14ac:dyDescent="0.25">
      <c r="A51" s="3"/>
      <c r="B51" s="4"/>
      <c r="C51" s="4"/>
      <c r="D51" s="4"/>
      <c r="E51" s="4"/>
    </row>
    <row r="54" spans="1:5" x14ac:dyDescent="0.25">
      <c r="A54" s="20" t="s">
        <v>173</v>
      </c>
      <c r="B54" s="21"/>
      <c r="C54" s="21"/>
      <c r="D54" s="21"/>
      <c r="E54" s="21"/>
    </row>
  </sheetData>
  <mergeCells count="5">
    <mergeCell ref="A1:E1"/>
    <mergeCell ref="A2:E2"/>
    <mergeCell ref="A3:E3"/>
    <mergeCell ref="B5:E5"/>
    <mergeCell ref="A54:E5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DEFBA-CBE7-4124-8D55-5964C9F851CD}">
  <dimension ref="A1:E160"/>
  <sheetViews>
    <sheetView topLeftCell="A147" zoomScale="145" zoomScaleNormal="145" workbookViewId="0">
      <selection activeCell="E111" sqref="A111:E111"/>
    </sheetView>
  </sheetViews>
  <sheetFormatPr defaultRowHeight="15" x14ac:dyDescent="0.25"/>
  <cols>
    <col min="1" max="1" width="31.85546875" customWidth="1"/>
    <col min="2" max="5" width="18" customWidth="1"/>
  </cols>
  <sheetData>
    <row r="1" spans="1:5" ht="18" x14ac:dyDescent="0.25">
      <c r="A1" s="22" t="s">
        <v>170</v>
      </c>
      <c r="B1" s="21"/>
      <c r="C1" s="21"/>
      <c r="D1" s="21"/>
      <c r="E1" s="21"/>
    </row>
    <row r="2" spans="1:5" ht="18" x14ac:dyDescent="0.25">
      <c r="A2" s="22" t="s">
        <v>174</v>
      </c>
      <c r="B2" s="21"/>
      <c r="C2" s="21"/>
      <c r="D2" s="21"/>
      <c r="E2" s="21"/>
    </row>
    <row r="3" spans="1:5" x14ac:dyDescent="0.25">
      <c r="A3" s="23" t="s">
        <v>175</v>
      </c>
      <c r="B3" s="21"/>
      <c r="C3" s="21"/>
      <c r="D3" s="21"/>
      <c r="E3" s="21"/>
    </row>
    <row r="5" spans="1:5" x14ac:dyDescent="0.25">
      <c r="A5" s="1"/>
      <c r="B5" s="18" t="s">
        <v>0</v>
      </c>
      <c r="C5" s="19"/>
      <c r="D5" s="19"/>
      <c r="E5" s="19"/>
    </row>
    <row r="6" spans="1:5" x14ac:dyDescent="0.25">
      <c r="A6" s="1"/>
      <c r="B6" s="2" t="s">
        <v>176</v>
      </c>
      <c r="C6" s="2" t="s">
        <v>177</v>
      </c>
      <c r="D6" s="2" t="s">
        <v>178</v>
      </c>
      <c r="E6" s="2" t="s">
        <v>179</v>
      </c>
    </row>
    <row r="7" spans="1:5" x14ac:dyDescent="0.25">
      <c r="A7" s="3" t="s">
        <v>5</v>
      </c>
      <c r="B7" s="4"/>
      <c r="C7" s="4"/>
      <c r="D7" s="4"/>
      <c r="E7" s="4"/>
    </row>
    <row r="8" spans="1:5" x14ac:dyDescent="0.25">
      <c r="A8" s="3" t="s">
        <v>6</v>
      </c>
      <c r="B8" s="4"/>
      <c r="C8" s="4"/>
      <c r="D8" s="5">
        <f t="shared" ref="D8:D71" si="0">(B8)-(C8)</f>
        <v>0</v>
      </c>
      <c r="E8" s="6" t="str">
        <f t="shared" ref="E8:E71" si="1">IF(ABS((C8))=0,"",((B8)-(C8))/(ABS((C8))))</f>
        <v/>
      </c>
    </row>
    <row r="9" spans="1:5" x14ac:dyDescent="0.25">
      <c r="A9" s="3" t="s">
        <v>7</v>
      </c>
      <c r="B9" s="4"/>
      <c r="C9" s="5">
        <f>32400</f>
        <v>32400</v>
      </c>
      <c r="D9" s="5">
        <f t="shared" si="0"/>
        <v>-32400</v>
      </c>
      <c r="E9" s="6">
        <f t="shared" si="1"/>
        <v>-1</v>
      </c>
    </row>
    <row r="10" spans="1:5" x14ac:dyDescent="0.25">
      <c r="A10" s="3" t="s">
        <v>8</v>
      </c>
      <c r="B10" s="5">
        <f>267500</f>
        <v>267500</v>
      </c>
      <c r="C10" s="5">
        <f>245000</f>
        <v>245000</v>
      </c>
      <c r="D10" s="5">
        <f t="shared" si="0"/>
        <v>22500</v>
      </c>
      <c r="E10" s="6">
        <f t="shared" si="1"/>
        <v>9.1836734693877556E-2</v>
      </c>
    </row>
    <row r="11" spans="1:5" x14ac:dyDescent="0.25">
      <c r="A11" s="3" t="s">
        <v>9</v>
      </c>
      <c r="B11" s="5">
        <f>2500</f>
        <v>2500</v>
      </c>
      <c r="C11" s="4"/>
      <c r="D11" s="5">
        <f t="shared" si="0"/>
        <v>2500</v>
      </c>
      <c r="E11" s="6" t="str">
        <f t="shared" si="1"/>
        <v/>
      </c>
    </row>
    <row r="12" spans="1:5" x14ac:dyDescent="0.25">
      <c r="A12" s="3" t="s">
        <v>10</v>
      </c>
      <c r="B12" s="9">
        <f>(((B8)+(B9))+(B10))+(B11)</f>
        <v>270000</v>
      </c>
      <c r="C12" s="9">
        <f>(((C8)+(C9))+(C10))+(C11)</f>
        <v>277400</v>
      </c>
      <c r="D12" s="9">
        <f t="shared" si="0"/>
        <v>-7400</v>
      </c>
      <c r="E12" s="10">
        <f t="shared" si="1"/>
        <v>-2.6676279740447006E-2</v>
      </c>
    </row>
    <row r="13" spans="1:5" x14ac:dyDescent="0.25">
      <c r="A13" s="3" t="s">
        <v>11</v>
      </c>
      <c r="B13" s="4"/>
      <c r="C13" s="4"/>
      <c r="D13" s="5">
        <f t="shared" si="0"/>
        <v>0</v>
      </c>
      <c r="E13" s="6" t="str">
        <f t="shared" si="1"/>
        <v/>
      </c>
    </row>
    <row r="14" spans="1:5" x14ac:dyDescent="0.25">
      <c r="A14" s="3" t="s">
        <v>12</v>
      </c>
      <c r="B14" s="4"/>
      <c r="C14" s="4"/>
      <c r="D14" s="5">
        <f t="shared" si="0"/>
        <v>0</v>
      </c>
      <c r="E14" s="6" t="str">
        <f t="shared" si="1"/>
        <v/>
      </c>
    </row>
    <row r="15" spans="1:5" x14ac:dyDescent="0.25">
      <c r="A15" s="3" t="s">
        <v>13</v>
      </c>
      <c r="B15" s="5">
        <f>598.45</f>
        <v>598.45000000000005</v>
      </c>
      <c r="C15" s="5">
        <f>1182.3</f>
        <v>1182.3</v>
      </c>
      <c r="D15" s="5">
        <f t="shared" si="0"/>
        <v>-583.84999999999991</v>
      </c>
      <c r="E15" s="6">
        <f t="shared" si="1"/>
        <v>-0.49382559418083388</v>
      </c>
    </row>
    <row r="16" spans="1:5" x14ac:dyDescent="0.25">
      <c r="A16" s="3" t="s">
        <v>14</v>
      </c>
      <c r="B16" s="5">
        <f>100</f>
        <v>100</v>
      </c>
      <c r="C16" s="4"/>
      <c r="D16" s="5">
        <f t="shared" si="0"/>
        <v>100</v>
      </c>
      <c r="E16" s="6" t="str">
        <f t="shared" si="1"/>
        <v/>
      </c>
    </row>
    <row r="17" spans="1:5" x14ac:dyDescent="0.25">
      <c r="A17" s="3" t="s">
        <v>15</v>
      </c>
      <c r="B17" s="9">
        <f>((B14)+(B15))+(B16)</f>
        <v>698.45</v>
      </c>
      <c r="C17" s="9">
        <f>((C14)+(C15))+(C16)</f>
        <v>1182.3</v>
      </c>
      <c r="D17" s="9">
        <f t="shared" si="0"/>
        <v>-483.84999999999991</v>
      </c>
      <c r="E17" s="10">
        <f t="shared" si="1"/>
        <v>-0.4092446925484225</v>
      </c>
    </row>
    <row r="18" spans="1:5" x14ac:dyDescent="0.25">
      <c r="A18" s="3" t="s">
        <v>16</v>
      </c>
      <c r="B18" s="5">
        <f>1200</f>
        <v>1200</v>
      </c>
      <c r="C18" s="5">
        <f>1200</f>
        <v>1200</v>
      </c>
      <c r="D18" s="5">
        <f t="shared" si="0"/>
        <v>0</v>
      </c>
      <c r="E18" s="6">
        <f t="shared" si="1"/>
        <v>0</v>
      </c>
    </row>
    <row r="19" spans="1:5" x14ac:dyDescent="0.25">
      <c r="A19" s="3" t="s">
        <v>17</v>
      </c>
      <c r="B19" s="5">
        <f>2625</f>
        <v>2625</v>
      </c>
      <c r="C19" s="5">
        <f>2418.02</f>
        <v>2418.02</v>
      </c>
      <c r="D19" s="5">
        <f t="shared" si="0"/>
        <v>206.98000000000002</v>
      </c>
      <c r="E19" s="6">
        <f t="shared" si="1"/>
        <v>8.5598961133489387E-2</v>
      </c>
    </row>
    <row r="20" spans="1:5" x14ac:dyDescent="0.25">
      <c r="A20" s="3" t="s">
        <v>20</v>
      </c>
      <c r="B20" s="5">
        <f>3370</f>
        <v>3370</v>
      </c>
      <c r="C20" s="5">
        <f>3765</f>
        <v>3765</v>
      </c>
      <c r="D20" s="5">
        <f t="shared" si="0"/>
        <v>-395</v>
      </c>
      <c r="E20" s="6">
        <f t="shared" si="1"/>
        <v>-0.10491367861885791</v>
      </c>
    </row>
    <row r="21" spans="1:5" x14ac:dyDescent="0.25">
      <c r="A21" s="3" t="s">
        <v>21</v>
      </c>
      <c r="B21" s="9">
        <f>((((B13)+(B17))+(B18))+(B19))+(B20)</f>
        <v>7893.45</v>
      </c>
      <c r="C21" s="9">
        <f>((((C13)+(C17))+(C18))+(C19))+(C20)</f>
        <v>8565.32</v>
      </c>
      <c r="D21" s="9">
        <f t="shared" si="0"/>
        <v>-671.86999999999989</v>
      </c>
      <c r="E21" s="10">
        <f t="shared" si="1"/>
        <v>-7.8440735430783656E-2</v>
      </c>
    </row>
    <row r="22" spans="1:5" x14ac:dyDescent="0.25">
      <c r="A22" s="3" t="s">
        <v>180</v>
      </c>
      <c r="B22" s="4"/>
      <c r="C22" s="5">
        <f>0</f>
        <v>0</v>
      </c>
      <c r="D22" s="5">
        <f t="shared" si="0"/>
        <v>0</v>
      </c>
      <c r="E22" s="6" t="str">
        <f t="shared" si="1"/>
        <v/>
      </c>
    </row>
    <row r="23" spans="1:5" x14ac:dyDescent="0.25">
      <c r="A23" s="3" t="s">
        <v>22</v>
      </c>
      <c r="B23" s="4"/>
      <c r="C23" s="5">
        <f>1787.86</f>
        <v>1787.86</v>
      </c>
      <c r="D23" s="5">
        <f t="shared" si="0"/>
        <v>-1787.86</v>
      </c>
      <c r="E23" s="6">
        <f t="shared" si="1"/>
        <v>-1</v>
      </c>
    </row>
    <row r="24" spans="1:5" x14ac:dyDescent="0.25">
      <c r="A24" s="3" t="s">
        <v>23</v>
      </c>
      <c r="B24" s="4"/>
      <c r="C24" s="4"/>
      <c r="D24" s="5">
        <f t="shared" si="0"/>
        <v>0</v>
      </c>
      <c r="E24" s="6" t="str">
        <f t="shared" si="1"/>
        <v/>
      </c>
    </row>
    <row r="25" spans="1:5" x14ac:dyDescent="0.25">
      <c r="A25" s="3" t="s">
        <v>25</v>
      </c>
      <c r="B25" s="4"/>
      <c r="C25" s="4"/>
      <c r="D25" s="5">
        <f t="shared" si="0"/>
        <v>0</v>
      </c>
      <c r="E25" s="6" t="str">
        <f t="shared" si="1"/>
        <v/>
      </c>
    </row>
    <row r="26" spans="1:5" x14ac:dyDescent="0.25">
      <c r="A26" s="3" t="s">
        <v>28</v>
      </c>
      <c r="B26" s="4"/>
      <c r="C26" s="5">
        <f>120</f>
        <v>120</v>
      </c>
      <c r="D26" s="5">
        <f t="shared" si="0"/>
        <v>-120</v>
      </c>
      <c r="E26" s="6">
        <f t="shared" si="1"/>
        <v>-1</v>
      </c>
    </row>
    <row r="27" spans="1:5" x14ac:dyDescent="0.25">
      <c r="A27" s="3" t="s">
        <v>29</v>
      </c>
      <c r="B27" s="11">
        <f>1303</f>
        <v>1303</v>
      </c>
      <c r="C27" s="11">
        <f>689</f>
        <v>689</v>
      </c>
      <c r="D27" s="11">
        <f t="shared" si="0"/>
        <v>614</v>
      </c>
      <c r="E27" s="26">
        <f t="shared" si="1"/>
        <v>0.89114658925979684</v>
      </c>
    </row>
    <row r="28" spans="1:5" x14ac:dyDescent="0.25">
      <c r="A28" s="3" t="s">
        <v>31</v>
      </c>
      <c r="B28" s="9">
        <f>((B25)+(B26))+(B27)</f>
        <v>1303</v>
      </c>
      <c r="C28" s="9">
        <f>((C25)+(C26))+(C27)</f>
        <v>809</v>
      </c>
      <c r="D28" s="9">
        <f t="shared" si="0"/>
        <v>494</v>
      </c>
      <c r="E28" s="10">
        <f t="shared" si="1"/>
        <v>0.61063040791100121</v>
      </c>
    </row>
    <row r="29" spans="1:5" x14ac:dyDescent="0.25">
      <c r="A29" s="3" t="s">
        <v>32</v>
      </c>
      <c r="B29" s="4"/>
      <c r="C29" s="4"/>
      <c r="D29" s="5">
        <f t="shared" si="0"/>
        <v>0</v>
      </c>
      <c r="E29" s="6" t="str">
        <f t="shared" si="1"/>
        <v/>
      </c>
    </row>
    <row r="30" spans="1:5" x14ac:dyDescent="0.25">
      <c r="A30" s="3" t="s">
        <v>33</v>
      </c>
      <c r="B30" s="5">
        <f>10</f>
        <v>10</v>
      </c>
      <c r="C30" s="4"/>
      <c r="D30" s="5">
        <f t="shared" si="0"/>
        <v>10</v>
      </c>
      <c r="E30" s="6" t="str">
        <f t="shared" si="1"/>
        <v/>
      </c>
    </row>
    <row r="31" spans="1:5" x14ac:dyDescent="0.25">
      <c r="A31" s="3" t="s">
        <v>34</v>
      </c>
      <c r="B31" s="5">
        <f>10.95</f>
        <v>10.95</v>
      </c>
      <c r="C31" s="5">
        <f>0</f>
        <v>0</v>
      </c>
      <c r="D31" s="5">
        <f t="shared" si="0"/>
        <v>10.95</v>
      </c>
      <c r="E31" s="6" t="str">
        <f t="shared" si="1"/>
        <v/>
      </c>
    </row>
    <row r="32" spans="1:5" x14ac:dyDescent="0.25">
      <c r="A32" s="3" t="s">
        <v>35</v>
      </c>
      <c r="B32" s="9">
        <f>((B29)+(B30))+(B31)</f>
        <v>20.95</v>
      </c>
      <c r="C32" s="9">
        <f>((C29)+(C30))+(C31)</f>
        <v>0</v>
      </c>
      <c r="D32" s="9">
        <f t="shared" si="0"/>
        <v>20.95</v>
      </c>
      <c r="E32" s="10" t="str">
        <f t="shared" si="1"/>
        <v/>
      </c>
    </row>
    <row r="33" spans="1:5" x14ac:dyDescent="0.25">
      <c r="A33" s="3" t="s">
        <v>36</v>
      </c>
      <c r="B33" s="5">
        <f>19</f>
        <v>19</v>
      </c>
      <c r="C33" s="5">
        <f>85</f>
        <v>85</v>
      </c>
      <c r="D33" s="5">
        <f t="shared" si="0"/>
        <v>-66</v>
      </c>
      <c r="E33" s="6">
        <f t="shared" si="1"/>
        <v>-0.77647058823529413</v>
      </c>
    </row>
    <row r="34" spans="1:5" x14ac:dyDescent="0.25">
      <c r="A34" s="3" t="s">
        <v>37</v>
      </c>
      <c r="B34" s="5">
        <f>360</f>
        <v>360</v>
      </c>
      <c r="C34" s="5">
        <f>205</f>
        <v>205</v>
      </c>
      <c r="D34" s="5">
        <f t="shared" si="0"/>
        <v>155</v>
      </c>
      <c r="E34" s="6">
        <f t="shared" si="1"/>
        <v>0.75609756097560976</v>
      </c>
    </row>
    <row r="35" spans="1:5" x14ac:dyDescent="0.25">
      <c r="A35" s="3" t="s">
        <v>38</v>
      </c>
      <c r="B35" s="9">
        <f>(B33)+(B34)</f>
        <v>379</v>
      </c>
      <c r="C35" s="9">
        <f>(C33)+(C34)</f>
        <v>290</v>
      </c>
      <c r="D35" s="9">
        <f t="shared" si="0"/>
        <v>89</v>
      </c>
      <c r="E35" s="10">
        <f t="shared" si="1"/>
        <v>0.30689655172413793</v>
      </c>
    </row>
    <row r="36" spans="1:5" x14ac:dyDescent="0.25">
      <c r="A36" s="3" t="s">
        <v>39</v>
      </c>
      <c r="B36" s="4"/>
      <c r="C36" s="4"/>
      <c r="D36" s="5">
        <f t="shared" si="0"/>
        <v>0</v>
      </c>
      <c r="E36" s="6" t="str">
        <f t="shared" si="1"/>
        <v/>
      </c>
    </row>
    <row r="37" spans="1:5" x14ac:dyDescent="0.25">
      <c r="A37" s="3" t="s">
        <v>40</v>
      </c>
      <c r="B37" s="4"/>
      <c r="C37" s="5">
        <f>1.5</f>
        <v>1.5</v>
      </c>
      <c r="D37" s="5">
        <f t="shared" si="0"/>
        <v>-1.5</v>
      </c>
      <c r="E37" s="6">
        <f t="shared" si="1"/>
        <v>-1</v>
      </c>
    </row>
    <row r="38" spans="1:5" x14ac:dyDescent="0.25">
      <c r="A38" s="3" t="s">
        <v>41</v>
      </c>
      <c r="B38" s="5">
        <f>442.26</f>
        <v>442.26</v>
      </c>
      <c r="C38" s="5">
        <f>469.31</f>
        <v>469.31</v>
      </c>
      <c r="D38" s="5">
        <f t="shared" si="0"/>
        <v>-27.050000000000011</v>
      </c>
      <c r="E38" s="6">
        <f t="shared" si="1"/>
        <v>-5.7637808697875631E-2</v>
      </c>
    </row>
    <row r="39" spans="1:5" x14ac:dyDescent="0.25">
      <c r="A39" s="3" t="s">
        <v>42</v>
      </c>
      <c r="B39" s="5">
        <f>19.98</f>
        <v>19.98</v>
      </c>
      <c r="C39" s="5">
        <f>133.88</f>
        <v>133.88</v>
      </c>
      <c r="D39" s="5">
        <f t="shared" si="0"/>
        <v>-113.89999999999999</v>
      </c>
      <c r="E39" s="6">
        <f t="shared" si="1"/>
        <v>-0.85076187630714073</v>
      </c>
    </row>
    <row r="40" spans="1:5" x14ac:dyDescent="0.25">
      <c r="A40" s="3" t="s">
        <v>43</v>
      </c>
      <c r="B40" s="5">
        <f>136.19</f>
        <v>136.19</v>
      </c>
      <c r="C40" s="5">
        <f>251.45</f>
        <v>251.45</v>
      </c>
      <c r="D40" s="5">
        <f t="shared" si="0"/>
        <v>-115.25999999999999</v>
      </c>
      <c r="E40" s="6">
        <f t="shared" si="1"/>
        <v>-0.45838138794989064</v>
      </c>
    </row>
    <row r="41" spans="1:5" x14ac:dyDescent="0.25">
      <c r="A41" s="3" t="s">
        <v>44</v>
      </c>
      <c r="B41" s="4"/>
      <c r="C41" s="5">
        <f>14.25</f>
        <v>14.25</v>
      </c>
      <c r="D41" s="5">
        <f t="shared" si="0"/>
        <v>-14.25</v>
      </c>
      <c r="E41" s="6">
        <f t="shared" si="1"/>
        <v>-1</v>
      </c>
    </row>
    <row r="42" spans="1:5" x14ac:dyDescent="0.25">
      <c r="A42" s="3" t="s">
        <v>45</v>
      </c>
      <c r="B42" s="5">
        <f>5</f>
        <v>5</v>
      </c>
      <c r="C42" s="5">
        <f>60</f>
        <v>60</v>
      </c>
      <c r="D42" s="5">
        <f t="shared" si="0"/>
        <v>-55</v>
      </c>
      <c r="E42" s="6">
        <f t="shared" si="1"/>
        <v>-0.91666666666666663</v>
      </c>
    </row>
    <row r="43" spans="1:5" x14ac:dyDescent="0.25">
      <c r="A43" s="3" t="s">
        <v>46</v>
      </c>
      <c r="B43" s="4"/>
      <c r="C43" s="5">
        <f>1</f>
        <v>1</v>
      </c>
      <c r="D43" s="5">
        <f t="shared" si="0"/>
        <v>-1</v>
      </c>
      <c r="E43" s="6">
        <f t="shared" si="1"/>
        <v>-1</v>
      </c>
    </row>
    <row r="44" spans="1:5" x14ac:dyDescent="0.25">
      <c r="A44" s="3" t="s">
        <v>47</v>
      </c>
      <c r="B44" s="5">
        <f>24</f>
        <v>24</v>
      </c>
      <c r="C44" s="5">
        <f>38</f>
        <v>38</v>
      </c>
      <c r="D44" s="5">
        <f t="shared" si="0"/>
        <v>-14</v>
      </c>
      <c r="E44" s="6">
        <f t="shared" si="1"/>
        <v>-0.36842105263157893</v>
      </c>
    </row>
    <row r="45" spans="1:5" x14ac:dyDescent="0.25">
      <c r="A45" s="3" t="s">
        <v>48</v>
      </c>
      <c r="B45" s="5">
        <f>50.85</f>
        <v>50.85</v>
      </c>
      <c r="C45" s="5">
        <f>34.95</f>
        <v>34.950000000000003</v>
      </c>
      <c r="D45" s="5">
        <f t="shared" si="0"/>
        <v>15.899999999999999</v>
      </c>
      <c r="E45" s="6">
        <f t="shared" si="1"/>
        <v>0.45493562231759649</v>
      </c>
    </row>
    <row r="46" spans="1:5" x14ac:dyDescent="0.25">
      <c r="A46" s="3" t="s">
        <v>49</v>
      </c>
      <c r="B46" s="5">
        <f>11</f>
        <v>11</v>
      </c>
      <c r="C46" s="5">
        <f>1</f>
        <v>1</v>
      </c>
      <c r="D46" s="5">
        <f t="shared" si="0"/>
        <v>10</v>
      </c>
      <c r="E46" s="6">
        <f t="shared" si="1"/>
        <v>10</v>
      </c>
    </row>
    <row r="47" spans="1:5" x14ac:dyDescent="0.25">
      <c r="A47" s="3" t="s">
        <v>50</v>
      </c>
      <c r="B47" s="5">
        <f>58.5</f>
        <v>58.5</v>
      </c>
      <c r="C47" s="5">
        <f>109.5</f>
        <v>109.5</v>
      </c>
      <c r="D47" s="5">
        <f t="shared" si="0"/>
        <v>-51</v>
      </c>
      <c r="E47" s="6">
        <f t="shared" si="1"/>
        <v>-0.46575342465753422</v>
      </c>
    </row>
    <row r="48" spans="1:5" x14ac:dyDescent="0.25">
      <c r="A48" s="3" t="s">
        <v>51</v>
      </c>
      <c r="B48" s="4"/>
      <c r="C48" s="5">
        <f>12</f>
        <v>12</v>
      </c>
      <c r="D48" s="5">
        <f t="shared" si="0"/>
        <v>-12</v>
      </c>
      <c r="E48" s="6">
        <f t="shared" si="1"/>
        <v>-1</v>
      </c>
    </row>
    <row r="49" spans="1:5" x14ac:dyDescent="0.25">
      <c r="A49" s="3" t="s">
        <v>52</v>
      </c>
      <c r="B49" s="5">
        <f>31.75</f>
        <v>31.75</v>
      </c>
      <c r="C49" s="5">
        <f>139.5</f>
        <v>139.5</v>
      </c>
      <c r="D49" s="5">
        <f t="shared" si="0"/>
        <v>-107.75</v>
      </c>
      <c r="E49" s="6">
        <f t="shared" si="1"/>
        <v>-0.77240143369175629</v>
      </c>
    </row>
    <row r="50" spans="1:5" x14ac:dyDescent="0.25">
      <c r="A50" s="3" t="s">
        <v>53</v>
      </c>
      <c r="B50" s="5">
        <f>46.5</f>
        <v>46.5</v>
      </c>
      <c r="C50" s="5">
        <f>26</f>
        <v>26</v>
      </c>
      <c r="D50" s="5">
        <f t="shared" si="0"/>
        <v>20.5</v>
      </c>
      <c r="E50" s="6">
        <f t="shared" si="1"/>
        <v>0.78846153846153844</v>
      </c>
    </row>
    <row r="51" spans="1:5" x14ac:dyDescent="0.25">
      <c r="A51" s="3" t="s">
        <v>55</v>
      </c>
      <c r="B51" s="5">
        <f>40.9</f>
        <v>40.9</v>
      </c>
      <c r="C51" s="5">
        <f>51.4</f>
        <v>51.4</v>
      </c>
      <c r="D51" s="5">
        <f t="shared" si="0"/>
        <v>-10.5</v>
      </c>
      <c r="E51" s="6">
        <f t="shared" si="1"/>
        <v>-0.20428015564202334</v>
      </c>
    </row>
    <row r="52" spans="1:5" x14ac:dyDescent="0.25">
      <c r="A52" s="3" t="s">
        <v>56</v>
      </c>
      <c r="B52" s="5">
        <f>142.99</f>
        <v>142.99</v>
      </c>
      <c r="C52" s="5">
        <f>68</f>
        <v>68</v>
      </c>
      <c r="D52" s="5">
        <f t="shared" si="0"/>
        <v>74.990000000000009</v>
      </c>
      <c r="E52" s="6">
        <f t="shared" si="1"/>
        <v>1.102794117647059</v>
      </c>
    </row>
    <row r="53" spans="1:5" x14ac:dyDescent="0.25">
      <c r="A53" s="3" t="s">
        <v>57</v>
      </c>
      <c r="B53" s="4"/>
      <c r="C53" s="5">
        <f>10</f>
        <v>10</v>
      </c>
      <c r="D53" s="5">
        <f t="shared" si="0"/>
        <v>-10</v>
      </c>
      <c r="E53" s="6">
        <f t="shared" si="1"/>
        <v>-1</v>
      </c>
    </row>
    <row r="54" spans="1:5" x14ac:dyDescent="0.25">
      <c r="A54" s="3" t="s">
        <v>58</v>
      </c>
      <c r="B54" s="5">
        <f>-23.03</f>
        <v>-23.03</v>
      </c>
      <c r="C54" s="5">
        <f>-168.65</f>
        <v>-168.65</v>
      </c>
      <c r="D54" s="5">
        <f t="shared" si="0"/>
        <v>145.62</v>
      </c>
      <c r="E54" s="6">
        <f t="shared" si="1"/>
        <v>0.86344500444707972</v>
      </c>
    </row>
    <row r="55" spans="1:5" x14ac:dyDescent="0.25">
      <c r="A55" s="3" t="s">
        <v>59</v>
      </c>
      <c r="B55" s="4"/>
      <c r="C55" s="5">
        <f>23</f>
        <v>23</v>
      </c>
      <c r="D55" s="5">
        <f t="shared" si="0"/>
        <v>-23</v>
      </c>
      <c r="E55" s="6">
        <f t="shared" si="1"/>
        <v>-1</v>
      </c>
    </row>
    <row r="56" spans="1:5" x14ac:dyDescent="0.25">
      <c r="A56" s="3" t="s">
        <v>61</v>
      </c>
      <c r="B56" s="5">
        <f>23</f>
        <v>23</v>
      </c>
      <c r="C56" s="5">
        <f>181.5</f>
        <v>181.5</v>
      </c>
      <c r="D56" s="5">
        <f t="shared" si="0"/>
        <v>-158.5</v>
      </c>
      <c r="E56" s="6">
        <f t="shared" si="1"/>
        <v>-0.8732782369146006</v>
      </c>
    </row>
    <row r="57" spans="1:5" x14ac:dyDescent="0.25">
      <c r="A57" s="3" t="s">
        <v>63</v>
      </c>
      <c r="B57" s="5">
        <f>134.5</f>
        <v>134.5</v>
      </c>
      <c r="C57" s="5">
        <f>166</f>
        <v>166</v>
      </c>
      <c r="D57" s="5">
        <f t="shared" si="0"/>
        <v>-31.5</v>
      </c>
      <c r="E57" s="6">
        <f t="shared" si="1"/>
        <v>-0.18975903614457831</v>
      </c>
    </row>
    <row r="58" spans="1:5" x14ac:dyDescent="0.25">
      <c r="A58" s="3" t="s">
        <v>64</v>
      </c>
      <c r="B58" s="5">
        <f>9</f>
        <v>9</v>
      </c>
      <c r="C58" s="4"/>
      <c r="D58" s="5">
        <f t="shared" si="0"/>
        <v>9</v>
      </c>
      <c r="E58" s="6" t="str">
        <f t="shared" si="1"/>
        <v/>
      </c>
    </row>
    <row r="59" spans="1:5" x14ac:dyDescent="0.25">
      <c r="A59" s="3" t="s">
        <v>65</v>
      </c>
      <c r="B59" s="4"/>
      <c r="C59" s="5">
        <f>12</f>
        <v>12</v>
      </c>
      <c r="D59" s="5">
        <f t="shared" si="0"/>
        <v>-12</v>
      </c>
      <c r="E59" s="6">
        <f t="shared" si="1"/>
        <v>-1</v>
      </c>
    </row>
    <row r="60" spans="1:5" x14ac:dyDescent="0.25">
      <c r="A60" s="3" t="s">
        <v>66</v>
      </c>
      <c r="B60" s="5">
        <f>2</f>
        <v>2</v>
      </c>
      <c r="C60" s="4"/>
      <c r="D60" s="5">
        <f t="shared" si="0"/>
        <v>2</v>
      </c>
      <c r="E60" s="6" t="str">
        <f t="shared" si="1"/>
        <v/>
      </c>
    </row>
    <row r="61" spans="1:5" x14ac:dyDescent="0.25">
      <c r="A61" s="3" t="s">
        <v>67</v>
      </c>
      <c r="B61" s="5">
        <f>15</f>
        <v>15</v>
      </c>
      <c r="C61" s="4"/>
      <c r="D61" s="5">
        <f t="shared" si="0"/>
        <v>15</v>
      </c>
      <c r="E61" s="6" t="str">
        <f t="shared" si="1"/>
        <v/>
      </c>
    </row>
    <row r="62" spans="1:5" x14ac:dyDescent="0.25">
      <c r="A62" s="3" t="s">
        <v>68</v>
      </c>
      <c r="B62" s="5">
        <f>48</f>
        <v>48</v>
      </c>
      <c r="C62" s="5">
        <f>40</f>
        <v>40</v>
      </c>
      <c r="D62" s="5">
        <f t="shared" si="0"/>
        <v>8</v>
      </c>
      <c r="E62" s="6">
        <f t="shared" si="1"/>
        <v>0.2</v>
      </c>
    </row>
    <row r="63" spans="1:5" x14ac:dyDescent="0.25">
      <c r="A63" s="3" t="s">
        <v>70</v>
      </c>
      <c r="B63" s="5">
        <f>40</f>
        <v>40</v>
      </c>
      <c r="C63" s="5">
        <f>17</f>
        <v>17</v>
      </c>
      <c r="D63" s="5">
        <f t="shared" si="0"/>
        <v>23</v>
      </c>
      <c r="E63" s="6">
        <f t="shared" si="1"/>
        <v>1.3529411764705883</v>
      </c>
    </row>
    <row r="64" spans="1:5" x14ac:dyDescent="0.25">
      <c r="A64" s="3" t="s">
        <v>72</v>
      </c>
      <c r="B64" s="4"/>
      <c r="C64" s="5">
        <f>80</f>
        <v>80</v>
      </c>
      <c r="D64" s="5">
        <f t="shared" si="0"/>
        <v>-80</v>
      </c>
      <c r="E64" s="6">
        <f t="shared" si="1"/>
        <v>-1</v>
      </c>
    </row>
    <row r="65" spans="1:5" x14ac:dyDescent="0.25">
      <c r="A65" s="3" t="s">
        <v>74</v>
      </c>
      <c r="B65" s="5">
        <f>26</f>
        <v>26</v>
      </c>
      <c r="C65" s="5">
        <f>0</f>
        <v>0</v>
      </c>
      <c r="D65" s="5">
        <f t="shared" si="0"/>
        <v>26</v>
      </c>
      <c r="E65" s="6" t="str">
        <f t="shared" si="1"/>
        <v/>
      </c>
    </row>
    <row r="66" spans="1:5" x14ac:dyDescent="0.25">
      <c r="A66" s="3" t="s">
        <v>76</v>
      </c>
      <c r="B66" s="5">
        <f>21</f>
        <v>21</v>
      </c>
      <c r="C66" s="4"/>
      <c r="D66" s="5">
        <f t="shared" si="0"/>
        <v>21</v>
      </c>
      <c r="E66" s="6" t="str">
        <f t="shared" si="1"/>
        <v/>
      </c>
    </row>
    <row r="67" spans="1:5" x14ac:dyDescent="0.25">
      <c r="A67" s="3" t="s">
        <v>77</v>
      </c>
      <c r="B67" s="5">
        <f>52</f>
        <v>52</v>
      </c>
      <c r="C67" s="5">
        <f>20</f>
        <v>20</v>
      </c>
      <c r="D67" s="5">
        <f t="shared" si="0"/>
        <v>32</v>
      </c>
      <c r="E67" s="6">
        <f t="shared" si="1"/>
        <v>1.6</v>
      </c>
    </row>
    <row r="68" spans="1:5" x14ac:dyDescent="0.25">
      <c r="A68" s="3" t="s">
        <v>79</v>
      </c>
      <c r="B68" s="4"/>
      <c r="C68" s="5">
        <f>30</f>
        <v>30</v>
      </c>
      <c r="D68" s="5">
        <f t="shared" si="0"/>
        <v>-30</v>
      </c>
      <c r="E68" s="6">
        <f t="shared" si="1"/>
        <v>-1</v>
      </c>
    </row>
    <row r="69" spans="1:5" x14ac:dyDescent="0.25">
      <c r="A69" s="3" t="s">
        <v>80</v>
      </c>
      <c r="B69" s="5">
        <f>45</f>
        <v>45</v>
      </c>
      <c r="C69" s="4"/>
      <c r="D69" s="5">
        <f t="shared" si="0"/>
        <v>45</v>
      </c>
      <c r="E69" s="6" t="str">
        <f t="shared" si="1"/>
        <v/>
      </c>
    </row>
    <row r="70" spans="1:5" x14ac:dyDescent="0.25">
      <c r="A70" s="3" t="s">
        <v>82</v>
      </c>
      <c r="B70" s="5">
        <f>56</f>
        <v>56</v>
      </c>
      <c r="C70" s="5">
        <f>124</f>
        <v>124</v>
      </c>
      <c r="D70" s="5">
        <f t="shared" si="0"/>
        <v>-68</v>
      </c>
      <c r="E70" s="6">
        <f t="shared" si="1"/>
        <v>-0.54838709677419351</v>
      </c>
    </row>
    <row r="71" spans="1:5" x14ac:dyDescent="0.25">
      <c r="A71" s="3" t="s">
        <v>83</v>
      </c>
      <c r="B71" s="27">
        <f>((((((((((((((((((((((((((((((((((B36)+(B37))+(B38))+(B39))+(B40))+(B41))+(B42))+(B43))+(B44))+(B45))+(B46))+(B47))+(B48))+(B49))+(B50))+(B51))+(B52))+(B53))+(B54))+(B55))+(B56))+(B57))+(B58))+(B59))+(B60))+(B61))+(B62))+(B63))+(B64))+(B65))+(B66))+(B67))+(B68))+(B69))+(B70)</f>
        <v>1458.39</v>
      </c>
      <c r="C71" s="27">
        <f>((((((((((((((((((((((((((((((((((C36)+(C37))+(C38))+(C39))+(C40))+(C41))+(C42))+(C43))+(C44))+(C45))+(C46))+(C47))+(C48))+(C49))+(C50))+(C51))+(C52))+(C53))+(C54))+(C55))+(C56))+(C57))+(C58))+(C59))+(C60))+(C61))+(C62))+(C63))+(C64))+(C65))+(C66))+(C67))+(C68))+(C69))+(C70)</f>
        <v>1946.5900000000001</v>
      </c>
      <c r="D71" s="27">
        <f t="shared" si="0"/>
        <v>-488.20000000000005</v>
      </c>
      <c r="E71" s="28">
        <f t="shared" si="1"/>
        <v>-0.25079754853358949</v>
      </c>
    </row>
    <row r="72" spans="1:5" x14ac:dyDescent="0.25">
      <c r="A72" s="3" t="s">
        <v>84</v>
      </c>
      <c r="B72" s="9">
        <f>((((B24)+(B28))+(B32))+(B35))+(B71)</f>
        <v>3161.34</v>
      </c>
      <c r="C72" s="9">
        <f>((((C24)+(C28))+(C32))+(C35))+(C71)</f>
        <v>3045.59</v>
      </c>
      <c r="D72" s="9">
        <f t="shared" ref="D72:D76" si="2">(B72)-(C72)</f>
        <v>115.75</v>
      </c>
      <c r="E72" s="10">
        <f t="shared" ref="E72:E76" si="3">IF(ABS((C72))=0,"",((B72)-(C72))/(ABS((C72))))</f>
        <v>3.8005772280576174E-2</v>
      </c>
    </row>
    <row r="73" spans="1:5" x14ac:dyDescent="0.25">
      <c r="A73" s="3" t="s">
        <v>85</v>
      </c>
      <c r="B73" s="5">
        <f>184.51</f>
        <v>184.51</v>
      </c>
      <c r="C73" s="5">
        <f>4.63</f>
        <v>4.63</v>
      </c>
      <c r="D73" s="5">
        <f t="shared" si="2"/>
        <v>179.88</v>
      </c>
      <c r="E73" s="6">
        <f t="shared" si="3"/>
        <v>38.850971922246224</v>
      </c>
    </row>
    <row r="74" spans="1:5" x14ac:dyDescent="0.25">
      <c r="A74" s="3" t="s">
        <v>181</v>
      </c>
      <c r="B74" s="4"/>
      <c r="C74" s="5">
        <f>273.82</f>
        <v>273.82</v>
      </c>
      <c r="D74" s="5">
        <f t="shared" si="2"/>
        <v>-273.82</v>
      </c>
      <c r="E74" s="6">
        <f t="shared" si="3"/>
        <v>-1</v>
      </c>
    </row>
    <row r="75" spans="1:5" x14ac:dyDescent="0.25">
      <c r="A75" s="3" t="s">
        <v>182</v>
      </c>
      <c r="B75" s="9">
        <f>(B73)+(B74)</f>
        <v>184.51</v>
      </c>
      <c r="C75" s="9">
        <f>(C73)+(C74)</f>
        <v>278.45</v>
      </c>
      <c r="D75" s="9">
        <f t="shared" si="2"/>
        <v>-93.94</v>
      </c>
      <c r="E75" s="10">
        <f t="shared" si="3"/>
        <v>-0.33736757047943977</v>
      </c>
    </row>
    <row r="76" spans="1:5" x14ac:dyDescent="0.25">
      <c r="A76" s="3" t="s">
        <v>86</v>
      </c>
      <c r="B76" s="9">
        <f>(((((B12)+(B21))+(B22))+(B23))+(B72))+(B75)</f>
        <v>281239.30000000005</v>
      </c>
      <c r="C76" s="9">
        <f>(((((C12)+(C21))+(C22))+(C23))+(C72))+(C75)</f>
        <v>291077.22000000003</v>
      </c>
      <c r="D76" s="9">
        <f t="shared" si="2"/>
        <v>-9837.9199999999837</v>
      </c>
      <c r="E76" s="10">
        <f t="shared" si="3"/>
        <v>-3.3798316474233134E-2</v>
      </c>
    </row>
    <row r="77" spans="1:5" x14ac:dyDescent="0.25">
      <c r="A77" s="3" t="s">
        <v>87</v>
      </c>
      <c r="B77" s="4"/>
      <c r="C77" s="4"/>
      <c r="D77" s="4"/>
      <c r="E77" s="4"/>
    </row>
    <row r="78" spans="1:5" x14ac:dyDescent="0.25">
      <c r="A78" s="3" t="s">
        <v>88</v>
      </c>
      <c r="B78" s="5">
        <f>689.7</f>
        <v>689.7</v>
      </c>
      <c r="C78" s="5">
        <f>2435.23</f>
        <v>2435.23</v>
      </c>
      <c r="D78" s="5">
        <f>(B78)-(C78)</f>
        <v>-1745.53</v>
      </c>
      <c r="E78" s="6">
        <f>IF(ABS((C78))=0,"",((B78)-(C78))/(ABS((C78))))</f>
        <v>-0.71678239837715529</v>
      </c>
    </row>
    <row r="79" spans="1:5" x14ac:dyDescent="0.25">
      <c r="A79" s="3" t="s">
        <v>89</v>
      </c>
      <c r="B79" s="5">
        <f>128.68</f>
        <v>128.68</v>
      </c>
      <c r="C79" s="5">
        <f>147.32</f>
        <v>147.32</v>
      </c>
      <c r="D79" s="5">
        <f>(B79)-(C79)</f>
        <v>-18.639999999999986</v>
      </c>
      <c r="E79" s="6">
        <f>IF(ABS((C79))=0,"",((B79)-(C79))/(ABS((C79))))</f>
        <v>-0.12652728753733361</v>
      </c>
    </row>
    <row r="80" spans="1:5" x14ac:dyDescent="0.25">
      <c r="A80" s="3" t="s">
        <v>90</v>
      </c>
      <c r="B80" s="9">
        <f>(B78)+(B79)</f>
        <v>818.38000000000011</v>
      </c>
      <c r="C80" s="9">
        <f>(C78)+(C79)</f>
        <v>2582.5500000000002</v>
      </c>
      <c r="D80" s="9">
        <f>(B80)-(C80)</f>
        <v>-1764.17</v>
      </c>
      <c r="E80" s="10">
        <f>IF(ABS((C80))=0,"",((B80)-(C80))/(ABS((C80))))</f>
        <v>-0.68311165321097367</v>
      </c>
    </row>
    <row r="81" spans="1:5" x14ac:dyDescent="0.25">
      <c r="A81" s="3" t="s">
        <v>91</v>
      </c>
      <c r="B81" s="9">
        <f>(B76)-(B80)</f>
        <v>280420.92000000004</v>
      </c>
      <c r="C81" s="9">
        <f>(C76)-(C80)</f>
        <v>288494.67000000004</v>
      </c>
      <c r="D81" s="9">
        <f>(B81)-(C81)</f>
        <v>-8073.75</v>
      </c>
      <c r="E81" s="10">
        <f>IF(ABS((C81))=0,"",((B81)-(C81))/(ABS((C81))))</f>
        <v>-2.7985785664601703E-2</v>
      </c>
    </row>
    <row r="82" spans="1:5" x14ac:dyDescent="0.25">
      <c r="A82" s="3" t="s">
        <v>92</v>
      </c>
      <c r="B82" s="4"/>
      <c r="C82" s="4"/>
      <c r="D82" s="4"/>
      <c r="E82" s="4"/>
    </row>
    <row r="83" spans="1:5" x14ac:dyDescent="0.25">
      <c r="A83" s="3" t="s">
        <v>93</v>
      </c>
      <c r="B83" s="4"/>
      <c r="C83" s="4"/>
      <c r="D83" s="5">
        <f t="shared" ref="D83:D146" si="4">(B83)-(C83)</f>
        <v>0</v>
      </c>
      <c r="E83" s="6" t="str">
        <f t="shared" ref="E83:E146" si="5">IF(ABS((C83))=0,"",((B83)-(C83))/(ABS((C83))))</f>
        <v/>
      </c>
    </row>
    <row r="84" spans="1:5" x14ac:dyDescent="0.25">
      <c r="A84" s="3" t="s">
        <v>94</v>
      </c>
      <c r="B84" s="5">
        <f>32572</f>
        <v>32572</v>
      </c>
      <c r="C84" s="5">
        <f>26378</f>
        <v>26378</v>
      </c>
      <c r="D84" s="5">
        <f t="shared" si="4"/>
        <v>6194</v>
      </c>
      <c r="E84" s="6">
        <f t="shared" si="5"/>
        <v>0.2348168928652665</v>
      </c>
    </row>
    <row r="85" spans="1:5" x14ac:dyDescent="0.25">
      <c r="A85" s="3" t="s">
        <v>95</v>
      </c>
      <c r="B85" s="9">
        <f>(B83)+(B84)</f>
        <v>32572</v>
      </c>
      <c r="C85" s="9">
        <f>(C83)+(C84)</f>
        <v>26378</v>
      </c>
      <c r="D85" s="9">
        <f t="shared" si="4"/>
        <v>6194</v>
      </c>
      <c r="E85" s="10">
        <f t="shared" si="5"/>
        <v>0.2348168928652665</v>
      </c>
    </row>
    <row r="86" spans="1:5" x14ac:dyDescent="0.25">
      <c r="A86" s="3" t="s">
        <v>96</v>
      </c>
      <c r="B86" s="5">
        <f>250</f>
        <v>250</v>
      </c>
      <c r="C86" s="5">
        <f>528.95</f>
        <v>528.95000000000005</v>
      </c>
      <c r="D86" s="5">
        <f t="shared" si="4"/>
        <v>-278.95000000000005</v>
      </c>
      <c r="E86" s="6">
        <f t="shared" si="5"/>
        <v>-0.52736553549484833</v>
      </c>
    </row>
    <row r="87" spans="1:5" x14ac:dyDescent="0.25">
      <c r="A87" s="3" t="s">
        <v>97</v>
      </c>
      <c r="B87" s="5">
        <f>551.69</f>
        <v>551.69000000000005</v>
      </c>
      <c r="C87" s="5">
        <f>680.16</f>
        <v>680.16</v>
      </c>
      <c r="D87" s="5">
        <f t="shared" si="4"/>
        <v>-128.46999999999991</v>
      </c>
      <c r="E87" s="6">
        <f t="shared" si="5"/>
        <v>-0.18888202775817442</v>
      </c>
    </row>
    <row r="88" spans="1:5" x14ac:dyDescent="0.25">
      <c r="A88" s="3" t="s">
        <v>98</v>
      </c>
      <c r="B88" s="5">
        <f>2695.93</f>
        <v>2695.93</v>
      </c>
      <c r="C88" s="5">
        <f>4541.23</f>
        <v>4541.2299999999996</v>
      </c>
      <c r="D88" s="5">
        <f t="shared" si="4"/>
        <v>-1845.2999999999997</v>
      </c>
      <c r="E88" s="6">
        <f t="shared" si="5"/>
        <v>-0.40634365579369464</v>
      </c>
    </row>
    <row r="89" spans="1:5" x14ac:dyDescent="0.25">
      <c r="A89" s="3" t="s">
        <v>99</v>
      </c>
      <c r="B89" s="5">
        <f>2.97</f>
        <v>2.97</v>
      </c>
      <c r="C89" s="5">
        <f>229.71</f>
        <v>229.71</v>
      </c>
      <c r="D89" s="5">
        <f t="shared" si="4"/>
        <v>-226.74</v>
      </c>
      <c r="E89" s="6">
        <f t="shared" si="5"/>
        <v>-0.98707065430325192</v>
      </c>
    </row>
    <row r="90" spans="1:5" x14ac:dyDescent="0.25">
      <c r="A90" s="3" t="s">
        <v>100</v>
      </c>
      <c r="B90" s="4"/>
      <c r="C90" s="4"/>
      <c r="D90" s="5">
        <f t="shared" si="4"/>
        <v>0</v>
      </c>
      <c r="E90" s="6" t="str">
        <f t="shared" si="5"/>
        <v/>
      </c>
    </row>
    <row r="91" spans="1:5" x14ac:dyDescent="0.25">
      <c r="A91" s="3" t="s">
        <v>101</v>
      </c>
      <c r="B91" s="4"/>
      <c r="C91" s="5">
        <f>101.97</f>
        <v>101.97</v>
      </c>
      <c r="D91" s="5">
        <f t="shared" si="4"/>
        <v>-101.97</v>
      </c>
      <c r="E91" s="6">
        <f t="shared" si="5"/>
        <v>-1</v>
      </c>
    </row>
    <row r="92" spans="1:5" x14ac:dyDescent="0.25">
      <c r="A92" s="3" t="s">
        <v>183</v>
      </c>
      <c r="B92" s="4"/>
      <c r="C92" s="5">
        <f>1600</f>
        <v>1600</v>
      </c>
      <c r="D92" s="5">
        <f t="shared" si="4"/>
        <v>-1600</v>
      </c>
      <c r="E92" s="6">
        <f t="shared" si="5"/>
        <v>-1</v>
      </c>
    </row>
    <row r="93" spans="1:5" x14ac:dyDescent="0.25">
      <c r="A93" s="25" t="s">
        <v>103</v>
      </c>
      <c r="B93" s="27">
        <f>((B90)+(B91))+(B92)</f>
        <v>0</v>
      </c>
      <c r="C93" s="27">
        <f>((C90)+(C91))+(C92)</f>
        <v>1701.97</v>
      </c>
      <c r="D93" s="27">
        <f t="shared" si="4"/>
        <v>-1701.97</v>
      </c>
      <c r="E93" s="28">
        <f t="shared" si="5"/>
        <v>-1</v>
      </c>
    </row>
    <row r="94" spans="1:5" x14ac:dyDescent="0.25">
      <c r="A94" s="3" t="s">
        <v>104</v>
      </c>
      <c r="B94" s="4"/>
      <c r="C94" s="4"/>
      <c r="D94" s="5">
        <f t="shared" si="4"/>
        <v>0</v>
      </c>
      <c r="E94" s="6" t="str">
        <f t="shared" si="5"/>
        <v/>
      </c>
    </row>
    <row r="95" spans="1:5" x14ac:dyDescent="0.25">
      <c r="A95" s="3" t="s">
        <v>105</v>
      </c>
      <c r="B95" s="5">
        <f>2535.34</f>
        <v>2535.34</v>
      </c>
      <c r="C95" s="5">
        <f>3416</f>
        <v>3416</v>
      </c>
      <c r="D95" s="5">
        <f t="shared" si="4"/>
        <v>-880.65999999999985</v>
      </c>
      <c r="E95" s="6">
        <f t="shared" si="5"/>
        <v>-0.25780444964871191</v>
      </c>
    </row>
    <row r="96" spans="1:5" x14ac:dyDescent="0.25">
      <c r="A96" s="3" t="s">
        <v>106</v>
      </c>
      <c r="B96" s="9">
        <f>(B94)+(B95)</f>
        <v>2535.34</v>
      </c>
      <c r="C96" s="9">
        <f>(C94)+(C95)</f>
        <v>3416</v>
      </c>
      <c r="D96" s="9">
        <f t="shared" si="4"/>
        <v>-880.65999999999985</v>
      </c>
      <c r="E96" s="10">
        <f t="shared" si="5"/>
        <v>-0.25780444964871191</v>
      </c>
    </row>
    <row r="97" spans="1:5" x14ac:dyDescent="0.25">
      <c r="A97" s="3" t="s">
        <v>107</v>
      </c>
      <c r="B97" s="4"/>
      <c r="C97" s="4"/>
      <c r="D97" s="5">
        <f t="shared" si="4"/>
        <v>0</v>
      </c>
      <c r="E97" s="6" t="str">
        <f t="shared" si="5"/>
        <v/>
      </c>
    </row>
    <row r="98" spans="1:5" x14ac:dyDescent="0.25">
      <c r="A98" s="3" t="s">
        <v>108</v>
      </c>
      <c r="B98" s="5">
        <f>10597.51</f>
        <v>10597.51</v>
      </c>
      <c r="C98" s="5">
        <f>16675.87</f>
        <v>16675.87</v>
      </c>
      <c r="D98" s="5">
        <f t="shared" si="4"/>
        <v>-6078.3599999999988</v>
      </c>
      <c r="E98" s="6">
        <f t="shared" si="5"/>
        <v>-0.36450032292168261</v>
      </c>
    </row>
    <row r="99" spans="1:5" x14ac:dyDescent="0.25">
      <c r="A99" s="3" t="s">
        <v>109</v>
      </c>
      <c r="B99" s="5">
        <f>8878.53</f>
        <v>8878.5300000000007</v>
      </c>
      <c r="C99" s="5">
        <f>7462.51</f>
        <v>7462.51</v>
      </c>
      <c r="D99" s="5">
        <f t="shared" si="4"/>
        <v>1416.0200000000004</v>
      </c>
      <c r="E99" s="6">
        <f t="shared" si="5"/>
        <v>0.18975116951267074</v>
      </c>
    </row>
    <row r="100" spans="1:5" x14ac:dyDescent="0.25">
      <c r="A100" s="3" t="s">
        <v>110</v>
      </c>
      <c r="B100" s="5">
        <f>69.36</f>
        <v>69.36</v>
      </c>
      <c r="C100" s="5">
        <f>69.36</f>
        <v>69.36</v>
      </c>
      <c r="D100" s="5">
        <f t="shared" si="4"/>
        <v>0</v>
      </c>
      <c r="E100" s="6">
        <f t="shared" si="5"/>
        <v>0</v>
      </c>
    </row>
    <row r="101" spans="1:5" x14ac:dyDescent="0.25">
      <c r="A101" s="25" t="s">
        <v>111</v>
      </c>
      <c r="B101" s="27">
        <f>(((B97)+(B98))+(B99))+(B100)</f>
        <v>19545.400000000001</v>
      </c>
      <c r="C101" s="27">
        <f>(((C97)+(C98))+(C99))+(C100)</f>
        <v>24207.739999999998</v>
      </c>
      <c r="D101" s="27">
        <f t="shared" si="4"/>
        <v>-4662.3399999999965</v>
      </c>
      <c r="E101" s="28">
        <f t="shared" si="5"/>
        <v>-0.19259707845507251</v>
      </c>
    </row>
    <row r="102" spans="1:5" x14ac:dyDescent="0.25">
      <c r="A102" s="3" t="s">
        <v>112</v>
      </c>
      <c r="B102" s="4"/>
      <c r="C102" s="4"/>
      <c r="D102" s="5">
        <f t="shared" si="4"/>
        <v>0</v>
      </c>
      <c r="E102" s="6" t="str">
        <f t="shared" si="5"/>
        <v/>
      </c>
    </row>
    <row r="103" spans="1:5" x14ac:dyDescent="0.25">
      <c r="A103" s="3" t="s">
        <v>113</v>
      </c>
      <c r="B103" s="5">
        <f>1551.34</f>
        <v>1551.34</v>
      </c>
      <c r="C103" s="4"/>
      <c r="D103" s="5">
        <f t="shared" si="4"/>
        <v>1551.34</v>
      </c>
      <c r="E103" s="6" t="str">
        <f t="shared" si="5"/>
        <v/>
      </c>
    </row>
    <row r="104" spans="1:5" x14ac:dyDescent="0.25">
      <c r="A104" s="3" t="s">
        <v>114</v>
      </c>
      <c r="B104" s="5">
        <f>762.11</f>
        <v>762.11</v>
      </c>
      <c r="C104" s="5">
        <f>766.42</f>
        <v>766.42</v>
      </c>
      <c r="D104" s="5">
        <f t="shared" si="4"/>
        <v>-4.3099999999999454</v>
      </c>
      <c r="E104" s="6">
        <f t="shared" si="5"/>
        <v>-5.6235484460216926E-3</v>
      </c>
    </row>
    <row r="105" spans="1:5" x14ac:dyDescent="0.25">
      <c r="A105" s="3" t="s">
        <v>115</v>
      </c>
      <c r="B105" s="5">
        <f>1644.89</f>
        <v>1644.89</v>
      </c>
      <c r="C105" s="5">
        <f>1440.24</f>
        <v>1440.24</v>
      </c>
      <c r="D105" s="5">
        <f t="shared" si="4"/>
        <v>204.65000000000009</v>
      </c>
      <c r="E105" s="6">
        <f t="shared" si="5"/>
        <v>0.14209437316002896</v>
      </c>
    </row>
    <row r="106" spans="1:5" x14ac:dyDescent="0.25">
      <c r="A106" s="25" t="s">
        <v>116</v>
      </c>
      <c r="B106" s="27">
        <f>(((B102)+(B103))+(B104))+(B105)</f>
        <v>3958.34</v>
      </c>
      <c r="C106" s="27">
        <f>(((C102)+(C103))+(C104))+(C105)</f>
        <v>2206.66</v>
      </c>
      <c r="D106" s="27">
        <f t="shared" si="4"/>
        <v>1751.6800000000003</v>
      </c>
      <c r="E106" s="28">
        <f t="shared" si="5"/>
        <v>0.79381508705464388</v>
      </c>
    </row>
    <row r="107" spans="1:5" x14ac:dyDescent="0.25">
      <c r="A107" s="3" t="s">
        <v>117</v>
      </c>
      <c r="B107" s="5">
        <f>1542.85</f>
        <v>1542.85</v>
      </c>
      <c r="C107" s="5">
        <f>1440</f>
        <v>1440</v>
      </c>
      <c r="D107" s="5">
        <f t="shared" si="4"/>
        <v>102.84999999999991</v>
      </c>
      <c r="E107" s="6">
        <f t="shared" si="5"/>
        <v>7.1423611111111049E-2</v>
      </c>
    </row>
    <row r="108" spans="1:5" x14ac:dyDescent="0.25">
      <c r="A108" s="3" t="s">
        <v>118</v>
      </c>
      <c r="B108" s="5">
        <f>8.99</f>
        <v>8.99</v>
      </c>
      <c r="C108" s="4"/>
      <c r="D108" s="5">
        <f t="shared" si="4"/>
        <v>8.99</v>
      </c>
      <c r="E108" s="6" t="str">
        <f t="shared" si="5"/>
        <v/>
      </c>
    </row>
    <row r="109" spans="1:5" x14ac:dyDescent="0.25">
      <c r="A109" s="3" t="s">
        <v>119</v>
      </c>
      <c r="B109" s="5">
        <f>272.12</f>
        <v>272.12</v>
      </c>
      <c r="C109" s="4"/>
      <c r="D109" s="5">
        <f t="shared" si="4"/>
        <v>272.12</v>
      </c>
      <c r="E109" s="6" t="str">
        <f t="shared" si="5"/>
        <v/>
      </c>
    </row>
    <row r="110" spans="1:5" x14ac:dyDescent="0.25">
      <c r="A110" s="3" t="s">
        <v>120</v>
      </c>
      <c r="B110" s="5">
        <f>1362.13</f>
        <v>1362.13</v>
      </c>
      <c r="C110" s="4"/>
      <c r="D110" s="5">
        <f t="shared" si="4"/>
        <v>1362.13</v>
      </c>
      <c r="E110" s="6" t="str">
        <f t="shared" si="5"/>
        <v/>
      </c>
    </row>
    <row r="111" spans="1:5" x14ac:dyDescent="0.25">
      <c r="A111" s="25" t="s">
        <v>121</v>
      </c>
      <c r="B111" s="27">
        <f>((B108)+(B109))+(B110)</f>
        <v>1643.2400000000002</v>
      </c>
      <c r="C111" s="27">
        <f>((C108)+(C109))+(C110)</f>
        <v>0</v>
      </c>
      <c r="D111" s="27">
        <f t="shared" si="4"/>
        <v>1643.2400000000002</v>
      </c>
      <c r="E111" s="28" t="str">
        <f t="shared" si="5"/>
        <v/>
      </c>
    </row>
    <row r="112" spans="1:5" x14ac:dyDescent="0.25">
      <c r="A112" s="3" t="s">
        <v>122</v>
      </c>
      <c r="B112" s="5">
        <f>689.6</f>
        <v>689.6</v>
      </c>
      <c r="C112" s="5">
        <f>435.52</f>
        <v>435.52</v>
      </c>
      <c r="D112" s="5">
        <f t="shared" si="4"/>
        <v>254.08000000000004</v>
      </c>
      <c r="E112" s="6">
        <f t="shared" si="5"/>
        <v>0.58339456282145497</v>
      </c>
    </row>
    <row r="113" spans="1:5" x14ac:dyDescent="0.25">
      <c r="A113" s="3" t="s">
        <v>124</v>
      </c>
      <c r="B113" s="4"/>
      <c r="C113" s="4"/>
      <c r="D113" s="5">
        <f t="shared" si="4"/>
        <v>0</v>
      </c>
      <c r="E113" s="6" t="str">
        <f t="shared" si="5"/>
        <v/>
      </c>
    </row>
    <row r="114" spans="1:5" x14ac:dyDescent="0.25">
      <c r="A114" s="3" t="s">
        <v>125</v>
      </c>
      <c r="B114" s="5">
        <f>73212.65</f>
        <v>73212.649999999994</v>
      </c>
      <c r="C114" s="5">
        <f>76112.21</f>
        <v>76112.210000000006</v>
      </c>
      <c r="D114" s="5">
        <f t="shared" si="4"/>
        <v>-2899.5600000000122</v>
      </c>
      <c r="E114" s="6">
        <f t="shared" si="5"/>
        <v>-3.8095858732784295E-2</v>
      </c>
    </row>
    <row r="115" spans="1:5" x14ac:dyDescent="0.25">
      <c r="A115" s="3" t="s">
        <v>127</v>
      </c>
      <c r="B115" s="5">
        <f>6668.75</f>
        <v>6668.75</v>
      </c>
      <c r="C115" s="5">
        <f>7209.26</f>
        <v>7209.26</v>
      </c>
      <c r="D115" s="5">
        <f t="shared" si="4"/>
        <v>-540.51000000000022</v>
      </c>
      <c r="E115" s="6">
        <f t="shared" si="5"/>
        <v>-7.497440791426585E-2</v>
      </c>
    </row>
    <row r="116" spans="1:5" x14ac:dyDescent="0.25">
      <c r="A116" s="3" t="s">
        <v>128</v>
      </c>
      <c r="B116" s="5">
        <f>2138.62</f>
        <v>2138.62</v>
      </c>
      <c r="C116" s="5">
        <f>3510.26</f>
        <v>3510.26</v>
      </c>
      <c r="D116" s="5">
        <f t="shared" si="4"/>
        <v>-1371.6400000000003</v>
      </c>
      <c r="E116" s="6">
        <f t="shared" si="5"/>
        <v>-0.39075168221157414</v>
      </c>
    </row>
    <row r="117" spans="1:5" x14ac:dyDescent="0.25">
      <c r="A117" s="3" t="s">
        <v>129</v>
      </c>
      <c r="B117" s="5">
        <f>28213.2</f>
        <v>28213.200000000001</v>
      </c>
      <c r="C117" s="5">
        <f>27935.4</f>
        <v>27935.4</v>
      </c>
      <c r="D117" s="5">
        <f t="shared" si="4"/>
        <v>277.79999999999927</v>
      </c>
      <c r="E117" s="6">
        <f t="shared" si="5"/>
        <v>9.9443716574668436E-3</v>
      </c>
    </row>
    <row r="118" spans="1:5" x14ac:dyDescent="0.25">
      <c r="A118" s="3" t="s">
        <v>130</v>
      </c>
      <c r="B118" s="9">
        <f>((((B113)+(B114))+(B115))+(B116))+(B117)</f>
        <v>110233.21999999999</v>
      </c>
      <c r="C118" s="9">
        <f>((((C113)+(C114))+(C115))+(C116))+(C117)</f>
        <v>114767.13</v>
      </c>
      <c r="D118" s="9">
        <f t="shared" si="4"/>
        <v>-4533.910000000018</v>
      </c>
      <c r="E118" s="10">
        <f t="shared" si="5"/>
        <v>-3.9505300864454987E-2</v>
      </c>
    </row>
    <row r="119" spans="1:5" x14ac:dyDescent="0.25">
      <c r="A119" s="3" t="s">
        <v>131</v>
      </c>
      <c r="B119" s="4"/>
      <c r="C119" s="4"/>
      <c r="D119" s="5">
        <f t="shared" si="4"/>
        <v>0</v>
      </c>
      <c r="E119" s="6" t="str">
        <f t="shared" si="5"/>
        <v/>
      </c>
    </row>
    <row r="120" spans="1:5" x14ac:dyDescent="0.25">
      <c r="A120" s="3" t="s">
        <v>132</v>
      </c>
      <c r="B120" s="5">
        <f>10000</f>
        <v>10000</v>
      </c>
      <c r="C120" s="4"/>
      <c r="D120" s="5">
        <f t="shared" si="4"/>
        <v>10000</v>
      </c>
      <c r="E120" s="6" t="str">
        <f t="shared" si="5"/>
        <v/>
      </c>
    </row>
    <row r="121" spans="1:5" x14ac:dyDescent="0.25">
      <c r="A121" s="3" t="s">
        <v>134</v>
      </c>
      <c r="B121" s="9">
        <f>(B119)+(B120)</f>
        <v>10000</v>
      </c>
      <c r="C121" s="9">
        <f>(C119)+(C120)</f>
        <v>0</v>
      </c>
      <c r="D121" s="9">
        <f t="shared" si="4"/>
        <v>10000</v>
      </c>
      <c r="E121" s="10" t="str">
        <f t="shared" si="5"/>
        <v/>
      </c>
    </row>
    <row r="122" spans="1:5" x14ac:dyDescent="0.25">
      <c r="A122" s="3" t="s">
        <v>136</v>
      </c>
      <c r="B122" s="4"/>
      <c r="C122" s="4"/>
      <c r="D122" s="5">
        <f t="shared" si="4"/>
        <v>0</v>
      </c>
      <c r="E122" s="6" t="str">
        <f t="shared" si="5"/>
        <v/>
      </c>
    </row>
    <row r="123" spans="1:5" x14ac:dyDescent="0.25">
      <c r="A123" s="3" t="s">
        <v>137</v>
      </c>
      <c r="B123" s="4"/>
      <c r="C123" s="5">
        <f>39.5</f>
        <v>39.5</v>
      </c>
      <c r="D123" s="5">
        <f t="shared" si="4"/>
        <v>-39.5</v>
      </c>
      <c r="E123" s="6">
        <f t="shared" si="5"/>
        <v>-1</v>
      </c>
    </row>
    <row r="124" spans="1:5" x14ac:dyDescent="0.25">
      <c r="A124" s="3" t="s">
        <v>138</v>
      </c>
      <c r="B124" s="5">
        <f>643.86</f>
        <v>643.86</v>
      </c>
      <c r="C124" s="5">
        <f>683.36</f>
        <v>683.36</v>
      </c>
      <c r="D124" s="5">
        <f t="shared" si="4"/>
        <v>-39.5</v>
      </c>
      <c r="E124" s="6">
        <f t="shared" si="5"/>
        <v>-5.7802622336689299E-2</v>
      </c>
    </row>
    <row r="125" spans="1:5" x14ac:dyDescent="0.25">
      <c r="A125" s="3" t="s">
        <v>139</v>
      </c>
      <c r="B125" s="5">
        <f>852.39</f>
        <v>852.39</v>
      </c>
      <c r="C125" s="5">
        <f>771.47</f>
        <v>771.47</v>
      </c>
      <c r="D125" s="5">
        <f t="shared" si="4"/>
        <v>80.919999999999959</v>
      </c>
      <c r="E125" s="6">
        <f t="shared" si="5"/>
        <v>0.1048906632791942</v>
      </c>
    </row>
    <row r="126" spans="1:5" x14ac:dyDescent="0.25">
      <c r="A126" s="3" t="s">
        <v>140</v>
      </c>
      <c r="B126" s="5">
        <f>0</f>
        <v>0</v>
      </c>
      <c r="C126" s="5">
        <f>0</f>
        <v>0</v>
      </c>
      <c r="D126" s="5">
        <f t="shared" si="4"/>
        <v>0</v>
      </c>
      <c r="E126" s="6" t="str">
        <f t="shared" si="5"/>
        <v/>
      </c>
    </row>
    <row r="127" spans="1:5" x14ac:dyDescent="0.25">
      <c r="A127" s="3" t="s">
        <v>142</v>
      </c>
      <c r="B127" s="5">
        <f>397.8</f>
        <v>397.8</v>
      </c>
      <c r="C127" s="5">
        <f>194.98</f>
        <v>194.98</v>
      </c>
      <c r="D127" s="5">
        <f t="shared" si="4"/>
        <v>202.82000000000002</v>
      </c>
      <c r="E127" s="6">
        <f t="shared" si="5"/>
        <v>1.0402092522309982</v>
      </c>
    </row>
    <row r="128" spans="1:5" x14ac:dyDescent="0.25">
      <c r="A128" s="3" t="s">
        <v>143</v>
      </c>
      <c r="B128" s="9">
        <f>(((((B122)+(B123))+(B124))+(B125))+(B126))+(B127)</f>
        <v>1894.05</v>
      </c>
      <c r="C128" s="9">
        <f>(((((C122)+(C123))+(C124))+(C125))+(C126))+(C127)</f>
        <v>1689.31</v>
      </c>
      <c r="D128" s="9">
        <f t="shared" si="4"/>
        <v>204.74</v>
      </c>
      <c r="E128" s="10">
        <f t="shared" si="5"/>
        <v>0.12119741196109655</v>
      </c>
    </row>
    <row r="129" spans="1:5" x14ac:dyDescent="0.25">
      <c r="A129" s="3" t="s">
        <v>144</v>
      </c>
      <c r="B129" s="5">
        <f>439.92</f>
        <v>439.92</v>
      </c>
      <c r="C129" s="5">
        <f>290</f>
        <v>290</v>
      </c>
      <c r="D129" s="5">
        <f t="shared" si="4"/>
        <v>149.92000000000002</v>
      </c>
      <c r="E129" s="6">
        <f t="shared" si="5"/>
        <v>0.5169655172413794</v>
      </c>
    </row>
    <row r="130" spans="1:5" x14ac:dyDescent="0.25">
      <c r="A130" s="3" t="s">
        <v>145</v>
      </c>
      <c r="B130" s="5">
        <f>4306.32</f>
        <v>4306.32</v>
      </c>
      <c r="C130" s="5">
        <f>3646.31</f>
        <v>3646.31</v>
      </c>
      <c r="D130" s="5">
        <f t="shared" si="4"/>
        <v>660.00999999999976</v>
      </c>
      <c r="E130" s="6">
        <f t="shared" si="5"/>
        <v>0.18100764882854167</v>
      </c>
    </row>
    <row r="131" spans="1:5" x14ac:dyDescent="0.25">
      <c r="A131" s="3" t="s">
        <v>146</v>
      </c>
      <c r="B131" s="5">
        <f>1643.65</f>
        <v>1643.65</v>
      </c>
      <c r="C131" s="5">
        <f>2014.68</f>
        <v>2014.68</v>
      </c>
      <c r="D131" s="5">
        <f t="shared" si="4"/>
        <v>-371.03</v>
      </c>
      <c r="E131" s="6">
        <f t="shared" si="5"/>
        <v>-0.18416324180515017</v>
      </c>
    </row>
    <row r="132" spans="1:5" x14ac:dyDescent="0.25">
      <c r="A132" s="3" t="s">
        <v>147</v>
      </c>
      <c r="B132" s="4"/>
      <c r="C132" s="4"/>
      <c r="D132" s="5">
        <f t="shared" si="4"/>
        <v>0</v>
      </c>
      <c r="E132" s="6" t="str">
        <f t="shared" si="5"/>
        <v/>
      </c>
    </row>
    <row r="133" spans="1:5" x14ac:dyDescent="0.25">
      <c r="A133" s="3" t="s">
        <v>148</v>
      </c>
      <c r="B133" s="5">
        <f>10</f>
        <v>10</v>
      </c>
      <c r="C133" s="5">
        <f>10</f>
        <v>10</v>
      </c>
      <c r="D133" s="5">
        <f t="shared" si="4"/>
        <v>0</v>
      </c>
      <c r="E133" s="6">
        <f t="shared" si="5"/>
        <v>0</v>
      </c>
    </row>
    <row r="134" spans="1:5" x14ac:dyDescent="0.25">
      <c r="A134" s="3" t="s">
        <v>149</v>
      </c>
      <c r="B134" s="5">
        <f>1200</f>
        <v>1200</v>
      </c>
      <c r="C134" s="5">
        <f>1200</f>
        <v>1200</v>
      </c>
      <c r="D134" s="5">
        <f t="shared" si="4"/>
        <v>0</v>
      </c>
      <c r="E134" s="6">
        <f t="shared" si="5"/>
        <v>0</v>
      </c>
    </row>
    <row r="135" spans="1:5" x14ac:dyDescent="0.25">
      <c r="A135" s="3" t="s">
        <v>150</v>
      </c>
      <c r="B135" s="9">
        <f>((B132)+(B133))+(B134)</f>
        <v>1210</v>
      </c>
      <c r="C135" s="9">
        <f>((C132)+(C133))+(C134)</f>
        <v>1210</v>
      </c>
      <c r="D135" s="9">
        <f t="shared" si="4"/>
        <v>0</v>
      </c>
      <c r="E135" s="10">
        <f t="shared" si="5"/>
        <v>0</v>
      </c>
    </row>
    <row r="136" spans="1:5" x14ac:dyDescent="0.25">
      <c r="A136" s="3" t="s">
        <v>151</v>
      </c>
      <c r="B136" s="5">
        <f>783.44</f>
        <v>783.44</v>
      </c>
      <c r="C136" s="5">
        <f>850.09</f>
        <v>850.09</v>
      </c>
      <c r="D136" s="5">
        <f t="shared" si="4"/>
        <v>-66.649999999999977</v>
      </c>
      <c r="E136" s="6">
        <f t="shared" si="5"/>
        <v>-7.840346316272391E-2</v>
      </c>
    </row>
    <row r="137" spans="1:5" x14ac:dyDescent="0.25">
      <c r="A137" s="3" t="s">
        <v>152</v>
      </c>
      <c r="B137" s="5">
        <f>13.49</f>
        <v>13.49</v>
      </c>
      <c r="C137" s="4"/>
      <c r="D137" s="5">
        <f t="shared" si="4"/>
        <v>13.49</v>
      </c>
      <c r="E137" s="6" t="str">
        <f t="shared" si="5"/>
        <v/>
      </c>
    </row>
    <row r="138" spans="1:5" x14ac:dyDescent="0.25">
      <c r="A138" s="3" t="s">
        <v>153</v>
      </c>
      <c r="B138" s="5">
        <f>112.52</f>
        <v>112.52</v>
      </c>
      <c r="C138" s="5">
        <f>81.58</f>
        <v>81.58</v>
      </c>
      <c r="D138" s="5">
        <f t="shared" si="4"/>
        <v>30.939999999999998</v>
      </c>
      <c r="E138" s="6">
        <f t="shared" si="5"/>
        <v>0.37925962245648442</v>
      </c>
    </row>
    <row r="139" spans="1:5" x14ac:dyDescent="0.25">
      <c r="A139" s="3" t="s">
        <v>154</v>
      </c>
      <c r="B139" s="9">
        <f>((B136)+(B137))+(B138)</f>
        <v>909.45</v>
      </c>
      <c r="C139" s="9">
        <f>((C136)+(C137))+(C138)</f>
        <v>931.67000000000007</v>
      </c>
      <c r="D139" s="9">
        <f t="shared" si="4"/>
        <v>-22.220000000000027</v>
      </c>
      <c r="E139" s="10">
        <f t="shared" si="5"/>
        <v>-2.3849646334002411E-2</v>
      </c>
    </row>
    <row r="140" spans="1:5" x14ac:dyDescent="0.25">
      <c r="A140" s="3" t="s">
        <v>155</v>
      </c>
      <c r="B140" s="5">
        <f>36</f>
        <v>36</v>
      </c>
      <c r="C140" s="5">
        <f>21</f>
        <v>21</v>
      </c>
      <c r="D140" s="5">
        <f t="shared" si="4"/>
        <v>15</v>
      </c>
      <c r="E140" s="6">
        <f t="shared" si="5"/>
        <v>0.7142857142857143</v>
      </c>
    </row>
    <row r="141" spans="1:5" x14ac:dyDescent="0.25">
      <c r="A141" s="3" t="s">
        <v>156</v>
      </c>
      <c r="B141" s="5">
        <f>411.16</f>
        <v>411.16</v>
      </c>
      <c r="C141" s="4"/>
      <c r="D141" s="5">
        <f t="shared" si="4"/>
        <v>411.16</v>
      </c>
      <c r="E141" s="6" t="str">
        <f t="shared" si="5"/>
        <v/>
      </c>
    </row>
    <row r="142" spans="1:5" x14ac:dyDescent="0.25">
      <c r="A142" s="3" t="s">
        <v>158</v>
      </c>
      <c r="B142" s="4"/>
      <c r="C142" s="4"/>
      <c r="D142" s="5">
        <f t="shared" si="4"/>
        <v>0</v>
      </c>
      <c r="E142" s="6" t="str">
        <f t="shared" si="5"/>
        <v/>
      </c>
    </row>
    <row r="143" spans="1:5" x14ac:dyDescent="0.25">
      <c r="A143" s="3" t="s">
        <v>159</v>
      </c>
      <c r="B143" s="5">
        <f>100</f>
        <v>100</v>
      </c>
      <c r="C143" s="4"/>
      <c r="D143" s="5">
        <f t="shared" si="4"/>
        <v>100</v>
      </c>
      <c r="E143" s="6" t="str">
        <f t="shared" si="5"/>
        <v/>
      </c>
    </row>
    <row r="144" spans="1:5" x14ac:dyDescent="0.25">
      <c r="A144" s="3" t="s">
        <v>160</v>
      </c>
      <c r="B144" s="9">
        <f>(B142)+(B143)</f>
        <v>100</v>
      </c>
      <c r="C144" s="9">
        <f>(C142)+(C143)</f>
        <v>0</v>
      </c>
      <c r="D144" s="9">
        <f t="shared" si="4"/>
        <v>100</v>
      </c>
      <c r="E144" s="10" t="str">
        <f t="shared" si="5"/>
        <v/>
      </c>
    </row>
    <row r="145" spans="1:5" x14ac:dyDescent="0.25">
      <c r="A145" s="3" t="s">
        <v>161</v>
      </c>
      <c r="B145" s="5">
        <f>197.75</f>
        <v>197.75</v>
      </c>
      <c r="C145" s="5">
        <f>319.01</f>
        <v>319.01</v>
      </c>
      <c r="D145" s="5">
        <f t="shared" si="4"/>
        <v>-121.25999999999999</v>
      </c>
      <c r="E145" s="6">
        <f t="shared" si="5"/>
        <v>-0.38011347606658097</v>
      </c>
    </row>
    <row r="146" spans="1:5" x14ac:dyDescent="0.25">
      <c r="A146" s="3" t="s">
        <v>162</v>
      </c>
      <c r="B146" s="4"/>
      <c r="C146" s="4"/>
      <c r="D146" s="5">
        <f t="shared" si="4"/>
        <v>0</v>
      </c>
      <c r="E146" s="6" t="str">
        <f t="shared" si="5"/>
        <v/>
      </c>
    </row>
    <row r="147" spans="1:5" x14ac:dyDescent="0.25">
      <c r="A147" s="3" t="s">
        <v>163</v>
      </c>
      <c r="B147" s="4"/>
      <c r="C147" s="5">
        <f>163.26</f>
        <v>163.26</v>
      </c>
      <c r="D147" s="5">
        <f t="shared" ref="D147:D151" si="6">(B147)-(C147)</f>
        <v>-163.26</v>
      </c>
      <c r="E147" s="6">
        <f t="shared" ref="E147:E151" si="7">IF(ABS((C147))=0,"",((B147)-(C147))/(ABS((C147))))</f>
        <v>-1</v>
      </c>
    </row>
    <row r="148" spans="1:5" x14ac:dyDescent="0.25">
      <c r="A148" s="3" t="s">
        <v>164</v>
      </c>
      <c r="B148" s="5">
        <f>993.26</f>
        <v>993.26</v>
      </c>
      <c r="C148" s="5">
        <f>3194.94</f>
        <v>3194.94</v>
      </c>
      <c r="D148" s="5">
        <f t="shared" si="6"/>
        <v>-2201.6800000000003</v>
      </c>
      <c r="E148" s="6">
        <f t="shared" si="7"/>
        <v>-0.6891146625601734</v>
      </c>
    </row>
    <row r="149" spans="1:5" x14ac:dyDescent="0.25">
      <c r="A149" s="3" t="s">
        <v>165</v>
      </c>
      <c r="B149" s="9">
        <f>((B146)+(B147))+(B148)</f>
        <v>993.26</v>
      </c>
      <c r="C149" s="9">
        <f>((C146)+(C147))+(C148)</f>
        <v>3358.2</v>
      </c>
      <c r="D149" s="9">
        <f t="shared" si="6"/>
        <v>-2364.9399999999996</v>
      </c>
      <c r="E149" s="10">
        <f t="shared" si="7"/>
        <v>-0.70422845572032633</v>
      </c>
    </row>
    <row r="150" spans="1:5" x14ac:dyDescent="0.25">
      <c r="A150" s="3" t="s">
        <v>166</v>
      </c>
      <c r="B150" s="9">
        <f>((((((((((((((((((((((((B85)+(B86))+(B87))+(B88))+(B89))+(B93))+(B96))+(B101))+(B106))+(B107))+(B111))+(B112))+(B118))+(B121))+(B128))+(B129))+(B130))+(B131))+(B135))+(B139))+(B140))+(B141))+(B144))+(B145))+(B149)</f>
        <v>198362.14000000004</v>
      </c>
      <c r="C150" s="9">
        <f>((((((((((((((((((((((((C85)+(C86))+(C87))+(C88))+(C89))+(C93))+(C96))+(C101))+(C106))+(C107))+(C111))+(C112))+(C118))+(C121))+(C128))+(C129))+(C130))+(C131))+(C135))+(C139))+(C140))+(C141))+(C144))+(C145))+(C149)</f>
        <v>194013.25000000003</v>
      </c>
      <c r="D150" s="9">
        <f t="shared" si="6"/>
        <v>4348.890000000014</v>
      </c>
      <c r="E150" s="10">
        <f t="shared" si="7"/>
        <v>2.2415427812275776E-2</v>
      </c>
    </row>
    <row r="151" spans="1:5" x14ac:dyDescent="0.25">
      <c r="A151" s="3" t="s">
        <v>167</v>
      </c>
      <c r="B151" s="9">
        <f>(B81)-(B150)</f>
        <v>82058.78</v>
      </c>
      <c r="C151" s="9">
        <f>(C81)-(C150)</f>
        <v>94481.420000000013</v>
      </c>
      <c r="D151" s="9">
        <f t="shared" si="6"/>
        <v>-12422.640000000014</v>
      </c>
      <c r="E151" s="10">
        <f t="shared" si="7"/>
        <v>-0.13148235917707432</v>
      </c>
    </row>
    <row r="152" spans="1:5" x14ac:dyDescent="0.25">
      <c r="A152" s="3" t="s">
        <v>184</v>
      </c>
      <c r="B152" s="4"/>
      <c r="C152" s="4"/>
      <c r="D152" s="4"/>
      <c r="E152" s="4"/>
    </row>
    <row r="153" spans="1:5" x14ac:dyDescent="0.25">
      <c r="A153" s="3" t="s">
        <v>185</v>
      </c>
      <c r="B153" s="4"/>
      <c r="C153" s="5">
        <f>0</f>
        <v>0</v>
      </c>
      <c r="D153" s="5">
        <f>(B153)-(C153)</f>
        <v>0</v>
      </c>
      <c r="E153" s="6" t="str">
        <f>IF(ABS((C153))=0,"",((B153)-(C153))/(ABS((C153))))</f>
        <v/>
      </c>
    </row>
    <row r="154" spans="1:5" x14ac:dyDescent="0.25">
      <c r="A154" s="3" t="s">
        <v>186</v>
      </c>
      <c r="B154" s="9">
        <f>B153</f>
        <v>0</v>
      </c>
      <c r="C154" s="9">
        <f>C153</f>
        <v>0</v>
      </c>
      <c r="D154" s="9">
        <f>(B154)-(C154)</f>
        <v>0</v>
      </c>
      <c r="E154" s="10" t="str">
        <f>IF(ABS((C154))=0,"",((B154)-(C154))/(ABS((C154))))</f>
        <v/>
      </c>
    </row>
    <row r="155" spans="1:5" x14ac:dyDescent="0.25">
      <c r="A155" s="3" t="s">
        <v>187</v>
      </c>
      <c r="B155" s="9">
        <f>(0)-(B154)</f>
        <v>0</v>
      </c>
      <c r="C155" s="9">
        <f>(0)-(C154)</f>
        <v>0</v>
      </c>
      <c r="D155" s="9">
        <f>(B155)-(C155)</f>
        <v>0</v>
      </c>
      <c r="E155" s="10" t="str">
        <f>IF(ABS((C155))=0,"",((B155)-(C155))/(ABS((C155))))</f>
        <v/>
      </c>
    </row>
    <row r="156" spans="1:5" x14ac:dyDescent="0.25">
      <c r="A156" s="3" t="s">
        <v>168</v>
      </c>
      <c r="B156" s="9">
        <f>(B151)+(B155)</f>
        <v>82058.78</v>
      </c>
      <c r="C156" s="9">
        <f>(C151)+(C155)</f>
        <v>94481.420000000013</v>
      </c>
      <c r="D156" s="9">
        <f>(B156)-(C156)</f>
        <v>-12422.640000000014</v>
      </c>
      <c r="E156" s="10">
        <f>IF(ABS((C156))=0,"",((B156)-(C156))/(ABS((C156))))</f>
        <v>-0.13148235917707432</v>
      </c>
    </row>
    <row r="157" spans="1:5" x14ac:dyDescent="0.25">
      <c r="A157" s="3"/>
      <c r="B157" s="4"/>
      <c r="C157" s="4"/>
      <c r="D157" s="4"/>
      <c r="E157" s="4"/>
    </row>
    <row r="160" spans="1:5" x14ac:dyDescent="0.25">
      <c r="A160" s="20" t="s">
        <v>188</v>
      </c>
      <c r="B160" s="21"/>
      <c r="C160" s="21"/>
      <c r="D160" s="21"/>
      <c r="E160" s="21"/>
    </row>
  </sheetData>
  <mergeCells count="5">
    <mergeCell ref="A1:E1"/>
    <mergeCell ref="A2:E2"/>
    <mergeCell ref="A3:E3"/>
    <mergeCell ref="B5:E5"/>
    <mergeCell ref="A160:E16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CAB013-C0D2-4952-AF71-828AEC99F0E2}">
  <sheetPr>
    <tabColor rgb="FFFF0000"/>
  </sheetPr>
  <dimension ref="A1:J56"/>
  <sheetViews>
    <sheetView topLeftCell="A30" zoomScale="145" zoomScaleNormal="145" workbookViewId="0">
      <selection activeCell="I39" sqref="I39:J39"/>
    </sheetView>
  </sheetViews>
  <sheetFormatPr defaultRowHeight="15" x14ac:dyDescent="0.25"/>
  <cols>
    <col min="1" max="1" width="30.140625" customWidth="1"/>
    <col min="2" max="5" width="18" customWidth="1"/>
    <col min="8" max="8" width="18.28515625" bestFit="1" customWidth="1"/>
    <col min="9" max="10" width="12.140625" bestFit="1" customWidth="1"/>
  </cols>
  <sheetData>
    <row r="1" spans="1:10" ht="18" x14ac:dyDescent="0.25">
      <c r="A1" s="22" t="s">
        <v>170</v>
      </c>
      <c r="B1" s="21"/>
      <c r="C1" s="21"/>
      <c r="D1" s="21"/>
      <c r="E1" s="21"/>
    </row>
    <row r="2" spans="1:10" ht="18" x14ac:dyDescent="0.25">
      <c r="A2" s="22" t="s">
        <v>174</v>
      </c>
      <c r="B2" s="21"/>
      <c r="C2" s="21"/>
      <c r="D2" s="21"/>
      <c r="E2" s="21"/>
    </row>
    <row r="3" spans="1:10" x14ac:dyDescent="0.25">
      <c r="A3" s="23" t="s">
        <v>175</v>
      </c>
      <c r="B3" s="21"/>
      <c r="C3" s="21"/>
      <c r="D3" s="21"/>
      <c r="E3" s="21"/>
    </row>
    <row r="5" spans="1:10" x14ac:dyDescent="0.25">
      <c r="A5" s="1"/>
      <c r="B5" s="18" t="s">
        <v>0</v>
      </c>
      <c r="C5" s="19"/>
      <c r="D5" s="19"/>
      <c r="E5" s="19"/>
    </row>
    <row r="6" spans="1:10" x14ac:dyDescent="0.25">
      <c r="A6" s="1"/>
      <c r="B6" s="2" t="s">
        <v>176</v>
      </c>
      <c r="C6" s="2" t="s">
        <v>177</v>
      </c>
      <c r="D6" s="2" t="s">
        <v>178</v>
      </c>
      <c r="E6" s="2" t="s">
        <v>179</v>
      </c>
    </row>
    <row r="7" spans="1:10" x14ac:dyDescent="0.25">
      <c r="A7" s="3" t="s">
        <v>5</v>
      </c>
      <c r="B7" s="4"/>
      <c r="C7" s="4"/>
      <c r="D7" s="4"/>
      <c r="E7" s="4"/>
    </row>
    <row r="8" spans="1:10" x14ac:dyDescent="0.25">
      <c r="A8" s="3" t="s">
        <v>6</v>
      </c>
      <c r="B8" s="5">
        <f>270000</f>
        <v>270000</v>
      </c>
      <c r="C8" s="5">
        <f>277400</f>
        <v>277400</v>
      </c>
      <c r="D8" s="5">
        <f t="shared" ref="D8:D14" si="0">(B8)-(C8)</f>
        <v>-7400</v>
      </c>
      <c r="E8" s="6">
        <f t="shared" ref="E8:E14" si="1">IF(ABS((C8))=0,"",((B8)-(C8))/(ABS((C8))))</f>
        <v>-2.6676279740447006E-2</v>
      </c>
    </row>
    <row r="9" spans="1:10" x14ac:dyDescent="0.25">
      <c r="A9" s="3" t="s">
        <v>11</v>
      </c>
      <c r="B9" s="5">
        <f>7893.45</f>
        <v>7893.45</v>
      </c>
      <c r="C9" s="5">
        <f>8565.32</f>
        <v>8565.32</v>
      </c>
      <c r="D9" s="5">
        <f t="shared" si="0"/>
        <v>-671.86999999999989</v>
      </c>
      <c r="E9" s="6">
        <f t="shared" si="1"/>
        <v>-7.8440735430783656E-2</v>
      </c>
    </row>
    <row r="10" spans="1:10" x14ac:dyDescent="0.25">
      <c r="A10" s="3" t="s">
        <v>180</v>
      </c>
      <c r="B10" s="4"/>
      <c r="C10" s="5">
        <f>0</f>
        <v>0</v>
      </c>
      <c r="D10" s="5">
        <f t="shared" si="0"/>
        <v>0</v>
      </c>
      <c r="E10" s="6" t="str">
        <f t="shared" si="1"/>
        <v/>
      </c>
    </row>
    <row r="11" spans="1:10" x14ac:dyDescent="0.25">
      <c r="A11" s="3" t="s">
        <v>22</v>
      </c>
      <c r="B11" s="4"/>
      <c r="C11" s="5">
        <f>1787.86</f>
        <v>1787.86</v>
      </c>
      <c r="D11" s="5">
        <f t="shared" si="0"/>
        <v>-1787.86</v>
      </c>
      <c r="E11" s="6">
        <f t="shared" si="1"/>
        <v>-1</v>
      </c>
    </row>
    <row r="12" spans="1:10" x14ac:dyDescent="0.25">
      <c r="A12" s="3" t="s">
        <v>23</v>
      </c>
      <c r="B12" s="5">
        <f>3161.34</f>
        <v>3161.34</v>
      </c>
      <c r="C12" s="5">
        <f>3045.59</f>
        <v>3045.59</v>
      </c>
      <c r="D12" s="5">
        <f t="shared" si="0"/>
        <v>115.75</v>
      </c>
      <c r="E12" s="6">
        <f t="shared" si="1"/>
        <v>3.8005772280576174E-2</v>
      </c>
      <c r="I12">
        <v>2023</v>
      </c>
      <c r="J12">
        <v>2022</v>
      </c>
    </row>
    <row r="13" spans="1:10" x14ac:dyDescent="0.25">
      <c r="A13" s="3" t="s">
        <v>85</v>
      </c>
      <c r="B13" s="5">
        <f>184.51</f>
        <v>184.51</v>
      </c>
      <c r="C13" s="5">
        <f>278.45</f>
        <v>278.45</v>
      </c>
      <c r="D13" s="5">
        <f t="shared" si="0"/>
        <v>-93.94</v>
      </c>
      <c r="E13" s="6">
        <f t="shared" si="1"/>
        <v>-0.33736757047943977</v>
      </c>
      <c r="H13" t="s">
        <v>373</v>
      </c>
      <c r="I13" s="17">
        <f>B9</f>
        <v>7893.45</v>
      </c>
      <c r="J13" s="17">
        <f>C9</f>
        <v>8565.32</v>
      </c>
    </row>
    <row r="14" spans="1:10" x14ac:dyDescent="0.25">
      <c r="A14" s="3" t="s">
        <v>86</v>
      </c>
      <c r="B14" s="9">
        <f>(((((B8)+(B9))+(B10))+(B11))+(B12))+(B13)</f>
        <v>281239.30000000005</v>
      </c>
      <c r="C14" s="9">
        <f>(((((C8)+(C9))+(C10))+(C11))+(C12))+(C13)</f>
        <v>291077.22000000003</v>
      </c>
      <c r="D14" s="9">
        <f t="shared" si="0"/>
        <v>-9837.9199999999837</v>
      </c>
      <c r="E14" s="10">
        <f t="shared" si="1"/>
        <v>-3.3798316474233134E-2</v>
      </c>
      <c r="H14" t="s">
        <v>367</v>
      </c>
      <c r="I14" s="17">
        <f>B12</f>
        <v>3161.34</v>
      </c>
      <c r="J14" s="17">
        <f>C12</f>
        <v>3045.59</v>
      </c>
    </row>
    <row r="15" spans="1:10" x14ac:dyDescent="0.25">
      <c r="A15" s="3" t="s">
        <v>87</v>
      </c>
      <c r="B15" s="4"/>
      <c r="C15" s="4"/>
      <c r="D15" s="4"/>
      <c r="E15" s="4"/>
      <c r="H15" t="s">
        <v>365</v>
      </c>
      <c r="I15" s="17">
        <f>B8</f>
        <v>270000</v>
      </c>
      <c r="J15" s="17">
        <f>C8</f>
        <v>277400</v>
      </c>
    </row>
    <row r="16" spans="1:10" x14ac:dyDescent="0.25">
      <c r="A16" s="3" t="s">
        <v>88</v>
      </c>
      <c r="B16" s="5">
        <f>689.7</f>
        <v>689.7</v>
      </c>
      <c r="C16" s="5">
        <f>2435.23</f>
        <v>2435.23</v>
      </c>
      <c r="D16" s="5">
        <f>(B16)-(C16)</f>
        <v>-1745.53</v>
      </c>
      <c r="E16" s="6">
        <f>IF(ABS((C16))=0,"",((B16)-(C16))/(ABS((C16))))</f>
        <v>-0.71678239837715529</v>
      </c>
    </row>
    <row r="17" spans="1:5" x14ac:dyDescent="0.25">
      <c r="A17" s="3" t="s">
        <v>89</v>
      </c>
      <c r="B17" s="5">
        <f>128.68</f>
        <v>128.68</v>
      </c>
      <c r="C17" s="5">
        <f>147.32</f>
        <v>147.32</v>
      </c>
      <c r="D17" s="5">
        <f>(B17)-(C17)</f>
        <v>-18.639999999999986</v>
      </c>
      <c r="E17" s="6">
        <f>IF(ABS((C17))=0,"",((B17)-(C17))/(ABS((C17))))</f>
        <v>-0.12652728753733361</v>
      </c>
    </row>
    <row r="18" spans="1:5" x14ac:dyDescent="0.25">
      <c r="A18" s="3" t="s">
        <v>90</v>
      </c>
      <c r="B18" s="9">
        <f>(B16)+(B17)</f>
        <v>818.38000000000011</v>
      </c>
      <c r="C18" s="9">
        <f>(C16)+(C17)</f>
        <v>2582.5500000000002</v>
      </c>
      <c r="D18" s="9">
        <f>(B18)-(C18)</f>
        <v>-1764.17</v>
      </c>
      <c r="E18" s="10">
        <f>IF(ABS((C18))=0,"",((B18)-(C18))/(ABS((C18))))</f>
        <v>-0.68311165321097367</v>
      </c>
    </row>
    <row r="19" spans="1:5" x14ac:dyDescent="0.25">
      <c r="A19" s="3" t="s">
        <v>91</v>
      </c>
      <c r="B19" s="9">
        <f>(B14)-(B18)</f>
        <v>280420.92000000004</v>
      </c>
      <c r="C19" s="9">
        <f>(C14)-(C18)</f>
        <v>288494.67000000004</v>
      </c>
      <c r="D19" s="9">
        <f>(B19)-(C19)</f>
        <v>-8073.75</v>
      </c>
      <c r="E19" s="10">
        <f>IF(ABS((C19))=0,"",((B19)-(C19))/(ABS((C19))))</f>
        <v>-2.7985785664601703E-2</v>
      </c>
    </row>
    <row r="20" spans="1:5" x14ac:dyDescent="0.25">
      <c r="A20" s="3" t="s">
        <v>92</v>
      </c>
      <c r="B20" s="4"/>
      <c r="C20" s="4"/>
      <c r="D20" s="4"/>
      <c r="E20" s="4"/>
    </row>
    <row r="21" spans="1:5" x14ac:dyDescent="0.25">
      <c r="A21" s="3" t="s">
        <v>93</v>
      </c>
      <c r="B21" s="5">
        <f>32572</f>
        <v>32572</v>
      </c>
      <c r="C21" s="5">
        <f>26378</f>
        <v>26378</v>
      </c>
      <c r="D21" s="5">
        <f t="shared" ref="D21:D47" si="2">(B21)-(C21)</f>
        <v>6194</v>
      </c>
      <c r="E21" s="6">
        <f t="shared" ref="E21:E47" si="3">IF(ABS((C21))=0,"",((B21)-(C21))/(ABS((C21))))</f>
        <v>0.2348168928652665</v>
      </c>
    </row>
    <row r="22" spans="1:5" x14ac:dyDescent="0.25">
      <c r="A22" s="3" t="s">
        <v>96</v>
      </c>
      <c r="B22" s="5">
        <f>250</f>
        <v>250</v>
      </c>
      <c r="C22" s="5">
        <f>528.95</f>
        <v>528.95000000000005</v>
      </c>
      <c r="D22" s="5">
        <f t="shared" si="2"/>
        <v>-278.95000000000005</v>
      </c>
      <c r="E22" s="6">
        <f t="shared" si="3"/>
        <v>-0.52736553549484833</v>
      </c>
    </row>
    <row r="23" spans="1:5" x14ac:dyDescent="0.25">
      <c r="A23" s="3" t="s">
        <v>97</v>
      </c>
      <c r="B23" s="5">
        <f>551.69</f>
        <v>551.69000000000005</v>
      </c>
      <c r="C23" s="5">
        <f>680.16</f>
        <v>680.16</v>
      </c>
      <c r="D23" s="5">
        <f t="shared" si="2"/>
        <v>-128.46999999999991</v>
      </c>
      <c r="E23" s="6">
        <f t="shared" si="3"/>
        <v>-0.18888202775817442</v>
      </c>
    </row>
    <row r="24" spans="1:5" x14ac:dyDescent="0.25">
      <c r="A24" s="3" t="s">
        <v>98</v>
      </c>
      <c r="B24" s="5">
        <f>2695.93</f>
        <v>2695.93</v>
      </c>
      <c r="C24" s="5">
        <f>4541.23</f>
        <v>4541.2299999999996</v>
      </c>
      <c r="D24" s="5">
        <f t="shared" si="2"/>
        <v>-1845.2999999999997</v>
      </c>
      <c r="E24" s="6">
        <f t="shared" si="3"/>
        <v>-0.40634365579369464</v>
      </c>
    </row>
    <row r="25" spans="1:5" x14ac:dyDescent="0.25">
      <c r="A25" s="3" t="s">
        <v>99</v>
      </c>
      <c r="B25" s="5">
        <f>2.97</f>
        <v>2.97</v>
      </c>
      <c r="C25" s="5">
        <f>229.71</f>
        <v>229.71</v>
      </c>
      <c r="D25" s="5">
        <f t="shared" si="2"/>
        <v>-226.74</v>
      </c>
      <c r="E25" s="6">
        <f t="shared" si="3"/>
        <v>-0.98707065430325192</v>
      </c>
    </row>
    <row r="26" spans="1:5" x14ac:dyDescent="0.25">
      <c r="A26" s="25" t="s">
        <v>100</v>
      </c>
      <c r="B26" s="29"/>
      <c r="C26" s="11">
        <f>1701.97</f>
        <v>1701.97</v>
      </c>
      <c r="D26" s="11">
        <f t="shared" si="2"/>
        <v>-1701.97</v>
      </c>
      <c r="E26" s="26">
        <f t="shared" si="3"/>
        <v>-1</v>
      </c>
    </row>
    <row r="27" spans="1:5" x14ac:dyDescent="0.25">
      <c r="A27" s="3" t="s">
        <v>104</v>
      </c>
      <c r="B27" s="5">
        <f>2535.34</f>
        <v>2535.34</v>
      </c>
      <c r="C27" s="5">
        <f>3416</f>
        <v>3416</v>
      </c>
      <c r="D27" s="5">
        <f t="shared" si="2"/>
        <v>-880.65999999999985</v>
      </c>
      <c r="E27" s="6">
        <f t="shared" si="3"/>
        <v>-0.25780444964871191</v>
      </c>
    </row>
    <row r="28" spans="1:5" x14ac:dyDescent="0.25">
      <c r="A28" s="25" t="s">
        <v>107</v>
      </c>
      <c r="B28" s="11">
        <f>19545.4</f>
        <v>19545.400000000001</v>
      </c>
      <c r="C28" s="11">
        <f>24207.74</f>
        <v>24207.74</v>
      </c>
      <c r="D28" s="11">
        <f t="shared" si="2"/>
        <v>-4662.34</v>
      </c>
      <c r="E28" s="26">
        <f t="shared" si="3"/>
        <v>-0.19259707845507262</v>
      </c>
    </row>
    <row r="29" spans="1:5" x14ac:dyDescent="0.25">
      <c r="A29" s="25" t="s">
        <v>112</v>
      </c>
      <c r="B29" s="11">
        <f>3958.34</f>
        <v>3958.34</v>
      </c>
      <c r="C29" s="11">
        <f>2206.66</f>
        <v>2206.66</v>
      </c>
      <c r="D29" s="11">
        <f t="shared" si="2"/>
        <v>1751.6800000000003</v>
      </c>
      <c r="E29" s="26">
        <f t="shared" si="3"/>
        <v>0.79381508705464388</v>
      </c>
    </row>
    <row r="30" spans="1:5" x14ac:dyDescent="0.25">
      <c r="A30" s="3" t="s">
        <v>117</v>
      </c>
      <c r="B30" s="5">
        <f>1542.85</f>
        <v>1542.85</v>
      </c>
      <c r="C30" s="5">
        <f>1440</f>
        <v>1440</v>
      </c>
      <c r="D30" s="5">
        <f t="shared" si="2"/>
        <v>102.84999999999991</v>
      </c>
      <c r="E30" s="6">
        <f t="shared" si="3"/>
        <v>7.1423611111111049E-2</v>
      </c>
    </row>
    <row r="31" spans="1:5" x14ac:dyDescent="0.25">
      <c r="A31" s="25" t="s">
        <v>118</v>
      </c>
      <c r="B31" s="11">
        <f>1643.24</f>
        <v>1643.24</v>
      </c>
      <c r="C31" s="29"/>
      <c r="D31" s="11">
        <f t="shared" si="2"/>
        <v>1643.24</v>
      </c>
      <c r="E31" s="26" t="str">
        <f t="shared" si="3"/>
        <v/>
      </c>
    </row>
    <row r="32" spans="1:5" x14ac:dyDescent="0.25">
      <c r="A32" s="3" t="s">
        <v>122</v>
      </c>
      <c r="B32" s="5">
        <f>689.6</f>
        <v>689.6</v>
      </c>
      <c r="C32" s="5">
        <f>435.52</f>
        <v>435.52</v>
      </c>
      <c r="D32" s="5">
        <f t="shared" si="2"/>
        <v>254.08000000000004</v>
      </c>
      <c r="E32" s="6">
        <f t="shared" si="3"/>
        <v>0.58339456282145497</v>
      </c>
    </row>
    <row r="33" spans="1:10" x14ac:dyDescent="0.25">
      <c r="A33" s="3" t="s">
        <v>124</v>
      </c>
      <c r="B33" s="5">
        <f>110233.22</f>
        <v>110233.22</v>
      </c>
      <c r="C33" s="5">
        <f>114767.13</f>
        <v>114767.13</v>
      </c>
      <c r="D33" s="5">
        <f t="shared" si="2"/>
        <v>-4533.9100000000035</v>
      </c>
      <c r="E33" s="6">
        <f t="shared" si="3"/>
        <v>-3.9505300864454862E-2</v>
      </c>
    </row>
    <row r="34" spans="1:10" x14ac:dyDescent="0.25">
      <c r="A34" s="3" t="s">
        <v>131</v>
      </c>
      <c r="B34" s="5">
        <f>10000</f>
        <v>10000</v>
      </c>
      <c r="C34" s="4"/>
      <c r="D34" s="5">
        <f t="shared" si="2"/>
        <v>10000</v>
      </c>
      <c r="E34" s="6" t="str">
        <f t="shared" si="3"/>
        <v/>
      </c>
      <c r="I34">
        <v>2023</v>
      </c>
      <c r="J34">
        <v>2022</v>
      </c>
    </row>
    <row r="35" spans="1:10" x14ac:dyDescent="0.25">
      <c r="A35" s="3" t="s">
        <v>136</v>
      </c>
      <c r="B35" s="5">
        <f>1894.05</f>
        <v>1894.05</v>
      </c>
      <c r="C35" s="5">
        <f>1689.31</f>
        <v>1689.31</v>
      </c>
      <c r="D35" s="5">
        <f t="shared" si="2"/>
        <v>204.74</v>
      </c>
      <c r="E35" s="6">
        <f t="shared" si="3"/>
        <v>0.12119741196109655</v>
      </c>
      <c r="H35" t="s">
        <v>376</v>
      </c>
      <c r="I35" s="17">
        <f>B31</f>
        <v>1643.24</v>
      </c>
      <c r="J35" s="17">
        <f>C31</f>
        <v>0</v>
      </c>
    </row>
    <row r="36" spans="1:10" x14ac:dyDescent="0.25">
      <c r="A36" s="3" t="s">
        <v>144</v>
      </c>
      <c r="B36" s="5">
        <f>439.92</f>
        <v>439.92</v>
      </c>
      <c r="C36" s="5">
        <f>290</f>
        <v>290</v>
      </c>
      <c r="D36" s="5">
        <f t="shared" si="2"/>
        <v>149.92000000000002</v>
      </c>
      <c r="E36" s="6">
        <f t="shared" si="3"/>
        <v>0.5169655172413794</v>
      </c>
      <c r="H36" t="s">
        <v>375</v>
      </c>
      <c r="I36" s="17">
        <f>B29</f>
        <v>3958.34</v>
      </c>
      <c r="J36" s="17">
        <f>C29</f>
        <v>2206.66</v>
      </c>
    </row>
    <row r="37" spans="1:10" x14ac:dyDescent="0.25">
      <c r="A37" s="3" t="s">
        <v>145</v>
      </c>
      <c r="B37" s="5">
        <f>4306.32</f>
        <v>4306.32</v>
      </c>
      <c r="C37" s="5">
        <f>3646.31</f>
        <v>3646.31</v>
      </c>
      <c r="D37" s="5">
        <f t="shared" si="2"/>
        <v>660.00999999999976</v>
      </c>
      <c r="E37" s="6">
        <f t="shared" si="3"/>
        <v>0.18100764882854167</v>
      </c>
      <c r="H37" t="s">
        <v>372</v>
      </c>
      <c r="I37" s="17">
        <f>B28</f>
        <v>19545.400000000001</v>
      </c>
      <c r="J37" s="17">
        <f>C28</f>
        <v>24207.74</v>
      </c>
    </row>
    <row r="38" spans="1:10" x14ac:dyDescent="0.25">
      <c r="A38" s="3" t="s">
        <v>146</v>
      </c>
      <c r="B38" s="5">
        <f>1643.65</f>
        <v>1643.65</v>
      </c>
      <c r="C38" s="5">
        <f>2014.68</f>
        <v>2014.68</v>
      </c>
      <c r="D38" s="5">
        <f t="shared" si="2"/>
        <v>-371.03</v>
      </c>
      <c r="E38" s="6">
        <f t="shared" si="3"/>
        <v>-0.18416324180515017</v>
      </c>
      <c r="H38" t="s">
        <v>374</v>
      </c>
      <c r="I38" s="17">
        <f>B26</f>
        <v>0</v>
      </c>
      <c r="J38" s="17">
        <f>C26</f>
        <v>1701.97</v>
      </c>
    </row>
    <row r="39" spans="1:10" x14ac:dyDescent="0.25">
      <c r="A39" s="3" t="s">
        <v>147</v>
      </c>
      <c r="B39" s="5">
        <f>1210</f>
        <v>1210</v>
      </c>
      <c r="C39" s="5">
        <f>1210</f>
        <v>1210</v>
      </c>
      <c r="D39" s="5">
        <f t="shared" si="2"/>
        <v>0</v>
      </c>
      <c r="E39" s="6">
        <f t="shared" si="3"/>
        <v>0</v>
      </c>
      <c r="H39" t="s">
        <v>371</v>
      </c>
      <c r="I39" s="30">
        <v>10000</v>
      </c>
      <c r="J39" s="30">
        <v>0</v>
      </c>
    </row>
    <row r="40" spans="1:10" x14ac:dyDescent="0.25">
      <c r="A40" s="3" t="s">
        <v>151</v>
      </c>
      <c r="B40" s="5">
        <f>909.45</f>
        <v>909.45</v>
      </c>
      <c r="C40" s="5">
        <f>931.67</f>
        <v>931.67</v>
      </c>
      <c r="D40" s="5">
        <f t="shared" si="2"/>
        <v>-22.219999999999914</v>
      </c>
      <c r="E40" s="6">
        <f t="shared" si="3"/>
        <v>-2.384964633400229E-2</v>
      </c>
    </row>
    <row r="41" spans="1:10" x14ac:dyDescent="0.25">
      <c r="A41" s="3" t="s">
        <v>155</v>
      </c>
      <c r="B41" s="5">
        <f>36</f>
        <v>36</v>
      </c>
      <c r="C41" s="5">
        <f>21</f>
        <v>21</v>
      </c>
      <c r="D41" s="5">
        <f t="shared" si="2"/>
        <v>15</v>
      </c>
      <c r="E41" s="6">
        <f t="shared" si="3"/>
        <v>0.7142857142857143</v>
      </c>
    </row>
    <row r="42" spans="1:10" x14ac:dyDescent="0.25">
      <c r="A42" s="3" t="s">
        <v>156</v>
      </c>
      <c r="B42" s="5">
        <f>411.16</f>
        <v>411.16</v>
      </c>
      <c r="C42" s="4"/>
      <c r="D42" s="5">
        <f t="shared" si="2"/>
        <v>411.16</v>
      </c>
      <c r="E42" s="6" t="str">
        <f t="shared" si="3"/>
        <v/>
      </c>
    </row>
    <row r="43" spans="1:10" x14ac:dyDescent="0.25">
      <c r="A43" s="3" t="s">
        <v>158</v>
      </c>
      <c r="B43" s="5">
        <f>100</f>
        <v>100</v>
      </c>
      <c r="C43" s="4"/>
      <c r="D43" s="5">
        <f t="shared" si="2"/>
        <v>100</v>
      </c>
      <c r="E43" s="6" t="str">
        <f t="shared" si="3"/>
        <v/>
      </c>
    </row>
    <row r="44" spans="1:10" x14ac:dyDescent="0.25">
      <c r="A44" s="3" t="s">
        <v>161</v>
      </c>
      <c r="B44" s="5">
        <f>197.75</f>
        <v>197.75</v>
      </c>
      <c r="C44" s="5">
        <f>319.01</f>
        <v>319.01</v>
      </c>
      <c r="D44" s="5">
        <f t="shared" si="2"/>
        <v>-121.25999999999999</v>
      </c>
      <c r="E44" s="6">
        <f t="shared" si="3"/>
        <v>-0.38011347606658097</v>
      </c>
    </row>
    <row r="45" spans="1:10" x14ac:dyDescent="0.25">
      <c r="A45" s="3" t="s">
        <v>162</v>
      </c>
      <c r="B45" s="5">
        <f>993.26</f>
        <v>993.26</v>
      </c>
      <c r="C45" s="5">
        <f>3358.2</f>
        <v>3358.2</v>
      </c>
      <c r="D45" s="5">
        <f t="shared" si="2"/>
        <v>-2364.9399999999996</v>
      </c>
      <c r="E45" s="6">
        <f t="shared" si="3"/>
        <v>-0.70422845572032633</v>
      </c>
    </row>
    <row r="46" spans="1:10" x14ac:dyDescent="0.25">
      <c r="A46" s="3" t="s">
        <v>166</v>
      </c>
      <c r="B46" s="9">
        <f>((((((((((((((((((((((((B21)+(B22))+(B23))+(B24))+(B25))+(B26))+(B27))+(B28))+(B29))+(B30))+(B31))+(B32))+(B33))+(B34))+(B35))+(B36))+(B37))+(B38))+(B39))+(B40))+(B41))+(B42))+(B43))+(B44))+(B45)</f>
        <v>198362.14000000004</v>
      </c>
      <c r="C46" s="9">
        <f>((((((((((((((((((((((((C21)+(C22))+(C23))+(C24))+(C25))+(C26))+(C27))+(C28))+(C29))+(C30))+(C31))+(C32))+(C33))+(C34))+(C35))+(C36))+(C37))+(C38))+(C39))+(C40))+(C41))+(C42))+(C43))+(C44))+(C45)</f>
        <v>194013.25000000003</v>
      </c>
      <c r="D46" s="9">
        <f t="shared" si="2"/>
        <v>4348.890000000014</v>
      </c>
      <c r="E46" s="10">
        <f t="shared" si="3"/>
        <v>2.2415427812275776E-2</v>
      </c>
    </row>
    <row r="47" spans="1:10" x14ac:dyDescent="0.25">
      <c r="A47" s="3" t="s">
        <v>167</v>
      </c>
      <c r="B47" s="9">
        <f>(B19)-(B46)</f>
        <v>82058.78</v>
      </c>
      <c r="C47" s="9">
        <f>(C19)-(C46)</f>
        <v>94481.420000000013</v>
      </c>
      <c r="D47" s="9">
        <f t="shared" si="2"/>
        <v>-12422.640000000014</v>
      </c>
      <c r="E47" s="10">
        <f t="shared" si="3"/>
        <v>-0.13148235917707432</v>
      </c>
    </row>
    <row r="48" spans="1:10" x14ac:dyDescent="0.25">
      <c r="A48" s="3" t="s">
        <v>184</v>
      </c>
      <c r="B48" s="4"/>
      <c r="C48" s="4"/>
      <c r="D48" s="4"/>
      <c r="E48" s="4"/>
    </row>
    <row r="49" spans="1:5" x14ac:dyDescent="0.25">
      <c r="A49" s="3" t="s">
        <v>185</v>
      </c>
      <c r="B49" s="4"/>
      <c r="C49" s="5">
        <f>0</f>
        <v>0</v>
      </c>
      <c r="D49" s="5">
        <f>(B49)-(C49)</f>
        <v>0</v>
      </c>
      <c r="E49" s="6" t="str">
        <f>IF(ABS((C49))=0,"",((B49)-(C49))/(ABS((C49))))</f>
        <v/>
      </c>
    </row>
    <row r="50" spans="1:5" x14ac:dyDescent="0.25">
      <c r="A50" s="3" t="s">
        <v>186</v>
      </c>
      <c r="B50" s="9">
        <f>B49</f>
        <v>0</v>
      </c>
      <c r="C50" s="9">
        <f>C49</f>
        <v>0</v>
      </c>
      <c r="D50" s="9">
        <f>(B50)-(C50)</f>
        <v>0</v>
      </c>
      <c r="E50" s="10" t="str">
        <f>IF(ABS((C50))=0,"",((B50)-(C50))/(ABS((C50))))</f>
        <v/>
      </c>
    </row>
    <row r="51" spans="1:5" x14ac:dyDescent="0.25">
      <c r="A51" s="3" t="s">
        <v>187</v>
      </c>
      <c r="B51" s="9">
        <f>(0)-(B50)</f>
        <v>0</v>
      </c>
      <c r="C51" s="9">
        <f>(0)-(C50)</f>
        <v>0</v>
      </c>
      <c r="D51" s="9">
        <f>(B51)-(C51)</f>
        <v>0</v>
      </c>
      <c r="E51" s="10" t="str">
        <f>IF(ABS((C51))=0,"",((B51)-(C51))/(ABS((C51))))</f>
        <v/>
      </c>
    </row>
    <row r="52" spans="1:5" x14ac:dyDescent="0.25">
      <c r="A52" s="3" t="s">
        <v>168</v>
      </c>
      <c r="B52" s="9">
        <f>(B47)+(B51)</f>
        <v>82058.78</v>
      </c>
      <c r="C52" s="9">
        <f>(C47)+(C51)</f>
        <v>94481.420000000013</v>
      </c>
      <c r="D52" s="9">
        <f>(B52)-(C52)</f>
        <v>-12422.640000000014</v>
      </c>
      <c r="E52" s="10">
        <f>IF(ABS((C52))=0,"",((B52)-(C52))/(ABS((C52))))</f>
        <v>-0.13148235917707432</v>
      </c>
    </row>
    <row r="53" spans="1:5" x14ac:dyDescent="0.25">
      <c r="A53" s="3"/>
      <c r="B53" s="4"/>
      <c r="C53" s="4"/>
      <c r="D53" s="4"/>
      <c r="E53" s="4"/>
    </row>
    <row r="56" spans="1:5" x14ac:dyDescent="0.25">
      <c r="A56" s="20" t="s">
        <v>189</v>
      </c>
      <c r="B56" s="21"/>
      <c r="C56" s="21"/>
      <c r="D56" s="21"/>
      <c r="E56" s="21"/>
    </row>
  </sheetData>
  <mergeCells count="5">
    <mergeCell ref="A1:E1"/>
    <mergeCell ref="A2:E2"/>
    <mergeCell ref="A3:E3"/>
    <mergeCell ref="B5:E5"/>
    <mergeCell ref="A56:E56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551C02-5A9C-4532-A9BF-D9B2F4936511}">
  <sheetPr>
    <tabColor rgb="FFFF0000"/>
  </sheetPr>
  <dimension ref="A1:K72"/>
  <sheetViews>
    <sheetView tabSelected="1" topLeftCell="A38" workbookViewId="0">
      <selection activeCell="B68" sqref="B68"/>
    </sheetView>
  </sheetViews>
  <sheetFormatPr defaultRowHeight="15" x14ac:dyDescent="0.25"/>
  <cols>
    <col min="1" max="1" width="41.28515625" customWidth="1"/>
    <col min="2" max="5" width="18" customWidth="1"/>
    <col min="9" max="9" width="20.140625" bestFit="1" customWidth="1"/>
    <col min="10" max="11" width="13.28515625" bestFit="1" customWidth="1"/>
  </cols>
  <sheetData>
    <row r="1" spans="1:11" ht="18" x14ac:dyDescent="0.25">
      <c r="A1" s="22" t="s">
        <v>170</v>
      </c>
      <c r="B1" s="21"/>
      <c r="C1" s="21"/>
      <c r="D1" s="21"/>
      <c r="E1" s="21"/>
    </row>
    <row r="2" spans="1:11" ht="18" x14ac:dyDescent="0.25">
      <c r="A2" s="22" t="s">
        <v>190</v>
      </c>
      <c r="B2" s="21"/>
      <c r="C2" s="21"/>
      <c r="D2" s="21"/>
      <c r="E2" s="21"/>
    </row>
    <row r="3" spans="1:11" x14ac:dyDescent="0.25">
      <c r="A3" s="23" t="s">
        <v>191</v>
      </c>
      <c r="B3" s="21"/>
      <c r="C3" s="21"/>
      <c r="D3" s="21"/>
      <c r="E3" s="21"/>
    </row>
    <row r="5" spans="1:11" x14ac:dyDescent="0.25">
      <c r="A5" s="1"/>
      <c r="B5" s="18" t="s">
        <v>0</v>
      </c>
      <c r="C5" s="19"/>
      <c r="D5" s="19"/>
      <c r="E5" s="19"/>
    </row>
    <row r="6" spans="1:11" ht="24.75" x14ac:dyDescent="0.25">
      <c r="A6" s="1"/>
      <c r="B6" s="2" t="s">
        <v>192</v>
      </c>
      <c r="C6" s="2" t="s">
        <v>193</v>
      </c>
      <c r="D6" s="2" t="s">
        <v>178</v>
      </c>
      <c r="E6" s="2" t="s">
        <v>179</v>
      </c>
    </row>
    <row r="7" spans="1:11" x14ac:dyDescent="0.25">
      <c r="A7" s="3" t="s">
        <v>194</v>
      </c>
      <c r="B7" s="4"/>
      <c r="C7" s="4"/>
      <c r="D7" s="4"/>
      <c r="E7" s="4"/>
    </row>
    <row r="8" spans="1:11" x14ac:dyDescent="0.25">
      <c r="A8" s="3" t="s">
        <v>195</v>
      </c>
      <c r="B8" s="4"/>
      <c r="C8" s="4"/>
      <c r="D8" s="4"/>
      <c r="E8" s="4"/>
      <c r="J8">
        <v>2023</v>
      </c>
      <c r="K8">
        <v>2022</v>
      </c>
    </row>
    <row r="9" spans="1:11" x14ac:dyDescent="0.25">
      <c r="A9" s="3" t="s">
        <v>196</v>
      </c>
      <c r="B9" s="4"/>
      <c r="C9" s="4"/>
      <c r="D9" s="4"/>
      <c r="E9" s="4"/>
      <c r="I9" t="s">
        <v>379</v>
      </c>
      <c r="J9" s="17">
        <f>B23</f>
        <v>1192182</v>
      </c>
      <c r="K9" s="17">
        <f>C23</f>
        <v>1300447</v>
      </c>
    </row>
    <row r="10" spans="1:11" x14ac:dyDescent="0.25">
      <c r="A10" s="3" t="s">
        <v>197</v>
      </c>
      <c r="B10" s="5">
        <f>24809.84</f>
        <v>24809.84</v>
      </c>
      <c r="C10" s="5">
        <f>45220.18</f>
        <v>45220.18</v>
      </c>
      <c r="D10" s="5">
        <f t="shared" ref="D10:D16" si="0">(B10)-(C10)</f>
        <v>-20410.34</v>
      </c>
      <c r="E10" s="6">
        <f t="shared" ref="E10:E16" si="1">IF(ABS((C10))=0,"",((B10)-(C10))/(ABS((C10))))</f>
        <v>-0.45135468279869739</v>
      </c>
      <c r="I10" t="s">
        <v>378</v>
      </c>
      <c r="J10" s="31">
        <f>B20</f>
        <v>1305.8499999999999</v>
      </c>
      <c r="K10" s="31">
        <f>C20</f>
        <v>1300</v>
      </c>
    </row>
    <row r="11" spans="1:11" x14ac:dyDescent="0.25">
      <c r="A11" s="3" t="s">
        <v>198</v>
      </c>
      <c r="B11" s="5">
        <f>68901.5</f>
        <v>68901.5</v>
      </c>
      <c r="C11" s="5">
        <f>68729.68</f>
        <v>68729.679999999993</v>
      </c>
      <c r="D11" s="5">
        <f t="shared" si="0"/>
        <v>171.82000000000698</v>
      </c>
      <c r="E11" s="6">
        <f t="shared" si="1"/>
        <v>2.4999388910294214E-3</v>
      </c>
      <c r="I11" t="s">
        <v>377</v>
      </c>
      <c r="J11" s="31">
        <f>B16</f>
        <v>389738.54000000004</v>
      </c>
      <c r="K11" s="31">
        <f>C16</f>
        <v>385516.36</v>
      </c>
    </row>
    <row r="12" spans="1:11" x14ac:dyDescent="0.25">
      <c r="A12" s="3" t="s">
        <v>199</v>
      </c>
      <c r="B12" s="5">
        <f>793.87</f>
        <v>793.87</v>
      </c>
      <c r="C12" s="5">
        <f>793.87</f>
        <v>793.87</v>
      </c>
      <c r="D12" s="5">
        <f t="shared" si="0"/>
        <v>0</v>
      </c>
      <c r="E12" s="6">
        <f t="shared" si="1"/>
        <v>0</v>
      </c>
    </row>
    <row r="13" spans="1:11" x14ac:dyDescent="0.25">
      <c r="A13" s="3" t="s">
        <v>200</v>
      </c>
      <c r="B13" s="5">
        <f>42671.75</f>
        <v>42671.75</v>
      </c>
      <c r="C13" s="5">
        <f>37637.54</f>
        <v>37637.54</v>
      </c>
      <c r="D13" s="5">
        <f t="shared" si="0"/>
        <v>5034.2099999999991</v>
      </c>
      <c r="E13" s="6">
        <f t="shared" si="1"/>
        <v>0.13375502224640609</v>
      </c>
    </row>
    <row r="14" spans="1:11" x14ac:dyDescent="0.25">
      <c r="A14" s="3" t="s">
        <v>201</v>
      </c>
      <c r="B14" s="5">
        <f>252382.55</f>
        <v>252382.55</v>
      </c>
      <c r="C14" s="5">
        <f>232943.06</f>
        <v>232943.06</v>
      </c>
      <c r="D14" s="5">
        <f t="shared" si="0"/>
        <v>19439.489999999991</v>
      </c>
      <c r="E14" s="6">
        <f t="shared" si="1"/>
        <v>8.3451681282112417E-2</v>
      </c>
    </row>
    <row r="15" spans="1:11" x14ac:dyDescent="0.25">
      <c r="A15" s="3" t="s">
        <v>202</v>
      </c>
      <c r="B15" s="5">
        <f>179.03</f>
        <v>179.03</v>
      </c>
      <c r="C15" s="5">
        <f>192.03</f>
        <v>192.03</v>
      </c>
      <c r="D15" s="5">
        <f t="shared" si="0"/>
        <v>-13</v>
      </c>
      <c r="E15" s="6">
        <f t="shared" si="1"/>
        <v>-6.769775555902724E-2</v>
      </c>
    </row>
    <row r="16" spans="1:11" x14ac:dyDescent="0.25">
      <c r="A16" s="3" t="s">
        <v>203</v>
      </c>
      <c r="B16" s="9">
        <f>(((((B10)+(B11))+(B12))+(B13))+(B14))+(B15)</f>
        <v>389738.54000000004</v>
      </c>
      <c r="C16" s="9">
        <f>(((((C10)+(C11))+(C12))+(C13))+(C14))+(C15)</f>
        <v>385516.36</v>
      </c>
      <c r="D16" s="9">
        <f t="shared" si="0"/>
        <v>4222.1800000000512</v>
      </c>
      <c r="E16" s="10">
        <f t="shared" si="1"/>
        <v>1.0952012516407997E-2</v>
      </c>
    </row>
    <row r="17" spans="1:11" x14ac:dyDescent="0.25">
      <c r="A17" s="3" t="s">
        <v>204</v>
      </c>
      <c r="B17" s="4"/>
      <c r="C17" s="4"/>
      <c r="D17" s="4"/>
      <c r="E17" s="4"/>
    </row>
    <row r="18" spans="1:11" x14ac:dyDescent="0.25">
      <c r="A18" s="3" t="s">
        <v>205</v>
      </c>
      <c r="B18" s="5">
        <f>1305.85</f>
        <v>1305.8499999999999</v>
      </c>
      <c r="C18" s="5">
        <f>1300</f>
        <v>1300</v>
      </c>
      <c r="D18" s="5">
        <f>(B18)-(C18)</f>
        <v>5.8499999999999091</v>
      </c>
      <c r="E18" s="6">
        <f>IF(ABS((C18))=0,"",((B18)-(C18))/(ABS((C18))))</f>
        <v>4.4999999999999303E-3</v>
      </c>
    </row>
    <row r="19" spans="1:11" x14ac:dyDescent="0.25">
      <c r="A19" s="3" t="s">
        <v>206</v>
      </c>
      <c r="B19" s="5">
        <f>0</f>
        <v>0</v>
      </c>
      <c r="C19" s="5">
        <f>0</f>
        <v>0</v>
      </c>
      <c r="D19" s="5">
        <f>(B19)-(C19)</f>
        <v>0</v>
      </c>
      <c r="E19" s="6" t="str">
        <f>IF(ABS((C19))=0,"",((B19)-(C19))/(ABS((C19))))</f>
        <v/>
      </c>
    </row>
    <row r="20" spans="1:11" x14ac:dyDescent="0.25">
      <c r="A20" s="3" t="s">
        <v>207</v>
      </c>
      <c r="B20" s="9">
        <f>(B18)+(B19)</f>
        <v>1305.8499999999999</v>
      </c>
      <c r="C20" s="9">
        <f>(C18)+(C19)</f>
        <v>1300</v>
      </c>
      <c r="D20" s="9">
        <f>(B20)-(C20)</f>
        <v>5.8499999999999091</v>
      </c>
      <c r="E20" s="10">
        <f>IF(ABS((C20))=0,"",((B20)-(C20))/(ABS((C20))))</f>
        <v>4.4999999999999303E-3</v>
      </c>
    </row>
    <row r="21" spans="1:11" x14ac:dyDescent="0.25">
      <c r="A21" s="3" t="s">
        <v>208</v>
      </c>
      <c r="B21" s="4"/>
      <c r="C21" s="4"/>
      <c r="D21" s="4"/>
      <c r="E21" s="4"/>
    </row>
    <row r="22" spans="1:11" x14ac:dyDescent="0.25">
      <c r="A22" s="3" t="s">
        <v>209</v>
      </c>
      <c r="B22" s="5">
        <f>3237.97</f>
        <v>3237.97</v>
      </c>
      <c r="C22" s="5">
        <f>1677.93</f>
        <v>1677.93</v>
      </c>
      <c r="D22" s="5">
        <f t="shared" ref="D22:D30" si="2">(B22)-(C22)</f>
        <v>1560.0399999999997</v>
      </c>
      <c r="E22" s="6">
        <f t="shared" ref="E22:E30" si="3">IF(ABS((C22))=0,"",((B22)-(C22))/(ABS((C22))))</f>
        <v>0.92974081159523914</v>
      </c>
    </row>
    <row r="23" spans="1:11" x14ac:dyDescent="0.25">
      <c r="A23" s="3" t="s">
        <v>210</v>
      </c>
      <c r="B23" s="5">
        <f>1192182</f>
        <v>1192182</v>
      </c>
      <c r="C23" s="5">
        <f>1300447</f>
        <v>1300447</v>
      </c>
      <c r="D23" s="5">
        <f t="shared" si="2"/>
        <v>-108265</v>
      </c>
      <c r="E23" s="6">
        <f t="shared" si="3"/>
        <v>-8.3252143301495565E-2</v>
      </c>
    </row>
    <row r="24" spans="1:11" x14ac:dyDescent="0.25">
      <c r="A24" s="3" t="s">
        <v>211</v>
      </c>
      <c r="B24" s="5">
        <f>19637.42</f>
        <v>19637.419999999998</v>
      </c>
      <c r="C24" s="5">
        <f>19423.42</f>
        <v>19423.419999999998</v>
      </c>
      <c r="D24" s="5">
        <f t="shared" si="2"/>
        <v>214</v>
      </c>
      <c r="E24" s="6">
        <f t="shared" si="3"/>
        <v>1.1017627173793287E-2</v>
      </c>
    </row>
    <row r="25" spans="1:11" x14ac:dyDescent="0.25">
      <c r="A25" s="3" t="s">
        <v>212</v>
      </c>
      <c r="B25" s="5">
        <f>0</f>
        <v>0</v>
      </c>
      <c r="C25" s="5">
        <f>0</f>
        <v>0</v>
      </c>
      <c r="D25" s="5">
        <f t="shared" si="2"/>
        <v>0</v>
      </c>
      <c r="E25" s="6" t="str">
        <f t="shared" si="3"/>
        <v/>
      </c>
    </row>
    <row r="26" spans="1:11" x14ac:dyDescent="0.25">
      <c r="A26" s="3" t="s">
        <v>213</v>
      </c>
      <c r="B26" s="5">
        <f>600</f>
        <v>600</v>
      </c>
      <c r="C26" s="5">
        <f>600</f>
        <v>600</v>
      </c>
      <c r="D26" s="5">
        <f t="shared" si="2"/>
        <v>0</v>
      </c>
      <c r="E26" s="6">
        <f t="shared" si="3"/>
        <v>0</v>
      </c>
    </row>
    <row r="27" spans="1:11" x14ac:dyDescent="0.25">
      <c r="A27" s="3" t="s">
        <v>214</v>
      </c>
      <c r="B27" s="5">
        <f>9.31</f>
        <v>9.31</v>
      </c>
      <c r="C27" s="5">
        <f>9.31</f>
        <v>9.31</v>
      </c>
      <c r="D27" s="5">
        <f t="shared" si="2"/>
        <v>0</v>
      </c>
      <c r="E27" s="6">
        <f t="shared" si="3"/>
        <v>0</v>
      </c>
    </row>
    <row r="28" spans="1:11" x14ac:dyDescent="0.25">
      <c r="A28" s="3" t="s">
        <v>215</v>
      </c>
      <c r="B28" s="5">
        <f>0</f>
        <v>0</v>
      </c>
      <c r="C28" s="5">
        <f>0</f>
        <v>0</v>
      </c>
      <c r="D28" s="5">
        <f t="shared" si="2"/>
        <v>0</v>
      </c>
      <c r="E28" s="6" t="str">
        <f t="shared" si="3"/>
        <v/>
      </c>
    </row>
    <row r="29" spans="1:11" x14ac:dyDescent="0.25">
      <c r="A29" s="3" t="s">
        <v>216</v>
      </c>
      <c r="B29" s="9">
        <f>((((((B22)+(B23))+(B24))+(B25))+(B26))+(B27))+(B28)</f>
        <v>1215666.7</v>
      </c>
      <c r="C29" s="9">
        <f>((((((C22)+(C23))+(C24))+(C25))+(C26))+(C27))+(C28)</f>
        <v>1322157.6599999999</v>
      </c>
      <c r="D29" s="9">
        <f t="shared" si="2"/>
        <v>-106490.95999999996</v>
      </c>
      <c r="E29" s="10">
        <f t="shared" si="3"/>
        <v>-8.0543314327581758E-2</v>
      </c>
    </row>
    <row r="30" spans="1:11" x14ac:dyDescent="0.25">
      <c r="A30" s="3" t="s">
        <v>217</v>
      </c>
      <c r="B30" s="9">
        <f>((B16)+(B20))+(B29)</f>
        <v>1606711.0899999999</v>
      </c>
      <c r="C30" s="9">
        <f>((C16)+(C20))+(C29)</f>
        <v>1708974.02</v>
      </c>
      <c r="D30" s="9">
        <f t="shared" si="2"/>
        <v>-102262.93000000017</v>
      </c>
      <c r="E30" s="10">
        <f t="shared" si="3"/>
        <v>-5.9838785612434393E-2</v>
      </c>
    </row>
    <row r="31" spans="1:11" x14ac:dyDescent="0.25">
      <c r="A31" s="3" t="s">
        <v>218</v>
      </c>
      <c r="B31" s="4"/>
      <c r="C31" s="4"/>
      <c r="D31" s="4"/>
      <c r="E31" s="4"/>
      <c r="J31">
        <v>2023</v>
      </c>
      <c r="K31">
        <v>2022</v>
      </c>
    </row>
    <row r="32" spans="1:11" x14ac:dyDescent="0.25">
      <c r="A32" s="3" t="s">
        <v>219</v>
      </c>
      <c r="B32" s="5">
        <f>74227</f>
        <v>74227</v>
      </c>
      <c r="C32" s="5">
        <f>74227</f>
        <v>74227</v>
      </c>
      <c r="D32" s="5">
        <f>(B32)-(C32)</f>
        <v>0</v>
      </c>
      <c r="E32" s="6">
        <f>IF(ABS((C32))=0,"",((B32)-(C32))/(ABS((C32))))</f>
        <v>0</v>
      </c>
      <c r="I32" t="s">
        <v>382</v>
      </c>
      <c r="J32" s="31">
        <f>B48</f>
        <v>595.02</v>
      </c>
      <c r="K32" s="31">
        <f>C48</f>
        <v>898.77</v>
      </c>
    </row>
    <row r="33" spans="1:11" x14ac:dyDescent="0.25">
      <c r="A33" s="3" t="s">
        <v>220</v>
      </c>
      <c r="B33" s="5">
        <f>1526.59</f>
        <v>1526.59</v>
      </c>
      <c r="C33" s="5">
        <f>6873.07</f>
        <v>6873.07</v>
      </c>
      <c r="D33" s="5">
        <f>(B33)-(C33)</f>
        <v>-5346.48</v>
      </c>
      <c r="E33" s="6">
        <f>IF(ABS((C33))=0,"",((B33)-(C33))/(ABS((C33))))</f>
        <v>-0.77788819261261699</v>
      </c>
      <c r="I33" t="s">
        <v>381</v>
      </c>
      <c r="J33" s="31">
        <f>B45</f>
        <v>5216.53</v>
      </c>
      <c r="K33" s="31">
        <f>C45</f>
        <v>8046.01</v>
      </c>
    </row>
    <row r="34" spans="1:11" x14ac:dyDescent="0.25">
      <c r="A34" s="3" t="s">
        <v>221</v>
      </c>
      <c r="B34" s="5">
        <f>22684.64</f>
        <v>22684.639999999999</v>
      </c>
      <c r="C34" s="5">
        <f>22684.64</f>
        <v>22684.639999999999</v>
      </c>
      <c r="D34" s="5">
        <f>(B34)-(C34)</f>
        <v>0</v>
      </c>
      <c r="E34" s="6">
        <f>IF(ABS((C34))=0,"",((B34)-(C34))/(ABS((C34))))</f>
        <v>0</v>
      </c>
      <c r="I34" t="s">
        <v>380</v>
      </c>
      <c r="J34" s="17">
        <f>B66</f>
        <v>82058.78</v>
      </c>
      <c r="K34" s="17">
        <f>C66</f>
        <v>94481.42</v>
      </c>
    </row>
    <row r="35" spans="1:11" x14ac:dyDescent="0.25">
      <c r="A35" s="3" t="s">
        <v>222</v>
      </c>
      <c r="B35" s="9">
        <f>((B32)+(B33))+(B34)</f>
        <v>98438.23</v>
      </c>
      <c r="C35" s="9">
        <f>((C32)+(C33))+(C34)</f>
        <v>103784.71</v>
      </c>
      <c r="D35" s="9">
        <f>(B35)-(C35)</f>
        <v>-5346.4800000000105</v>
      </c>
      <c r="E35" s="10">
        <f>IF(ABS((C35))=0,"",((B35)-(C35))/(ABS((C35))))</f>
        <v>-5.15151027545388E-2</v>
      </c>
    </row>
    <row r="36" spans="1:11" x14ac:dyDescent="0.25">
      <c r="A36" s="3" t="s">
        <v>223</v>
      </c>
      <c r="B36" s="4"/>
      <c r="C36" s="4"/>
      <c r="D36" s="4"/>
      <c r="E36" s="4"/>
    </row>
    <row r="37" spans="1:11" x14ac:dyDescent="0.25">
      <c r="A37" s="3" t="s">
        <v>224</v>
      </c>
      <c r="B37" s="5">
        <f>1283.09</f>
        <v>1283.0899999999999</v>
      </c>
      <c r="C37" s="5">
        <f>1283.09</f>
        <v>1283.0899999999999</v>
      </c>
      <c r="D37" s="5">
        <f>(B37)-(C37)</f>
        <v>0</v>
      </c>
      <c r="E37" s="6">
        <f>IF(ABS((C37))=0,"",((B37)-(C37))/(ABS((C37))))</f>
        <v>0</v>
      </c>
    </row>
    <row r="38" spans="1:11" x14ac:dyDescent="0.25">
      <c r="A38" s="3" t="s">
        <v>225</v>
      </c>
      <c r="B38" s="9">
        <f>B37</f>
        <v>1283.0899999999999</v>
      </c>
      <c r="C38" s="9">
        <f>C37</f>
        <v>1283.0899999999999</v>
      </c>
      <c r="D38" s="9">
        <f>(B38)-(C38)</f>
        <v>0</v>
      </c>
      <c r="E38" s="10">
        <f>IF(ABS((C38))=0,"",((B38)-(C38))/(ABS((C38))))</f>
        <v>0</v>
      </c>
    </row>
    <row r="39" spans="1:11" x14ac:dyDescent="0.25">
      <c r="A39" s="3" t="s">
        <v>226</v>
      </c>
      <c r="B39" s="9">
        <f>((B30)+(B35))+(B38)</f>
        <v>1706432.41</v>
      </c>
      <c r="C39" s="9">
        <f>((C30)+(C35))+(C38)</f>
        <v>1814041.82</v>
      </c>
      <c r="D39" s="9">
        <f>(B39)-(C39)</f>
        <v>-107609.41000000015</v>
      </c>
      <c r="E39" s="10">
        <f>IF(ABS((C39))=0,"",((B39)-(C39))/(ABS((C39))))</f>
        <v>-5.9320247644566511E-2</v>
      </c>
    </row>
    <row r="40" spans="1:11" x14ac:dyDescent="0.25">
      <c r="A40" s="3" t="s">
        <v>227</v>
      </c>
      <c r="B40" s="4"/>
      <c r="C40" s="4"/>
      <c r="D40" s="4"/>
      <c r="E40" s="4"/>
    </row>
    <row r="41" spans="1:11" x14ac:dyDescent="0.25">
      <c r="A41" s="3" t="s">
        <v>228</v>
      </c>
      <c r="B41" s="4"/>
      <c r="C41" s="4"/>
      <c r="D41" s="4"/>
      <c r="E41" s="4"/>
    </row>
    <row r="42" spans="1:11" x14ac:dyDescent="0.25">
      <c r="A42" s="3" t="s">
        <v>229</v>
      </c>
      <c r="B42" s="4"/>
      <c r="C42" s="4"/>
      <c r="D42" s="4"/>
      <c r="E42" s="4"/>
    </row>
    <row r="43" spans="1:11" x14ac:dyDescent="0.25">
      <c r="A43" s="3" t="s">
        <v>230</v>
      </c>
      <c r="B43" s="4"/>
      <c r="C43" s="4"/>
      <c r="D43" s="4"/>
      <c r="E43" s="4"/>
    </row>
    <row r="44" spans="1:11" x14ac:dyDescent="0.25">
      <c r="A44" s="3" t="s">
        <v>231</v>
      </c>
      <c r="B44" s="5">
        <f>5216.53</f>
        <v>5216.53</v>
      </c>
      <c r="C44" s="5">
        <f>8046.01</f>
        <v>8046.01</v>
      </c>
      <c r="D44" s="5">
        <f>(B44)-(C44)</f>
        <v>-2829.4800000000005</v>
      </c>
      <c r="E44" s="6">
        <f>IF(ABS((C44))=0,"",((B44)-(C44))/(ABS((C44))))</f>
        <v>-0.35166250104088864</v>
      </c>
    </row>
    <row r="45" spans="1:11" x14ac:dyDescent="0.25">
      <c r="A45" s="3" t="s">
        <v>232</v>
      </c>
      <c r="B45" s="9">
        <f>B44</f>
        <v>5216.53</v>
      </c>
      <c r="C45" s="9">
        <f>C44</f>
        <v>8046.01</v>
      </c>
      <c r="D45" s="9">
        <f>(B45)-(C45)</f>
        <v>-2829.4800000000005</v>
      </c>
      <c r="E45" s="10">
        <f>IF(ABS((C45))=0,"",((B45)-(C45))/(ABS((C45))))</f>
        <v>-0.35166250104088864</v>
      </c>
    </row>
    <row r="46" spans="1:11" x14ac:dyDescent="0.25">
      <c r="A46" s="3" t="s">
        <v>233</v>
      </c>
      <c r="B46" s="4"/>
      <c r="C46" s="4"/>
      <c r="D46" s="4"/>
      <c r="E46" s="4"/>
    </row>
    <row r="47" spans="1:11" x14ac:dyDescent="0.25">
      <c r="A47" s="3" t="s">
        <v>234</v>
      </c>
      <c r="B47" s="5">
        <f>595.02</f>
        <v>595.02</v>
      </c>
      <c r="C47" s="5">
        <f>898.77</f>
        <v>898.77</v>
      </c>
      <c r="D47" s="5">
        <f>(B47)-(C47)</f>
        <v>-303.75</v>
      </c>
      <c r="E47" s="6">
        <f>IF(ABS((C47))=0,"",((B47)-(C47))/(ABS((C47))))</f>
        <v>-0.3379618812376915</v>
      </c>
    </row>
    <row r="48" spans="1:11" x14ac:dyDescent="0.25">
      <c r="A48" s="3" t="s">
        <v>235</v>
      </c>
      <c r="B48" s="9">
        <f>B47</f>
        <v>595.02</v>
      </c>
      <c r="C48" s="9">
        <f>C47</f>
        <v>898.77</v>
      </c>
      <c r="D48" s="9">
        <f>(B48)-(C48)</f>
        <v>-303.75</v>
      </c>
      <c r="E48" s="10">
        <f>IF(ABS((C48))=0,"",((B48)-(C48))/(ABS((C48))))</f>
        <v>-0.3379618812376915</v>
      </c>
    </row>
    <row r="49" spans="1:5" x14ac:dyDescent="0.25">
      <c r="A49" s="3" t="s">
        <v>236</v>
      </c>
      <c r="B49" s="4"/>
      <c r="C49" s="4"/>
      <c r="D49" s="4"/>
      <c r="E49" s="4"/>
    </row>
    <row r="50" spans="1:5" x14ac:dyDescent="0.25">
      <c r="A50" s="3" t="s">
        <v>237</v>
      </c>
      <c r="B50" s="5">
        <f>13.5</f>
        <v>13.5</v>
      </c>
      <c r="C50" s="5">
        <f>13.5</f>
        <v>13.5</v>
      </c>
      <c r="D50" s="5">
        <f t="shared" ref="D50:D60" si="4">(B50)-(C50)</f>
        <v>0</v>
      </c>
      <c r="E50" s="6">
        <f t="shared" ref="E50:E60" si="5">IF(ABS((C50))=0,"",((B50)-(C50))/(ABS((C50))))</f>
        <v>0</v>
      </c>
    </row>
    <row r="51" spans="1:5" x14ac:dyDescent="0.25">
      <c r="A51" s="3" t="s">
        <v>238</v>
      </c>
      <c r="B51" s="5">
        <f>0</f>
        <v>0</v>
      </c>
      <c r="C51" s="5">
        <f>0</f>
        <v>0</v>
      </c>
      <c r="D51" s="5">
        <f t="shared" si="4"/>
        <v>0</v>
      </c>
      <c r="E51" s="6" t="str">
        <f t="shared" si="5"/>
        <v/>
      </c>
    </row>
    <row r="52" spans="1:5" x14ac:dyDescent="0.25">
      <c r="A52" s="3" t="s">
        <v>239</v>
      </c>
      <c r="B52" s="5">
        <f>34</f>
        <v>34</v>
      </c>
      <c r="C52" s="5">
        <f>34</f>
        <v>34</v>
      </c>
      <c r="D52" s="5">
        <f t="shared" si="4"/>
        <v>0</v>
      </c>
      <c r="E52" s="6">
        <f t="shared" si="5"/>
        <v>0</v>
      </c>
    </row>
    <row r="53" spans="1:5" x14ac:dyDescent="0.25">
      <c r="A53" s="3" t="s">
        <v>240</v>
      </c>
      <c r="B53" s="5">
        <f>20400.2</f>
        <v>20400.2</v>
      </c>
      <c r="C53" s="5">
        <f>23924.25</f>
        <v>23924.25</v>
      </c>
      <c r="D53" s="5">
        <f t="shared" si="4"/>
        <v>-3524.0499999999993</v>
      </c>
      <c r="E53" s="6">
        <f t="shared" si="5"/>
        <v>-0.14730033334378295</v>
      </c>
    </row>
    <row r="54" spans="1:5" x14ac:dyDescent="0.25">
      <c r="A54" s="3" t="s">
        <v>241</v>
      </c>
      <c r="B54" s="5">
        <f>-70841.06</f>
        <v>-70841.06</v>
      </c>
      <c r="C54" s="5">
        <f>-71405.41</f>
        <v>-71405.41</v>
      </c>
      <c r="D54" s="5">
        <f t="shared" si="4"/>
        <v>564.35000000000582</v>
      </c>
      <c r="E54" s="6">
        <f t="shared" si="5"/>
        <v>7.9034627768400992E-3</v>
      </c>
    </row>
    <row r="55" spans="1:5" x14ac:dyDescent="0.25">
      <c r="A55" s="3" t="s">
        <v>242</v>
      </c>
      <c r="B55" s="5">
        <f>24114</f>
        <v>24114</v>
      </c>
      <c r="C55" s="5">
        <f>24114</f>
        <v>24114</v>
      </c>
      <c r="D55" s="5">
        <f t="shared" si="4"/>
        <v>0</v>
      </c>
      <c r="E55" s="6">
        <f t="shared" si="5"/>
        <v>0</v>
      </c>
    </row>
    <row r="56" spans="1:5" x14ac:dyDescent="0.25">
      <c r="A56" s="3" t="s">
        <v>243</v>
      </c>
      <c r="B56" s="5">
        <f>0</f>
        <v>0</v>
      </c>
      <c r="C56" s="5">
        <f>0</f>
        <v>0</v>
      </c>
      <c r="D56" s="5">
        <f t="shared" si="4"/>
        <v>0</v>
      </c>
      <c r="E56" s="6" t="str">
        <f t="shared" si="5"/>
        <v/>
      </c>
    </row>
    <row r="57" spans="1:5" x14ac:dyDescent="0.25">
      <c r="A57" s="3" t="s">
        <v>244</v>
      </c>
      <c r="B57" s="5">
        <f>82883.92</f>
        <v>82883.92</v>
      </c>
      <c r="C57" s="5">
        <f>78505.12</f>
        <v>78505.119999999995</v>
      </c>
      <c r="D57" s="5">
        <f t="shared" si="4"/>
        <v>4378.8000000000029</v>
      </c>
      <c r="E57" s="6">
        <f t="shared" si="5"/>
        <v>5.5777253763830983E-2</v>
      </c>
    </row>
    <row r="58" spans="1:5" x14ac:dyDescent="0.25">
      <c r="A58" s="3" t="s">
        <v>245</v>
      </c>
      <c r="B58" s="9">
        <f>(((((((B50)+(B51))+(B52))+(B53))+(B54))+(B55))+(B56))+(B57)</f>
        <v>56604.56</v>
      </c>
      <c r="C58" s="9">
        <f>(((((((C50)+(C51))+(C52))+(C53))+(C54))+(C55))+(C56))+(C57)</f>
        <v>55185.459999999992</v>
      </c>
      <c r="D58" s="9">
        <f t="shared" si="4"/>
        <v>1419.1000000000058</v>
      </c>
      <c r="E58" s="10">
        <f t="shared" si="5"/>
        <v>2.5715106841548589E-2</v>
      </c>
    </row>
    <row r="59" spans="1:5" x14ac:dyDescent="0.25">
      <c r="A59" s="3" t="s">
        <v>246</v>
      </c>
      <c r="B59" s="9">
        <f>((B45)+(B48))+(B58)</f>
        <v>62416.11</v>
      </c>
      <c r="C59" s="9">
        <f>((C45)+(C48))+(C58)</f>
        <v>64130.239999999991</v>
      </c>
      <c r="D59" s="9">
        <f t="shared" si="4"/>
        <v>-1714.1299999999901</v>
      </c>
      <c r="E59" s="10">
        <f t="shared" si="5"/>
        <v>-2.6728887962995156E-2</v>
      </c>
    </row>
    <row r="60" spans="1:5" x14ac:dyDescent="0.25">
      <c r="A60" s="3" t="s">
        <v>247</v>
      </c>
      <c r="B60" s="9">
        <f>B59</f>
        <v>62416.11</v>
      </c>
      <c r="C60" s="9">
        <f>C59</f>
        <v>64130.239999999991</v>
      </c>
      <c r="D60" s="9">
        <f t="shared" si="4"/>
        <v>-1714.1299999999901</v>
      </c>
      <c r="E60" s="10">
        <f t="shared" si="5"/>
        <v>-2.6728887962995156E-2</v>
      </c>
    </row>
    <row r="61" spans="1:5" x14ac:dyDescent="0.25">
      <c r="A61" s="3" t="s">
        <v>248</v>
      </c>
      <c r="B61" s="4"/>
      <c r="C61" s="4"/>
      <c r="D61" s="4"/>
      <c r="E61" s="4"/>
    </row>
    <row r="62" spans="1:5" x14ac:dyDescent="0.25">
      <c r="A62" s="3" t="s">
        <v>249</v>
      </c>
      <c r="B62" s="5">
        <f>11429.62</f>
        <v>11429.62</v>
      </c>
      <c r="C62" s="5">
        <f>11429.62</f>
        <v>11429.62</v>
      </c>
      <c r="D62" s="5">
        <f t="shared" ref="D62:D68" si="6">(B62)-(C62)</f>
        <v>0</v>
      </c>
      <c r="E62" s="6">
        <f t="shared" ref="E62:E68" si="7">IF(ABS((C62))=0,"",((B62)-(C62))/(ABS((C62))))</f>
        <v>0</v>
      </c>
    </row>
    <row r="63" spans="1:5" x14ac:dyDescent="0.25">
      <c r="A63" s="3" t="s">
        <v>250</v>
      </c>
      <c r="B63" s="5">
        <f>266709.72</f>
        <v>266709.71999999997</v>
      </c>
      <c r="C63" s="5">
        <f>251917.36</f>
        <v>251917.36</v>
      </c>
      <c r="D63" s="5">
        <f t="shared" si="6"/>
        <v>14792.359999999986</v>
      </c>
      <c r="E63" s="6">
        <f t="shared" si="7"/>
        <v>5.8719097405593591E-2</v>
      </c>
    </row>
    <row r="64" spans="1:5" x14ac:dyDescent="0.25">
      <c r="A64" s="3" t="s">
        <v>251</v>
      </c>
      <c r="B64" s="5">
        <f>1192182</f>
        <v>1192182</v>
      </c>
      <c r="C64" s="5">
        <f>1300447</f>
        <v>1300447</v>
      </c>
      <c r="D64" s="5">
        <f t="shared" si="6"/>
        <v>-108265</v>
      </c>
      <c r="E64" s="6">
        <f t="shared" si="7"/>
        <v>-8.3252143301495565E-2</v>
      </c>
    </row>
    <row r="65" spans="1:5" x14ac:dyDescent="0.25">
      <c r="A65" s="3" t="s">
        <v>252</v>
      </c>
      <c r="B65" s="5">
        <f>91636.18</f>
        <v>91636.18</v>
      </c>
      <c r="C65" s="5">
        <f>91636.18</f>
        <v>91636.18</v>
      </c>
      <c r="D65" s="5">
        <f t="shared" si="6"/>
        <v>0</v>
      </c>
      <c r="E65" s="6">
        <f t="shared" si="7"/>
        <v>0</v>
      </c>
    </row>
    <row r="66" spans="1:5" x14ac:dyDescent="0.25">
      <c r="A66" s="3" t="s">
        <v>253</v>
      </c>
      <c r="B66" s="5">
        <f>82058.78</f>
        <v>82058.78</v>
      </c>
      <c r="C66" s="5">
        <f>94481.42</f>
        <v>94481.42</v>
      </c>
      <c r="D66" s="5">
        <f t="shared" si="6"/>
        <v>-12422.64</v>
      </c>
      <c r="E66" s="6">
        <f t="shared" si="7"/>
        <v>-0.13148235917707418</v>
      </c>
    </row>
    <row r="67" spans="1:5" x14ac:dyDescent="0.25">
      <c r="A67" s="3" t="s">
        <v>254</v>
      </c>
      <c r="B67" s="9">
        <f>((((B62)+(B63))+(B64))+(B65))+(B66)</f>
        <v>1644016.2999999998</v>
      </c>
      <c r="C67" s="9">
        <f>((((C62)+(C63))+(C64))+(C65))+(C66)</f>
        <v>1749911.5799999998</v>
      </c>
      <c r="D67" s="9">
        <f t="shared" si="6"/>
        <v>-105895.28000000003</v>
      </c>
      <c r="E67" s="10">
        <f t="shared" si="7"/>
        <v>-6.0514646117148407E-2</v>
      </c>
    </row>
    <row r="68" spans="1:5" x14ac:dyDescent="0.25">
      <c r="A68" s="3" t="s">
        <v>255</v>
      </c>
      <c r="B68" s="9">
        <f>(B60)+(B67)</f>
        <v>1706432.41</v>
      </c>
      <c r="C68" s="9">
        <f>(C60)+(C67)</f>
        <v>1814041.8199999998</v>
      </c>
      <c r="D68" s="9">
        <f t="shared" si="6"/>
        <v>-107609.40999999992</v>
      </c>
      <c r="E68" s="10">
        <f t="shared" si="7"/>
        <v>-5.9320247644566386E-2</v>
      </c>
    </row>
    <row r="69" spans="1:5" x14ac:dyDescent="0.25">
      <c r="A69" s="3"/>
      <c r="B69" s="4"/>
      <c r="C69" s="4"/>
      <c r="D69" s="4"/>
      <c r="E69" s="4"/>
    </row>
    <row r="72" spans="1:5" x14ac:dyDescent="0.25">
      <c r="A72" s="20" t="s">
        <v>256</v>
      </c>
      <c r="B72" s="21"/>
      <c r="C72" s="21"/>
      <c r="D72" s="21"/>
      <c r="E72" s="21"/>
    </row>
  </sheetData>
  <mergeCells count="5">
    <mergeCell ref="A1:E1"/>
    <mergeCell ref="A2:E2"/>
    <mergeCell ref="A3:E3"/>
    <mergeCell ref="B5:E5"/>
    <mergeCell ref="A72:E72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9D7271-236B-4769-8076-D989F303649C}">
  <dimension ref="A1:O23"/>
  <sheetViews>
    <sheetView workbookViewId="0">
      <selection activeCell="J11" sqref="J11"/>
    </sheetView>
  </sheetViews>
  <sheetFormatPr defaultRowHeight="15" x14ac:dyDescent="0.25"/>
  <cols>
    <col min="1" max="1" width="31" customWidth="1"/>
    <col min="2" max="7" width="12.85546875" customWidth="1"/>
    <col min="9" max="9" width="31" customWidth="1"/>
    <col min="10" max="15" width="12.85546875" customWidth="1"/>
  </cols>
  <sheetData>
    <row r="1" spans="1:15" ht="18" x14ac:dyDescent="0.25">
      <c r="A1" s="22" t="s">
        <v>170</v>
      </c>
      <c r="B1" s="21"/>
      <c r="C1" s="21"/>
      <c r="D1" s="21"/>
      <c r="E1" s="21"/>
      <c r="F1" s="21"/>
      <c r="G1" s="21"/>
      <c r="I1" s="22" t="s">
        <v>170</v>
      </c>
      <c r="J1" s="21"/>
      <c r="K1" s="21"/>
      <c r="L1" s="21"/>
      <c r="M1" s="21"/>
      <c r="N1" s="21"/>
      <c r="O1" s="21"/>
    </row>
    <row r="2" spans="1:15" ht="18" x14ac:dyDescent="0.25">
      <c r="A2" s="22" t="s">
        <v>257</v>
      </c>
      <c r="B2" s="21"/>
      <c r="C2" s="21"/>
      <c r="D2" s="21"/>
      <c r="E2" s="21"/>
      <c r="F2" s="21"/>
      <c r="G2" s="21"/>
      <c r="I2" s="22" t="s">
        <v>257</v>
      </c>
      <c r="J2" s="21"/>
      <c r="K2" s="21"/>
      <c r="L2" s="21"/>
      <c r="M2" s="21"/>
      <c r="N2" s="21"/>
      <c r="O2" s="21"/>
    </row>
    <row r="3" spans="1:15" x14ac:dyDescent="0.25">
      <c r="A3" s="23" t="s">
        <v>191</v>
      </c>
      <c r="B3" s="21"/>
      <c r="C3" s="21"/>
      <c r="D3" s="21"/>
      <c r="E3" s="21"/>
      <c r="F3" s="21"/>
      <c r="G3" s="21"/>
      <c r="I3" s="23" t="s">
        <v>276</v>
      </c>
      <c r="J3" s="21"/>
      <c r="K3" s="21"/>
      <c r="L3" s="21"/>
      <c r="M3" s="21"/>
      <c r="N3" s="21"/>
      <c r="O3" s="21"/>
    </row>
    <row r="5" spans="1:15" x14ac:dyDescent="0.25">
      <c r="A5" s="1"/>
      <c r="B5" s="2" t="s">
        <v>258</v>
      </c>
      <c r="C5" s="2" t="s">
        <v>259</v>
      </c>
      <c r="D5" s="2" t="s">
        <v>260</v>
      </c>
      <c r="E5" s="2" t="s">
        <v>261</v>
      </c>
      <c r="F5" s="2" t="s">
        <v>262</v>
      </c>
      <c r="G5" s="2" t="s">
        <v>0</v>
      </c>
      <c r="I5" s="1"/>
      <c r="J5" s="2" t="s">
        <v>258</v>
      </c>
      <c r="K5" s="2" t="s">
        <v>259</v>
      </c>
      <c r="L5" s="2" t="s">
        <v>260</v>
      </c>
      <c r="M5" s="2" t="s">
        <v>261</v>
      </c>
      <c r="N5" s="2" t="s">
        <v>262</v>
      </c>
      <c r="O5" s="2" t="s">
        <v>0</v>
      </c>
    </row>
    <row r="6" spans="1:15" x14ac:dyDescent="0.25">
      <c r="A6" s="3" t="s">
        <v>263</v>
      </c>
      <c r="B6" s="4"/>
      <c r="C6" s="4"/>
      <c r="D6" s="4"/>
      <c r="E6" s="4"/>
      <c r="F6" s="5">
        <f>0</f>
        <v>0</v>
      </c>
      <c r="G6" s="5">
        <f t="shared" ref="G6:G17" si="0">((((B6)+(C6))+(D6))+(E6))+(F6)</f>
        <v>0</v>
      </c>
      <c r="I6" s="3" t="s">
        <v>263</v>
      </c>
      <c r="J6" s="4"/>
      <c r="K6" s="4"/>
      <c r="L6" s="4"/>
      <c r="M6" s="4"/>
      <c r="N6" s="5">
        <f>0</f>
        <v>0</v>
      </c>
      <c r="O6" s="5">
        <f t="shared" ref="O6:O19" si="1">((((J6)+(K6))+(L6))+(M6))+(N6)</f>
        <v>0</v>
      </c>
    </row>
    <row r="7" spans="1:15" x14ac:dyDescent="0.25">
      <c r="A7" s="3" t="s">
        <v>264</v>
      </c>
      <c r="B7" s="5">
        <f>252</f>
        <v>252</v>
      </c>
      <c r="C7" s="4"/>
      <c r="D7" s="4"/>
      <c r="E7" s="4"/>
      <c r="F7" s="4"/>
      <c r="G7" s="5">
        <f t="shared" si="0"/>
        <v>252</v>
      </c>
      <c r="I7" s="3" t="s">
        <v>265</v>
      </c>
      <c r="J7" s="11">
        <f>4324.49</f>
        <v>4324.49</v>
      </c>
      <c r="K7" s="4"/>
      <c r="L7" s="4"/>
      <c r="M7" s="4"/>
      <c r="N7" s="4"/>
      <c r="O7" s="5">
        <f t="shared" si="1"/>
        <v>4324.49</v>
      </c>
    </row>
    <row r="8" spans="1:15" x14ac:dyDescent="0.25">
      <c r="A8" s="3" t="s">
        <v>265</v>
      </c>
      <c r="B8" s="11">
        <f>3351.01</f>
        <v>3351.01</v>
      </c>
      <c r="C8" s="4"/>
      <c r="D8" s="4"/>
      <c r="E8" s="4"/>
      <c r="F8" s="4"/>
      <c r="G8" s="5">
        <f t="shared" si="0"/>
        <v>3351.01</v>
      </c>
      <c r="I8" s="3" t="s">
        <v>277</v>
      </c>
      <c r="J8" s="5">
        <f>337.65</f>
        <v>337.65</v>
      </c>
      <c r="K8" s="4"/>
      <c r="L8" s="4"/>
      <c r="M8" s="4"/>
      <c r="N8" s="4"/>
      <c r="O8" s="5">
        <f t="shared" si="1"/>
        <v>337.65</v>
      </c>
    </row>
    <row r="9" spans="1:15" x14ac:dyDescent="0.25">
      <c r="A9" s="3" t="s">
        <v>266</v>
      </c>
      <c r="B9" s="5">
        <f>498.75</f>
        <v>498.75</v>
      </c>
      <c r="C9" s="4"/>
      <c r="D9" s="4"/>
      <c r="E9" s="4"/>
      <c r="F9" s="4"/>
      <c r="G9" s="5">
        <f t="shared" si="0"/>
        <v>498.75</v>
      </c>
      <c r="I9" s="3" t="s">
        <v>278</v>
      </c>
      <c r="J9" s="5">
        <f>488.35</f>
        <v>488.35</v>
      </c>
      <c r="K9" s="4"/>
      <c r="L9" s="4"/>
      <c r="M9" s="4"/>
      <c r="N9" s="4"/>
      <c r="O9" s="5">
        <f t="shared" si="1"/>
        <v>488.35</v>
      </c>
    </row>
    <row r="10" spans="1:15" x14ac:dyDescent="0.25">
      <c r="A10" s="3" t="s">
        <v>267</v>
      </c>
      <c r="B10" s="5">
        <f>120</f>
        <v>120</v>
      </c>
      <c r="C10" s="4"/>
      <c r="D10" s="4"/>
      <c r="E10" s="4"/>
      <c r="F10" s="4"/>
      <c r="G10" s="5">
        <f t="shared" si="0"/>
        <v>120</v>
      </c>
      <c r="I10" s="3" t="s">
        <v>279</v>
      </c>
      <c r="J10" s="5">
        <f>500</f>
        <v>500</v>
      </c>
      <c r="K10" s="4"/>
      <c r="L10" s="4"/>
      <c r="M10" s="4"/>
      <c r="N10" s="4"/>
      <c r="O10" s="5">
        <f t="shared" si="1"/>
        <v>500</v>
      </c>
    </row>
    <row r="11" spans="1:15" x14ac:dyDescent="0.25">
      <c r="A11" s="3" t="s">
        <v>268</v>
      </c>
      <c r="B11" s="5">
        <f>16.9</f>
        <v>16.899999999999999</v>
      </c>
      <c r="C11" s="4"/>
      <c r="D11" s="4"/>
      <c r="E11" s="4"/>
      <c r="F11" s="4"/>
      <c r="G11" s="5">
        <f t="shared" si="0"/>
        <v>16.899999999999999</v>
      </c>
      <c r="I11" s="3" t="s">
        <v>269</v>
      </c>
      <c r="J11" s="12">
        <f>1311.96</f>
        <v>1311.96</v>
      </c>
      <c r="K11" s="4"/>
      <c r="L11" s="4"/>
      <c r="M11" s="5">
        <f>-89.91</f>
        <v>-89.91</v>
      </c>
      <c r="N11" s="5">
        <f>89.91</f>
        <v>89.91</v>
      </c>
      <c r="O11" s="5">
        <f t="shared" si="1"/>
        <v>1311.96</v>
      </c>
    </row>
    <row r="12" spans="1:15" x14ac:dyDescent="0.25">
      <c r="A12" s="3" t="s">
        <v>269</v>
      </c>
      <c r="B12" s="12">
        <f>820.96</f>
        <v>820.96</v>
      </c>
      <c r="C12" s="4"/>
      <c r="D12" s="4"/>
      <c r="E12" s="4"/>
      <c r="F12" s="5">
        <f>89.91</f>
        <v>89.91</v>
      </c>
      <c r="G12" s="5">
        <f t="shared" si="0"/>
        <v>910.87</v>
      </c>
      <c r="I12" s="3" t="s">
        <v>270</v>
      </c>
      <c r="J12" s="4"/>
      <c r="K12" s="4"/>
      <c r="L12" s="4"/>
      <c r="M12" s="4"/>
      <c r="N12" s="5">
        <f>0</f>
        <v>0</v>
      </c>
      <c r="O12" s="5">
        <f t="shared" si="1"/>
        <v>0</v>
      </c>
    </row>
    <row r="13" spans="1:15" x14ac:dyDescent="0.25">
      <c r="A13" s="3" t="s">
        <v>270</v>
      </c>
      <c r="B13" s="4"/>
      <c r="C13" s="4"/>
      <c r="D13" s="4"/>
      <c r="E13" s="4"/>
      <c r="F13" s="5">
        <f>0</f>
        <v>0</v>
      </c>
      <c r="G13" s="5">
        <f t="shared" si="0"/>
        <v>0</v>
      </c>
      <c r="I13" s="3" t="s">
        <v>280</v>
      </c>
      <c r="J13" s="5">
        <f>3.21</f>
        <v>3.21</v>
      </c>
      <c r="K13" s="4"/>
      <c r="L13" s="4"/>
      <c r="M13" s="4"/>
      <c r="N13" s="4"/>
      <c r="O13" s="5">
        <f t="shared" si="1"/>
        <v>3.21</v>
      </c>
    </row>
    <row r="14" spans="1:15" x14ac:dyDescent="0.25">
      <c r="A14" s="3" t="s">
        <v>271</v>
      </c>
      <c r="B14" s="4"/>
      <c r="C14" s="4"/>
      <c r="D14" s="4"/>
      <c r="E14" s="4"/>
      <c r="F14" s="5">
        <f>0</f>
        <v>0</v>
      </c>
      <c r="G14" s="5">
        <f t="shared" si="0"/>
        <v>0</v>
      </c>
      <c r="I14" s="3" t="s">
        <v>281</v>
      </c>
      <c r="J14" s="5">
        <f>488</f>
        <v>488</v>
      </c>
      <c r="K14" s="4"/>
      <c r="L14" s="4"/>
      <c r="M14" s="4"/>
      <c r="N14" s="4"/>
      <c r="O14" s="5">
        <f t="shared" si="1"/>
        <v>488</v>
      </c>
    </row>
    <row r="15" spans="1:15" x14ac:dyDescent="0.25">
      <c r="A15" s="3" t="s">
        <v>272</v>
      </c>
      <c r="B15" s="4"/>
      <c r="C15" s="4"/>
      <c r="D15" s="4"/>
      <c r="E15" s="4"/>
      <c r="F15" s="5">
        <f>0</f>
        <v>0</v>
      </c>
      <c r="G15" s="5">
        <f t="shared" si="0"/>
        <v>0</v>
      </c>
      <c r="I15" s="3" t="s">
        <v>271</v>
      </c>
      <c r="J15" s="4"/>
      <c r="K15" s="4"/>
      <c r="L15" s="4"/>
      <c r="M15" s="4"/>
      <c r="N15" s="5">
        <f>0</f>
        <v>0</v>
      </c>
      <c r="O15" s="5">
        <f t="shared" si="1"/>
        <v>0</v>
      </c>
    </row>
    <row r="16" spans="1:15" x14ac:dyDescent="0.25">
      <c r="A16" s="3" t="s">
        <v>273</v>
      </c>
      <c r="B16" s="5">
        <f>67</f>
        <v>67</v>
      </c>
      <c r="C16" s="4"/>
      <c r="D16" s="4"/>
      <c r="E16" s="4"/>
      <c r="F16" s="4"/>
      <c r="G16" s="5">
        <f t="shared" si="0"/>
        <v>67</v>
      </c>
      <c r="I16" s="3" t="s">
        <v>282</v>
      </c>
      <c r="J16" s="5">
        <f>94.63</f>
        <v>94.63</v>
      </c>
      <c r="K16" s="4"/>
      <c r="L16" s="4"/>
      <c r="M16" s="4"/>
      <c r="N16" s="4"/>
      <c r="O16" s="5">
        <f t="shared" si="1"/>
        <v>94.63</v>
      </c>
    </row>
    <row r="17" spans="1:15" x14ac:dyDescent="0.25">
      <c r="A17" s="3" t="s">
        <v>274</v>
      </c>
      <c r="B17" s="9">
        <f>((((((((((B6)+(B7))+(B8))+(B9))+(B10))+(B11))+(B12))+(B13))+(B14))+(B15))+(B16)</f>
        <v>5126.62</v>
      </c>
      <c r="C17" s="9">
        <f>((((((((((C6)+(C7))+(C8))+(C9))+(C10))+(C11))+(C12))+(C13))+(C14))+(C15))+(C16)</f>
        <v>0</v>
      </c>
      <c r="D17" s="9">
        <f>((((((((((D6)+(D7))+(D8))+(D9))+(D10))+(D11))+(D12))+(D13))+(D14))+(D15))+(D16)</f>
        <v>0</v>
      </c>
      <c r="E17" s="9">
        <f>((((((((((E6)+(E7))+(E8))+(E9))+(E10))+(E11))+(E12))+(E13))+(E14))+(E15))+(E16)</f>
        <v>0</v>
      </c>
      <c r="F17" s="9">
        <f>((((((((((F6)+(F7))+(F8))+(F9))+(F10))+(F11))+(F12))+(F13))+(F14))+(F15))+(F16)</f>
        <v>89.91</v>
      </c>
      <c r="G17" s="9">
        <f t="shared" si="0"/>
        <v>5216.53</v>
      </c>
      <c r="I17" s="3" t="s">
        <v>272</v>
      </c>
      <c r="J17" s="4"/>
      <c r="K17" s="4"/>
      <c r="L17" s="4"/>
      <c r="M17" s="4"/>
      <c r="N17" s="5">
        <f>0</f>
        <v>0</v>
      </c>
      <c r="O17" s="5">
        <f t="shared" si="1"/>
        <v>0</v>
      </c>
    </row>
    <row r="18" spans="1:15" x14ac:dyDescent="0.25">
      <c r="A18" s="3"/>
      <c r="B18" s="4"/>
      <c r="C18" s="4"/>
      <c r="D18" s="4"/>
      <c r="E18" s="4"/>
      <c r="F18" s="4"/>
      <c r="G18" s="4"/>
      <c r="I18" s="3" t="s">
        <v>283</v>
      </c>
      <c r="J18" s="5">
        <f>497.72</f>
        <v>497.72</v>
      </c>
      <c r="K18" s="4"/>
      <c r="L18" s="4"/>
      <c r="M18" s="4"/>
      <c r="N18" s="4"/>
      <c r="O18" s="5">
        <f t="shared" si="1"/>
        <v>497.72</v>
      </c>
    </row>
    <row r="19" spans="1:15" x14ac:dyDescent="0.25">
      <c r="I19" s="3" t="s">
        <v>274</v>
      </c>
      <c r="J19" s="9">
        <f>((((((((((((J6)+(J7))+(J8))+(J9))+(J10))+(J11))+(J12))+(J13))+(J14))+(J15))+(J16))+(J17))+(J18)</f>
        <v>8046.01</v>
      </c>
      <c r="K19" s="9">
        <f>((((((((((((K6)+(K7))+(K8))+(K9))+(K10))+(K11))+(K12))+(K13))+(K14))+(K15))+(K16))+(K17))+(K18)</f>
        <v>0</v>
      </c>
      <c r="L19" s="9">
        <f>((((((((((((L6)+(L7))+(L8))+(L9))+(L10))+(L11))+(L12))+(L13))+(L14))+(L15))+(L16))+(L17))+(L18)</f>
        <v>0</v>
      </c>
      <c r="M19" s="9">
        <f>((((((((((((M6)+(M7))+(M8))+(M9))+(M10))+(M11))+(M12))+(M13))+(M14))+(M15))+(M16))+(M17))+(M18)</f>
        <v>-89.91</v>
      </c>
      <c r="N19" s="9">
        <f>((((((((((((N6)+(N7))+(N8))+(N9))+(N10))+(N11))+(N12))+(N13))+(N14))+(N15))+(N16))+(N17))+(N18)</f>
        <v>89.91</v>
      </c>
      <c r="O19" s="9">
        <f t="shared" si="1"/>
        <v>8046.01</v>
      </c>
    </row>
    <row r="20" spans="1:15" x14ac:dyDescent="0.25">
      <c r="I20" s="3"/>
      <c r="J20" s="4"/>
      <c r="K20" s="4"/>
      <c r="L20" s="4"/>
      <c r="M20" s="4"/>
      <c r="N20" s="4"/>
      <c r="O20" s="4"/>
    </row>
    <row r="21" spans="1:15" x14ac:dyDescent="0.25">
      <c r="A21" s="20" t="s">
        <v>275</v>
      </c>
      <c r="B21" s="21"/>
      <c r="C21" s="21"/>
      <c r="D21" s="21"/>
      <c r="E21" s="21"/>
      <c r="F21" s="21"/>
      <c r="G21" s="21"/>
    </row>
    <row r="23" spans="1:15" x14ac:dyDescent="0.25">
      <c r="I23" s="20" t="s">
        <v>284</v>
      </c>
      <c r="J23" s="21"/>
      <c r="K23" s="21"/>
      <c r="L23" s="21"/>
      <c r="M23" s="21"/>
      <c r="N23" s="21"/>
      <c r="O23" s="21"/>
    </row>
  </sheetData>
  <mergeCells count="8">
    <mergeCell ref="I23:O23"/>
    <mergeCell ref="A1:G1"/>
    <mergeCell ref="A2:G2"/>
    <mergeCell ref="A3:G3"/>
    <mergeCell ref="A21:G21"/>
    <mergeCell ref="I1:O1"/>
    <mergeCell ref="I2:O2"/>
    <mergeCell ref="I3:O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510103-6E2A-4D3B-AD58-29753925046C}">
  <dimension ref="A1:I37"/>
  <sheetViews>
    <sheetView workbookViewId="0">
      <selection activeCell="I28" sqref="I28"/>
    </sheetView>
  </sheetViews>
  <sheetFormatPr defaultRowHeight="15" x14ac:dyDescent="0.25"/>
  <cols>
    <col min="1" max="1" width="25.7109375" customWidth="1"/>
    <col min="2" max="7" width="12.85546875" customWidth="1"/>
    <col min="9" max="9" width="104" bestFit="1" customWidth="1"/>
  </cols>
  <sheetData>
    <row r="1" spans="1:9" ht="18" x14ac:dyDescent="0.25">
      <c r="A1" s="22" t="s">
        <v>170</v>
      </c>
      <c r="B1" s="21"/>
      <c r="C1" s="21"/>
      <c r="D1" s="21"/>
      <c r="E1" s="21"/>
      <c r="F1" s="21"/>
      <c r="G1" s="21"/>
    </row>
    <row r="2" spans="1:9" ht="18" x14ac:dyDescent="0.25">
      <c r="A2" s="22" t="s">
        <v>285</v>
      </c>
      <c r="B2" s="21"/>
      <c r="C2" s="21"/>
      <c r="D2" s="21"/>
      <c r="E2" s="21"/>
      <c r="F2" s="21"/>
      <c r="G2" s="21"/>
    </row>
    <row r="3" spans="1:9" x14ac:dyDescent="0.25">
      <c r="A3" s="23" t="s">
        <v>191</v>
      </c>
      <c r="B3" s="21"/>
      <c r="C3" s="21"/>
      <c r="D3" s="21"/>
      <c r="E3" s="21"/>
      <c r="F3" s="21"/>
      <c r="G3" s="21"/>
    </row>
    <row r="5" spans="1:9" x14ac:dyDescent="0.25">
      <c r="A5" s="1"/>
      <c r="B5" s="2" t="s">
        <v>258</v>
      </c>
      <c r="C5" s="2" t="s">
        <v>259</v>
      </c>
      <c r="D5" s="2" t="s">
        <v>260</v>
      </c>
      <c r="E5" s="2" t="s">
        <v>261</v>
      </c>
      <c r="F5" s="2" t="s">
        <v>262</v>
      </c>
      <c r="G5" s="2" t="s">
        <v>0</v>
      </c>
      <c r="I5" s="13" t="s">
        <v>296</v>
      </c>
    </row>
    <row r="6" spans="1:9" x14ac:dyDescent="0.25">
      <c r="A6" s="3" t="s">
        <v>286</v>
      </c>
      <c r="B6" s="4"/>
      <c r="C6" s="5">
        <f>1200</f>
        <v>1200</v>
      </c>
      <c r="D6" s="4"/>
      <c r="E6" s="4"/>
      <c r="F6" s="5">
        <f>0</f>
        <v>0</v>
      </c>
      <c r="G6" s="5">
        <f t="shared" ref="G6:G15" si="0">((((B6)+(C6))+(D6))+(E6))+(F6)</f>
        <v>1200</v>
      </c>
    </row>
    <row r="7" spans="1:9" x14ac:dyDescent="0.25">
      <c r="A7" s="3" t="s">
        <v>287</v>
      </c>
      <c r="B7" s="4"/>
      <c r="C7" s="4"/>
      <c r="D7" s="4"/>
      <c r="E7" s="4"/>
      <c r="F7" s="5">
        <f>0</f>
        <v>0</v>
      </c>
      <c r="G7" s="5">
        <f t="shared" si="0"/>
        <v>0</v>
      </c>
    </row>
    <row r="8" spans="1:9" x14ac:dyDescent="0.25">
      <c r="A8" s="3" t="s">
        <v>288</v>
      </c>
      <c r="B8" s="4"/>
      <c r="C8" s="4"/>
      <c r="D8" s="4"/>
      <c r="E8" s="4"/>
      <c r="F8" s="5">
        <f>0</f>
        <v>0</v>
      </c>
      <c r="G8" s="5">
        <f t="shared" si="0"/>
        <v>0</v>
      </c>
    </row>
    <row r="9" spans="1:9" x14ac:dyDescent="0.25">
      <c r="A9" s="3" t="s">
        <v>289</v>
      </c>
      <c r="B9" s="4"/>
      <c r="C9" s="4"/>
      <c r="D9" s="4"/>
      <c r="E9" s="4"/>
      <c r="F9" s="12">
        <f>13.1</f>
        <v>13.1</v>
      </c>
      <c r="G9" s="5">
        <f t="shared" si="0"/>
        <v>13.1</v>
      </c>
    </row>
    <row r="10" spans="1:9" x14ac:dyDescent="0.25">
      <c r="A10" s="3" t="s">
        <v>290</v>
      </c>
      <c r="B10" s="4"/>
      <c r="C10" s="4"/>
      <c r="D10" s="4"/>
      <c r="E10" s="4"/>
      <c r="F10" s="5">
        <f>0</f>
        <v>0</v>
      </c>
      <c r="G10" s="5">
        <f t="shared" si="0"/>
        <v>0</v>
      </c>
    </row>
    <row r="11" spans="1:9" x14ac:dyDescent="0.25">
      <c r="A11" s="3" t="s">
        <v>291</v>
      </c>
      <c r="B11" s="5">
        <f>4.6</f>
        <v>4.5999999999999996</v>
      </c>
      <c r="C11" s="4"/>
      <c r="D11" s="4"/>
      <c r="E11" s="4"/>
      <c r="F11" s="4"/>
      <c r="G11" s="5">
        <f t="shared" si="0"/>
        <v>4.5999999999999996</v>
      </c>
    </row>
    <row r="12" spans="1:9" x14ac:dyDescent="0.25">
      <c r="A12" s="3" t="s">
        <v>292</v>
      </c>
      <c r="B12" s="4"/>
      <c r="C12" s="4"/>
      <c r="D12" s="4"/>
      <c r="E12" s="4"/>
      <c r="F12" s="5">
        <f>0</f>
        <v>0</v>
      </c>
      <c r="G12" s="5">
        <f t="shared" si="0"/>
        <v>0</v>
      </c>
    </row>
    <row r="13" spans="1:9" x14ac:dyDescent="0.25">
      <c r="A13" s="3" t="s">
        <v>293</v>
      </c>
      <c r="B13" s="4"/>
      <c r="C13" s="4"/>
      <c r="D13" s="4"/>
      <c r="E13" s="4"/>
      <c r="F13" s="12">
        <f>88.15</f>
        <v>88.15</v>
      </c>
      <c r="G13" s="5">
        <f t="shared" si="0"/>
        <v>88.15</v>
      </c>
    </row>
    <row r="14" spans="1:9" x14ac:dyDescent="0.25">
      <c r="A14" s="3" t="s">
        <v>294</v>
      </c>
      <c r="B14" s="4"/>
      <c r="C14" s="4"/>
      <c r="D14" s="4"/>
      <c r="E14" s="4"/>
      <c r="F14" s="5">
        <f>0</f>
        <v>0</v>
      </c>
      <c r="G14" s="5">
        <f t="shared" si="0"/>
        <v>0</v>
      </c>
    </row>
    <row r="15" spans="1:9" x14ac:dyDescent="0.25">
      <c r="A15" s="3" t="s">
        <v>274</v>
      </c>
      <c r="B15" s="9">
        <f>((((((((B6)+(B7))+(B8))+(B9))+(B10))+(B11))+(B12))+(B13))+(B14)</f>
        <v>4.5999999999999996</v>
      </c>
      <c r="C15" s="9">
        <f>((((((((C6)+(C7))+(C8))+(C9))+(C10))+(C11))+(C12))+(C13))+(C14)</f>
        <v>1200</v>
      </c>
      <c r="D15" s="9">
        <f>((((((((D6)+(D7))+(D8))+(D9))+(D10))+(D11))+(D12))+(D13))+(D14)</f>
        <v>0</v>
      </c>
      <c r="E15" s="9">
        <f>((((((((E6)+(E7))+(E8))+(E9))+(E10))+(E11))+(E12))+(E13))+(E14)</f>
        <v>0</v>
      </c>
      <c r="F15" s="9">
        <f>((((((((F6)+(F7))+(F8))+(F9))+(F10))+(F11))+(F12))+(F13))+(F14)</f>
        <v>101.25</v>
      </c>
      <c r="G15" s="9">
        <f t="shared" si="0"/>
        <v>1305.8499999999999</v>
      </c>
    </row>
    <row r="16" spans="1:9" x14ac:dyDescent="0.25">
      <c r="A16" s="3"/>
      <c r="B16" s="4"/>
      <c r="C16" s="4"/>
      <c r="D16" s="4"/>
      <c r="E16" s="4"/>
      <c r="F16" s="4"/>
      <c r="G16" s="4"/>
    </row>
    <row r="19" spans="1:7" x14ac:dyDescent="0.25">
      <c r="A19" s="20" t="s">
        <v>295</v>
      </c>
      <c r="B19" s="21"/>
      <c r="C19" s="21"/>
      <c r="D19" s="21"/>
      <c r="E19" s="21"/>
      <c r="F19" s="21"/>
      <c r="G19" s="21"/>
    </row>
    <row r="21" spans="1:7" ht="18" x14ac:dyDescent="0.25">
      <c r="A21" s="22" t="s">
        <v>170</v>
      </c>
      <c r="B21" s="21"/>
      <c r="C21" s="21"/>
      <c r="D21" s="21"/>
      <c r="E21" s="21"/>
      <c r="F21" s="21"/>
      <c r="G21" s="21"/>
    </row>
    <row r="22" spans="1:7" ht="18" x14ac:dyDescent="0.25">
      <c r="A22" s="22" t="s">
        <v>285</v>
      </c>
      <c r="B22" s="21"/>
      <c r="C22" s="21"/>
      <c r="D22" s="21"/>
      <c r="E22" s="21"/>
      <c r="F22" s="21"/>
      <c r="G22" s="21"/>
    </row>
    <row r="23" spans="1:7" x14ac:dyDescent="0.25">
      <c r="A23" s="23" t="s">
        <v>276</v>
      </c>
      <c r="B23" s="21"/>
      <c r="C23" s="21"/>
      <c r="D23" s="21"/>
      <c r="E23" s="21"/>
      <c r="F23" s="21"/>
      <c r="G23" s="21"/>
    </row>
    <row r="25" spans="1:7" x14ac:dyDescent="0.25">
      <c r="A25" s="1"/>
      <c r="B25" s="2" t="s">
        <v>258</v>
      </c>
      <c r="C25" s="2" t="s">
        <v>259</v>
      </c>
      <c r="D25" s="2" t="s">
        <v>260</v>
      </c>
      <c r="E25" s="2" t="s">
        <v>261</v>
      </c>
      <c r="F25" s="2" t="s">
        <v>262</v>
      </c>
      <c r="G25" s="2" t="s">
        <v>0</v>
      </c>
    </row>
    <row r="26" spans="1:7" x14ac:dyDescent="0.25">
      <c r="A26" s="3" t="s">
        <v>286</v>
      </c>
      <c r="B26" s="5">
        <f>1200</f>
        <v>1200</v>
      </c>
      <c r="C26" s="4"/>
      <c r="D26" s="4"/>
      <c r="E26" s="4"/>
      <c r="F26" s="5">
        <f>0</f>
        <v>0</v>
      </c>
      <c r="G26" s="5">
        <f t="shared" ref="G26:G33" si="1">((((B26)+(C26))+(D26))+(E26))+(F26)</f>
        <v>1200</v>
      </c>
    </row>
    <row r="27" spans="1:7" x14ac:dyDescent="0.25">
      <c r="A27" s="3" t="s">
        <v>287</v>
      </c>
      <c r="B27" s="4"/>
      <c r="C27" s="4"/>
      <c r="D27" s="4"/>
      <c r="E27" s="4"/>
      <c r="F27" s="5">
        <f>0</f>
        <v>0</v>
      </c>
      <c r="G27" s="5">
        <f t="shared" si="1"/>
        <v>0</v>
      </c>
    </row>
    <row r="28" spans="1:7" x14ac:dyDescent="0.25">
      <c r="A28" s="3" t="s">
        <v>288</v>
      </c>
      <c r="B28" s="4"/>
      <c r="C28" s="4"/>
      <c r="D28" s="4"/>
      <c r="E28" s="4"/>
      <c r="F28" s="5">
        <f>0</f>
        <v>0</v>
      </c>
      <c r="G28" s="5">
        <f t="shared" si="1"/>
        <v>0</v>
      </c>
    </row>
    <row r="29" spans="1:7" x14ac:dyDescent="0.25">
      <c r="A29" s="3" t="s">
        <v>297</v>
      </c>
      <c r="B29" s="4"/>
      <c r="C29" s="5">
        <f>100</f>
        <v>100</v>
      </c>
      <c r="D29" s="4"/>
      <c r="E29" s="4"/>
      <c r="F29" s="4"/>
      <c r="G29" s="5">
        <f t="shared" si="1"/>
        <v>100</v>
      </c>
    </row>
    <row r="30" spans="1:7" x14ac:dyDescent="0.25">
      <c r="A30" s="3" t="s">
        <v>290</v>
      </c>
      <c r="B30" s="4"/>
      <c r="C30" s="4"/>
      <c r="D30" s="4"/>
      <c r="E30" s="5">
        <f>181.5</f>
        <v>181.5</v>
      </c>
      <c r="F30" s="5">
        <f>-181.5</f>
        <v>-181.5</v>
      </c>
      <c r="G30" s="5">
        <f t="shared" si="1"/>
        <v>0</v>
      </c>
    </row>
    <row r="31" spans="1:7" x14ac:dyDescent="0.25">
      <c r="A31" s="3" t="s">
        <v>292</v>
      </c>
      <c r="B31" s="4"/>
      <c r="C31" s="4"/>
      <c r="D31" s="4"/>
      <c r="E31" s="4"/>
      <c r="F31" s="5">
        <f>0</f>
        <v>0</v>
      </c>
      <c r="G31" s="5">
        <f t="shared" si="1"/>
        <v>0</v>
      </c>
    </row>
    <row r="32" spans="1:7" x14ac:dyDescent="0.25">
      <c r="A32" s="3" t="s">
        <v>294</v>
      </c>
      <c r="B32" s="4"/>
      <c r="C32" s="4"/>
      <c r="D32" s="4"/>
      <c r="E32" s="4"/>
      <c r="F32" s="5">
        <f>0</f>
        <v>0</v>
      </c>
      <c r="G32" s="5">
        <f t="shared" si="1"/>
        <v>0</v>
      </c>
    </row>
    <row r="33" spans="1:7" x14ac:dyDescent="0.25">
      <c r="A33" s="3" t="s">
        <v>274</v>
      </c>
      <c r="B33" s="9">
        <f>((((((B26)+(B27))+(B28))+(B29))+(B30))+(B31))+(B32)</f>
        <v>1200</v>
      </c>
      <c r="C33" s="9">
        <f>((((((C26)+(C27))+(C28))+(C29))+(C30))+(C31))+(C32)</f>
        <v>100</v>
      </c>
      <c r="D33" s="9">
        <f>((((((D26)+(D27))+(D28))+(D29))+(D30))+(D31))+(D32)</f>
        <v>0</v>
      </c>
      <c r="E33" s="9">
        <f>((((((E26)+(E27))+(E28))+(E29))+(E30))+(E31))+(E32)</f>
        <v>181.5</v>
      </c>
      <c r="F33" s="9">
        <f>((((((F26)+(F27))+(F28))+(F29))+(F30))+(F31))+(F32)</f>
        <v>-181.5</v>
      </c>
      <c r="G33" s="9">
        <f t="shared" si="1"/>
        <v>1300</v>
      </c>
    </row>
    <row r="34" spans="1:7" x14ac:dyDescent="0.25">
      <c r="A34" s="3"/>
      <c r="B34" s="4"/>
      <c r="C34" s="4"/>
      <c r="D34" s="4"/>
      <c r="E34" s="4"/>
      <c r="F34" s="4"/>
      <c r="G34" s="4"/>
    </row>
    <row r="37" spans="1:7" x14ac:dyDescent="0.25">
      <c r="A37" s="20" t="s">
        <v>298</v>
      </c>
      <c r="B37" s="21"/>
      <c r="C37" s="21"/>
      <c r="D37" s="21"/>
      <c r="E37" s="21"/>
      <c r="F37" s="21"/>
      <c r="G37" s="21"/>
    </row>
  </sheetData>
  <mergeCells count="8">
    <mergeCell ref="A23:G23"/>
    <mergeCell ref="A37:G37"/>
    <mergeCell ref="A1:G1"/>
    <mergeCell ref="A2:G2"/>
    <mergeCell ref="A3:G3"/>
    <mergeCell ref="A19:G19"/>
    <mergeCell ref="A21:G21"/>
    <mergeCell ref="A22:G2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D2E59B-DB34-467D-ABAC-4889FEB3FAC7}">
  <dimension ref="A1:I37"/>
  <sheetViews>
    <sheetView workbookViewId="0">
      <selection activeCell="J12" sqref="J12"/>
    </sheetView>
  </sheetViews>
  <sheetFormatPr defaultRowHeight="15" x14ac:dyDescent="0.25"/>
  <sheetData>
    <row r="1" spans="1:9" x14ac:dyDescent="0.25">
      <c r="A1" s="24" t="s">
        <v>364</v>
      </c>
      <c r="B1" s="21"/>
      <c r="C1" s="21"/>
      <c r="D1" s="21"/>
      <c r="E1" s="21"/>
      <c r="F1" s="21"/>
      <c r="G1" s="21"/>
      <c r="H1" s="21"/>
      <c r="I1" s="21"/>
    </row>
    <row r="2" spans="1:9" x14ac:dyDescent="0.25">
      <c r="A2" s="24" t="s">
        <v>299</v>
      </c>
      <c r="B2" s="21"/>
      <c r="C2" s="21"/>
      <c r="D2" s="21"/>
      <c r="E2" s="21"/>
      <c r="F2" s="21"/>
      <c r="G2" s="21"/>
      <c r="H2" s="21"/>
      <c r="I2" s="21"/>
    </row>
    <row r="3" spans="1:9" ht="34.5" x14ac:dyDescent="0.25">
      <c r="A3" s="14" t="s">
        <v>300</v>
      </c>
      <c r="B3" s="14" t="s">
        <v>301</v>
      </c>
      <c r="C3" s="14" t="s">
        <v>302</v>
      </c>
      <c r="D3" s="14" t="s">
        <v>303</v>
      </c>
      <c r="E3" s="14" t="s">
        <v>304</v>
      </c>
      <c r="F3" s="14" t="s">
        <v>305</v>
      </c>
      <c r="G3" s="14" t="s">
        <v>306</v>
      </c>
      <c r="H3" s="14" t="s">
        <v>307</v>
      </c>
      <c r="I3" s="14" t="s">
        <v>308</v>
      </c>
    </row>
    <row r="4" spans="1:9" ht="34.5" x14ac:dyDescent="0.25">
      <c r="A4" s="15" t="s">
        <v>309</v>
      </c>
      <c r="B4" s="15"/>
      <c r="C4" s="15" t="s">
        <v>310</v>
      </c>
      <c r="D4" s="15" t="s">
        <v>311</v>
      </c>
      <c r="E4" s="15"/>
      <c r="F4" s="16">
        <v>10</v>
      </c>
      <c r="G4" s="15"/>
      <c r="H4" s="15"/>
      <c r="I4" s="16">
        <v>-889.02</v>
      </c>
    </row>
    <row r="5" spans="1:9" ht="34.5" x14ac:dyDescent="0.25">
      <c r="A5" s="15" t="s">
        <v>309</v>
      </c>
      <c r="B5" s="15"/>
      <c r="C5" s="15" t="s">
        <v>310</v>
      </c>
      <c r="D5" s="15" t="s">
        <v>311</v>
      </c>
      <c r="E5" s="15"/>
      <c r="F5" s="16">
        <v>25</v>
      </c>
      <c r="G5" s="15"/>
      <c r="H5" s="15"/>
      <c r="I5" s="16">
        <v>-879.02</v>
      </c>
    </row>
    <row r="6" spans="1:9" ht="45.75" x14ac:dyDescent="0.25">
      <c r="A6" s="15" t="s">
        <v>309</v>
      </c>
      <c r="B6" s="15"/>
      <c r="C6" s="15" t="s">
        <v>310</v>
      </c>
      <c r="D6" s="15" t="s">
        <v>312</v>
      </c>
      <c r="E6" s="15" t="s">
        <v>313</v>
      </c>
      <c r="F6" s="16">
        <v>180</v>
      </c>
      <c r="G6" s="15"/>
      <c r="H6" s="15"/>
      <c r="I6" s="16">
        <v>-854.02</v>
      </c>
    </row>
    <row r="7" spans="1:9" ht="34.5" x14ac:dyDescent="0.25">
      <c r="A7" s="15" t="s">
        <v>314</v>
      </c>
      <c r="B7" s="15"/>
      <c r="C7" s="15" t="s">
        <v>310</v>
      </c>
      <c r="D7" s="15" t="s">
        <v>315</v>
      </c>
      <c r="E7" s="15" t="s">
        <v>316</v>
      </c>
      <c r="F7" s="16">
        <v>70</v>
      </c>
      <c r="G7" s="15"/>
      <c r="H7" s="15" t="s">
        <v>317</v>
      </c>
      <c r="I7" s="16">
        <v>-674.02</v>
      </c>
    </row>
    <row r="8" spans="1:9" ht="23.25" x14ac:dyDescent="0.25">
      <c r="A8" s="15" t="s">
        <v>314</v>
      </c>
      <c r="B8" s="15"/>
      <c r="C8" s="15" t="s">
        <v>310</v>
      </c>
      <c r="D8" s="15" t="s">
        <v>318</v>
      </c>
      <c r="E8" s="15" t="s">
        <v>319</v>
      </c>
      <c r="F8" s="16">
        <v>9</v>
      </c>
      <c r="G8" s="15"/>
      <c r="H8" s="15"/>
      <c r="I8" s="16">
        <v>-604.02</v>
      </c>
    </row>
    <row r="9" spans="1:9" ht="34.5" x14ac:dyDescent="0.25">
      <c r="A9" s="15" t="s">
        <v>320</v>
      </c>
      <c r="B9" s="15"/>
      <c r="C9" s="15" t="s">
        <v>310</v>
      </c>
      <c r="D9" s="15" t="s">
        <v>321</v>
      </c>
      <c r="E9" s="15" t="s">
        <v>322</v>
      </c>
      <c r="F9" s="16">
        <v>27.66</v>
      </c>
      <c r="G9" s="15"/>
      <c r="H9" s="15"/>
      <c r="I9" s="16">
        <v>-595.02</v>
      </c>
    </row>
    <row r="10" spans="1:9" ht="34.5" x14ac:dyDescent="0.25">
      <c r="A10" s="15" t="s">
        <v>320</v>
      </c>
      <c r="B10" s="15"/>
      <c r="C10" s="15" t="s">
        <v>310</v>
      </c>
      <c r="D10" s="15" t="s">
        <v>323</v>
      </c>
      <c r="E10" s="15" t="s">
        <v>322</v>
      </c>
      <c r="F10" s="16">
        <v>133.5</v>
      </c>
      <c r="G10" s="15"/>
      <c r="H10" s="15"/>
      <c r="I10" s="16">
        <v>-567.36</v>
      </c>
    </row>
    <row r="11" spans="1:9" ht="23.25" x14ac:dyDescent="0.25">
      <c r="A11" s="15" t="s">
        <v>324</v>
      </c>
      <c r="B11" s="15"/>
      <c r="C11" s="15" t="s">
        <v>310</v>
      </c>
      <c r="D11" s="15" t="s">
        <v>325</v>
      </c>
      <c r="E11" s="15" t="s">
        <v>326</v>
      </c>
      <c r="F11" s="16">
        <v>99.45</v>
      </c>
      <c r="G11" s="15"/>
      <c r="H11" s="15"/>
      <c r="I11" s="16">
        <v>-433.86</v>
      </c>
    </row>
    <row r="12" spans="1:9" ht="34.5" x14ac:dyDescent="0.25">
      <c r="A12" s="15" t="s">
        <v>327</v>
      </c>
      <c r="B12" s="15"/>
      <c r="C12" s="15" t="s">
        <v>310</v>
      </c>
      <c r="D12" s="15" t="s">
        <v>321</v>
      </c>
      <c r="E12" s="15" t="s">
        <v>328</v>
      </c>
      <c r="F12" s="16">
        <v>80.739999999999995</v>
      </c>
      <c r="G12" s="15"/>
      <c r="H12" s="15"/>
      <c r="I12" s="16">
        <v>-334.41</v>
      </c>
    </row>
    <row r="13" spans="1:9" ht="45.75" x14ac:dyDescent="0.25">
      <c r="A13" s="15" t="s">
        <v>327</v>
      </c>
      <c r="B13" s="15"/>
      <c r="C13" s="15" t="s">
        <v>310</v>
      </c>
      <c r="D13" s="15" t="s">
        <v>329</v>
      </c>
      <c r="E13" s="15" t="s">
        <v>313</v>
      </c>
      <c r="F13" s="16">
        <v>149.9</v>
      </c>
      <c r="G13" s="15"/>
      <c r="H13" s="15"/>
      <c r="I13" s="16">
        <v>-253.67</v>
      </c>
    </row>
    <row r="14" spans="1:9" ht="34.5" x14ac:dyDescent="0.25">
      <c r="A14" s="15" t="s">
        <v>330</v>
      </c>
      <c r="B14" s="15"/>
      <c r="C14" s="15" t="s">
        <v>310</v>
      </c>
      <c r="D14" s="15" t="s">
        <v>331</v>
      </c>
      <c r="E14" s="15" t="s">
        <v>332</v>
      </c>
      <c r="F14" s="16">
        <v>29.95</v>
      </c>
      <c r="G14" s="15"/>
      <c r="H14" s="15"/>
      <c r="I14" s="16">
        <v>-103.77</v>
      </c>
    </row>
    <row r="15" spans="1:9" ht="45.75" x14ac:dyDescent="0.25">
      <c r="A15" s="15" t="s">
        <v>330</v>
      </c>
      <c r="B15" s="15"/>
      <c r="C15" s="15" t="s">
        <v>310</v>
      </c>
      <c r="D15" s="15" t="s">
        <v>331</v>
      </c>
      <c r="E15" s="15" t="s">
        <v>333</v>
      </c>
      <c r="F15" s="16">
        <v>32.49</v>
      </c>
      <c r="G15" s="15"/>
      <c r="H15" s="15"/>
      <c r="I15" s="16">
        <v>-73.819999999999993</v>
      </c>
    </row>
    <row r="16" spans="1:9" ht="45.75" x14ac:dyDescent="0.25">
      <c r="A16" s="15" t="s">
        <v>334</v>
      </c>
      <c r="B16" s="15"/>
      <c r="C16" s="15" t="s">
        <v>310</v>
      </c>
      <c r="D16" s="15" t="s">
        <v>331</v>
      </c>
      <c r="E16" s="15" t="s">
        <v>333</v>
      </c>
      <c r="F16" s="16">
        <v>100.49</v>
      </c>
      <c r="G16" s="15"/>
      <c r="H16" s="15"/>
      <c r="I16" s="16">
        <v>-41.33</v>
      </c>
    </row>
    <row r="17" spans="1:9" ht="68.25" x14ac:dyDescent="0.25">
      <c r="A17" s="15" t="s">
        <v>335</v>
      </c>
      <c r="B17" s="15"/>
      <c r="C17" s="15" t="s">
        <v>336</v>
      </c>
      <c r="D17" s="15" t="s">
        <v>337</v>
      </c>
      <c r="E17" s="15" t="s">
        <v>338</v>
      </c>
      <c r="F17" s="15"/>
      <c r="G17" s="16">
        <v>7617.82</v>
      </c>
      <c r="H17" s="15" t="s">
        <v>317</v>
      </c>
      <c r="I17" s="16">
        <v>59.16</v>
      </c>
    </row>
    <row r="18" spans="1:9" ht="45.75" x14ac:dyDescent="0.25">
      <c r="A18" s="15" t="s">
        <v>335</v>
      </c>
      <c r="B18" s="15"/>
      <c r="C18" s="15" t="s">
        <v>310</v>
      </c>
      <c r="D18" s="15" t="s">
        <v>331</v>
      </c>
      <c r="E18" s="15" t="s">
        <v>333</v>
      </c>
      <c r="F18" s="16">
        <v>52.3</v>
      </c>
      <c r="G18" s="15"/>
      <c r="H18" s="15" t="s">
        <v>339</v>
      </c>
      <c r="I18" s="16">
        <v>-7558.66</v>
      </c>
    </row>
    <row r="19" spans="1:9" ht="23.25" x14ac:dyDescent="0.25">
      <c r="A19" s="15" t="s">
        <v>340</v>
      </c>
      <c r="B19" s="15"/>
      <c r="C19" s="15" t="s">
        <v>310</v>
      </c>
      <c r="D19" s="15" t="s">
        <v>325</v>
      </c>
      <c r="E19" s="15" t="s">
        <v>326</v>
      </c>
      <c r="F19" s="16">
        <v>99.45</v>
      </c>
      <c r="G19" s="15"/>
      <c r="H19" s="15" t="s">
        <v>339</v>
      </c>
      <c r="I19" s="16">
        <v>-7506.36</v>
      </c>
    </row>
    <row r="20" spans="1:9" x14ac:dyDescent="0.25">
      <c r="A20" s="15" t="s">
        <v>341</v>
      </c>
      <c r="B20" s="15"/>
      <c r="C20" s="15" t="s">
        <v>310</v>
      </c>
      <c r="D20" s="15" t="s">
        <v>342</v>
      </c>
      <c r="E20" s="15"/>
      <c r="F20" s="16">
        <v>356.1</v>
      </c>
      <c r="G20" s="15"/>
      <c r="H20" s="15" t="s">
        <v>339</v>
      </c>
      <c r="I20" s="16">
        <v>-7406.91</v>
      </c>
    </row>
    <row r="21" spans="1:9" ht="23.25" x14ac:dyDescent="0.25">
      <c r="A21" s="15" t="s">
        <v>341</v>
      </c>
      <c r="B21" s="15"/>
      <c r="C21" s="15" t="s">
        <v>310</v>
      </c>
      <c r="D21" s="15" t="s">
        <v>343</v>
      </c>
      <c r="E21" s="15" t="s">
        <v>344</v>
      </c>
      <c r="F21" s="16">
        <v>0.99</v>
      </c>
      <c r="G21" s="15"/>
      <c r="H21" s="15" t="s">
        <v>339</v>
      </c>
      <c r="I21" s="16">
        <v>-7050.81</v>
      </c>
    </row>
    <row r="22" spans="1:9" ht="45.75" x14ac:dyDescent="0.25">
      <c r="A22" s="15" t="s">
        <v>341</v>
      </c>
      <c r="B22" s="15"/>
      <c r="C22" s="15" t="s">
        <v>310</v>
      </c>
      <c r="D22" s="15" t="s">
        <v>345</v>
      </c>
      <c r="E22" s="15" t="s">
        <v>346</v>
      </c>
      <c r="F22" s="16">
        <v>189</v>
      </c>
      <c r="G22" s="15"/>
      <c r="H22" s="15" t="s">
        <v>339</v>
      </c>
      <c r="I22" s="16">
        <v>-7049.82</v>
      </c>
    </row>
    <row r="23" spans="1:9" ht="45.75" x14ac:dyDescent="0.25">
      <c r="A23" s="15" t="s">
        <v>347</v>
      </c>
      <c r="B23" s="15"/>
      <c r="C23" s="15" t="s">
        <v>310</v>
      </c>
      <c r="D23" s="15" t="s">
        <v>331</v>
      </c>
      <c r="E23" s="15" t="s">
        <v>333</v>
      </c>
      <c r="F23" s="16">
        <v>7.99</v>
      </c>
      <c r="G23" s="15"/>
      <c r="H23" s="15" t="s">
        <v>339</v>
      </c>
      <c r="I23" s="16">
        <v>-6860.82</v>
      </c>
    </row>
    <row r="24" spans="1:9" ht="34.5" x14ac:dyDescent="0.25">
      <c r="A24" s="15" t="s">
        <v>347</v>
      </c>
      <c r="B24" s="15"/>
      <c r="C24" s="15" t="s">
        <v>310</v>
      </c>
      <c r="D24" s="15" t="s">
        <v>271</v>
      </c>
      <c r="E24" s="15" t="s">
        <v>348</v>
      </c>
      <c r="F24" s="16">
        <v>8.9600000000000009</v>
      </c>
      <c r="G24" s="15"/>
      <c r="H24" s="15" t="s">
        <v>339</v>
      </c>
      <c r="I24" s="16">
        <v>-6852.83</v>
      </c>
    </row>
    <row r="25" spans="1:9" ht="23.25" x14ac:dyDescent="0.25">
      <c r="A25" s="15" t="s">
        <v>349</v>
      </c>
      <c r="B25" s="15"/>
      <c r="C25" s="15" t="s">
        <v>310</v>
      </c>
      <c r="D25" s="15" t="s">
        <v>350</v>
      </c>
      <c r="E25" s="15" t="s">
        <v>319</v>
      </c>
      <c r="F25" s="16">
        <v>120</v>
      </c>
      <c r="G25" s="15"/>
      <c r="H25" s="15" t="s">
        <v>339</v>
      </c>
      <c r="I25" s="16">
        <v>-6843.87</v>
      </c>
    </row>
    <row r="26" spans="1:9" ht="45.75" x14ac:dyDescent="0.25">
      <c r="A26" s="15" t="s">
        <v>351</v>
      </c>
      <c r="B26" s="15"/>
      <c r="C26" s="15" t="s">
        <v>310</v>
      </c>
      <c r="D26" s="15" t="s">
        <v>312</v>
      </c>
      <c r="E26" s="15" t="s">
        <v>313</v>
      </c>
      <c r="F26" s="16">
        <v>180</v>
      </c>
      <c r="G26" s="15"/>
      <c r="H26" s="15" t="s">
        <v>339</v>
      </c>
      <c r="I26" s="16">
        <v>-6723.87</v>
      </c>
    </row>
    <row r="27" spans="1:9" ht="34.5" x14ac:dyDescent="0.25">
      <c r="A27" s="15" t="s">
        <v>351</v>
      </c>
      <c r="B27" s="15"/>
      <c r="C27" s="15" t="s">
        <v>310</v>
      </c>
      <c r="D27" s="15" t="s">
        <v>352</v>
      </c>
      <c r="E27" s="15" t="s">
        <v>353</v>
      </c>
      <c r="F27" s="16">
        <v>35.17</v>
      </c>
      <c r="G27" s="15"/>
      <c r="H27" s="15" t="s">
        <v>339</v>
      </c>
      <c r="I27" s="16">
        <v>-6543.87</v>
      </c>
    </row>
    <row r="28" spans="1:9" ht="34.5" x14ac:dyDescent="0.25">
      <c r="A28" s="15" t="s">
        <v>351</v>
      </c>
      <c r="B28" s="15"/>
      <c r="C28" s="15" t="s">
        <v>310</v>
      </c>
      <c r="D28" s="15" t="s">
        <v>321</v>
      </c>
      <c r="E28" s="15" t="s">
        <v>353</v>
      </c>
      <c r="F28" s="16">
        <v>47.34</v>
      </c>
      <c r="G28" s="15"/>
      <c r="H28" s="15" t="s">
        <v>339</v>
      </c>
      <c r="I28" s="16">
        <v>-6508.7</v>
      </c>
    </row>
    <row r="29" spans="1:9" ht="34.5" x14ac:dyDescent="0.25">
      <c r="A29" s="15" t="s">
        <v>351</v>
      </c>
      <c r="B29" s="15"/>
      <c r="C29" s="15" t="s">
        <v>310</v>
      </c>
      <c r="D29" s="15" t="s">
        <v>354</v>
      </c>
      <c r="E29" s="15" t="s">
        <v>353</v>
      </c>
      <c r="F29" s="16">
        <v>135.91999999999999</v>
      </c>
      <c r="G29" s="15"/>
      <c r="H29" s="15" t="s">
        <v>339</v>
      </c>
      <c r="I29" s="16">
        <v>-6461.36</v>
      </c>
    </row>
    <row r="30" spans="1:9" x14ac:dyDescent="0.25">
      <c r="A30" s="15" t="s">
        <v>355</v>
      </c>
      <c r="B30" s="15"/>
      <c r="C30" s="15" t="s">
        <v>310</v>
      </c>
      <c r="D30" s="15" t="s">
        <v>356</v>
      </c>
      <c r="E30" s="15" t="s">
        <v>357</v>
      </c>
      <c r="F30" s="16">
        <v>8.99</v>
      </c>
      <c r="G30" s="15"/>
      <c r="H30" s="15" t="s">
        <v>339</v>
      </c>
      <c r="I30" s="16">
        <v>-6325.44</v>
      </c>
    </row>
    <row r="31" spans="1:9" ht="45.75" x14ac:dyDescent="0.25">
      <c r="A31" s="15" t="s">
        <v>355</v>
      </c>
      <c r="B31" s="15"/>
      <c r="C31" s="15" t="s">
        <v>310</v>
      </c>
      <c r="D31" s="15" t="s">
        <v>345</v>
      </c>
      <c r="E31" s="15" t="s">
        <v>346</v>
      </c>
      <c r="F31" s="16">
        <v>5.0199999999999996</v>
      </c>
      <c r="G31" s="15"/>
      <c r="H31" s="15" t="s">
        <v>339</v>
      </c>
      <c r="I31" s="16">
        <v>-6316.45</v>
      </c>
    </row>
    <row r="32" spans="1:9" ht="23.25" x14ac:dyDescent="0.25">
      <c r="A32" s="15" t="s">
        <v>358</v>
      </c>
      <c r="B32" s="15"/>
      <c r="C32" s="15" t="s">
        <v>310</v>
      </c>
      <c r="D32" s="15" t="s">
        <v>282</v>
      </c>
      <c r="E32" s="15" t="s">
        <v>319</v>
      </c>
      <c r="F32" s="16">
        <v>130</v>
      </c>
      <c r="G32" s="15"/>
      <c r="H32" s="15" t="s">
        <v>339</v>
      </c>
      <c r="I32" s="16">
        <v>-6311.43</v>
      </c>
    </row>
    <row r="33" spans="1:9" ht="45.75" x14ac:dyDescent="0.25">
      <c r="A33" s="15" t="s">
        <v>359</v>
      </c>
      <c r="B33" s="15"/>
      <c r="C33" s="15" t="s">
        <v>310</v>
      </c>
      <c r="D33" s="15" t="s">
        <v>331</v>
      </c>
      <c r="E33" s="15" t="s">
        <v>313</v>
      </c>
      <c r="F33" s="16">
        <v>14.99</v>
      </c>
      <c r="G33" s="15"/>
      <c r="H33" s="15" t="s">
        <v>339</v>
      </c>
      <c r="I33" s="16">
        <v>-6181.43</v>
      </c>
    </row>
    <row r="34" spans="1:9" ht="34.5" x14ac:dyDescent="0.25">
      <c r="A34" s="15" t="s">
        <v>359</v>
      </c>
      <c r="B34" s="15"/>
      <c r="C34" s="15" t="s">
        <v>310</v>
      </c>
      <c r="D34" s="15" t="s">
        <v>360</v>
      </c>
      <c r="E34" s="15" t="s">
        <v>353</v>
      </c>
      <c r="F34" s="16">
        <v>23.65</v>
      </c>
      <c r="G34" s="15"/>
      <c r="H34" s="15" t="s">
        <v>339</v>
      </c>
      <c r="I34" s="16">
        <v>-6166.44</v>
      </c>
    </row>
    <row r="35" spans="1:9" ht="34.5" x14ac:dyDescent="0.25">
      <c r="A35" s="15" t="s">
        <v>359</v>
      </c>
      <c r="B35" s="15"/>
      <c r="C35" s="15" t="s">
        <v>310</v>
      </c>
      <c r="D35" s="15" t="s">
        <v>361</v>
      </c>
      <c r="E35" s="15" t="s">
        <v>362</v>
      </c>
      <c r="F35" s="16">
        <v>54</v>
      </c>
      <c r="G35" s="15"/>
      <c r="H35" s="15" t="s">
        <v>339</v>
      </c>
      <c r="I35" s="16">
        <v>-6142.79</v>
      </c>
    </row>
    <row r="36" spans="1:9" ht="23.25" x14ac:dyDescent="0.25">
      <c r="A36" s="15" t="s">
        <v>359</v>
      </c>
      <c r="B36" s="15"/>
      <c r="C36" s="15" t="s">
        <v>310</v>
      </c>
      <c r="D36" s="15" t="s">
        <v>363</v>
      </c>
      <c r="E36" s="15"/>
      <c r="F36" s="16">
        <v>1039</v>
      </c>
      <c r="G36" s="15"/>
      <c r="H36" s="15" t="s">
        <v>339</v>
      </c>
      <c r="I36" s="16">
        <v>-6088.79</v>
      </c>
    </row>
    <row r="37" spans="1:9" ht="23.25" x14ac:dyDescent="0.25">
      <c r="A37" s="15" t="s">
        <v>359</v>
      </c>
      <c r="B37" s="15"/>
      <c r="C37" s="15" t="s">
        <v>310</v>
      </c>
      <c r="D37" s="15" t="s">
        <v>318</v>
      </c>
      <c r="E37" s="15" t="s">
        <v>319</v>
      </c>
      <c r="F37" s="16">
        <v>9</v>
      </c>
      <c r="G37" s="15"/>
      <c r="H37" s="15" t="s">
        <v>339</v>
      </c>
      <c r="I37" s="16">
        <v>-5049.79</v>
      </c>
    </row>
  </sheetData>
  <mergeCells count="2">
    <mergeCell ref="A1:I1"/>
    <mergeCell ref="A2:I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BVA Expanded</vt:lpstr>
      <vt:lpstr>BVA Collapsed </vt:lpstr>
      <vt:lpstr>SOA PYC Expanded</vt:lpstr>
      <vt:lpstr>SOA PYC Collapsed</vt:lpstr>
      <vt:lpstr>SOF Collapsed</vt:lpstr>
      <vt:lpstr>AP</vt:lpstr>
      <vt:lpstr>AR</vt:lpstr>
      <vt:lpstr>BOA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Patricia Relay</cp:lastModifiedBy>
  <dcterms:created xsi:type="dcterms:W3CDTF">2023-04-06T23:55:47Z</dcterms:created>
  <dcterms:modified xsi:type="dcterms:W3CDTF">2023-04-10T19:06:57Z</dcterms:modified>
</cp:coreProperties>
</file>