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zmuseum-my.sharepoint.com/personal/prelay_valdezmuseum_org/Documents/BOARD/BOD Reports/2023/"/>
    </mc:Choice>
  </mc:AlternateContent>
  <xr:revisionPtr revIDLastSave="173" documentId="8_{9F40A7E4-C63C-4DAD-8C4E-981834556C8D}" xr6:coauthVersionLast="47" xr6:coauthVersionMax="47" xr10:uidLastSave="{338BEC27-35B6-453D-A908-1ABC0E8B2270}"/>
  <bookViews>
    <workbookView xWindow="28680" yWindow="-120" windowWidth="25440" windowHeight="15390" activeTab="4" xr2:uid="{00000000-000D-0000-FFFF-FFFF00000000}"/>
  </bookViews>
  <sheets>
    <sheet name="BVA Expanded" sheetId="1" r:id="rId1"/>
    <sheet name="BVA Collapsed" sheetId="2" r:id="rId2"/>
    <sheet name="SOA Expanded" sheetId="3" r:id="rId3"/>
    <sheet name="SOA Collapsed" sheetId="4" r:id="rId4"/>
    <sheet name="SOF Collapsed" sheetId="6" r:id="rId5"/>
    <sheet name="AR" sheetId="7" r:id="rId6"/>
    <sheet name="AP" sheetId="8" r:id="rId7"/>
    <sheet name="BOA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6" l="1"/>
  <c r="K38" i="6"/>
  <c r="L37" i="6"/>
  <c r="K37" i="6"/>
  <c r="L36" i="6"/>
  <c r="K36" i="6"/>
  <c r="K11" i="6"/>
  <c r="J11" i="6"/>
  <c r="K10" i="6"/>
  <c r="J10" i="6"/>
  <c r="K9" i="6"/>
  <c r="J9" i="6"/>
  <c r="K33" i="4"/>
  <c r="J33" i="4"/>
  <c r="K32" i="4"/>
  <c r="J32" i="4"/>
  <c r="K31" i="4"/>
  <c r="J31" i="4"/>
  <c r="K9" i="4"/>
  <c r="J9" i="4"/>
  <c r="K8" i="4"/>
  <c r="J8" i="4"/>
  <c r="K7" i="4"/>
  <c r="J7" i="4"/>
  <c r="J30" i="2"/>
  <c r="J33" i="2"/>
  <c r="I33" i="2"/>
  <c r="J32" i="2"/>
  <c r="I32" i="2"/>
  <c r="J31" i="2"/>
  <c r="I31" i="2"/>
  <c r="I30" i="2"/>
  <c r="F31" i="2"/>
  <c r="F27" i="2"/>
  <c r="J8" i="2"/>
  <c r="I8" i="2"/>
  <c r="J7" i="2"/>
  <c r="I7" i="2"/>
  <c r="J9" i="2"/>
  <c r="I9" i="2"/>
  <c r="C47" i="2"/>
  <c r="E47" i="2" s="1"/>
  <c r="B47" i="2"/>
  <c r="D47" i="2" s="1"/>
  <c r="C46" i="2"/>
  <c r="E46" i="2" s="1"/>
  <c r="B46" i="2"/>
  <c r="D46" i="2" s="1"/>
  <c r="C45" i="2"/>
  <c r="E45" i="2" s="1"/>
  <c r="B45" i="2"/>
  <c r="D45" i="2" s="1"/>
  <c r="C44" i="2"/>
  <c r="E44" i="2" s="1"/>
  <c r="C43" i="2"/>
  <c r="E43" i="2" s="1"/>
  <c r="B43" i="2"/>
  <c r="D43" i="2" s="1"/>
  <c r="C42" i="2"/>
  <c r="E42" i="2" s="1"/>
  <c r="B42" i="2"/>
  <c r="D42" i="2" s="1"/>
  <c r="E41" i="2"/>
  <c r="C41" i="2"/>
  <c r="B41" i="2"/>
  <c r="D41" i="2" s="1"/>
  <c r="C40" i="2"/>
  <c r="E40" i="2" s="1"/>
  <c r="B40" i="2"/>
  <c r="D40" i="2" s="1"/>
  <c r="C39" i="2"/>
  <c r="E39" i="2" s="1"/>
  <c r="B39" i="2"/>
  <c r="D39" i="2" s="1"/>
  <c r="E38" i="2"/>
  <c r="C38" i="2"/>
  <c r="B38" i="2"/>
  <c r="D38" i="2" s="1"/>
  <c r="C37" i="2"/>
  <c r="E37" i="2" s="1"/>
  <c r="B37" i="2"/>
  <c r="D37" i="2" s="1"/>
  <c r="C36" i="2"/>
  <c r="E36" i="2" s="1"/>
  <c r="B36" i="2"/>
  <c r="D36" i="2" s="1"/>
  <c r="E35" i="2"/>
  <c r="C35" i="2"/>
  <c r="D35" i="2" s="1"/>
  <c r="C34" i="2"/>
  <c r="E34" i="2" s="1"/>
  <c r="B34" i="2"/>
  <c r="D34" i="2" s="1"/>
  <c r="E33" i="2"/>
  <c r="C33" i="2"/>
  <c r="B33" i="2"/>
  <c r="D33" i="2" s="1"/>
  <c r="E32" i="2"/>
  <c r="D32" i="2"/>
  <c r="C32" i="2"/>
  <c r="C31" i="2"/>
  <c r="E31" i="2" s="1"/>
  <c r="B31" i="2"/>
  <c r="D31" i="2" s="1"/>
  <c r="D30" i="2"/>
  <c r="C30" i="2"/>
  <c r="E30" i="2" s="1"/>
  <c r="B30" i="2"/>
  <c r="C29" i="2"/>
  <c r="D29" i="2" s="1"/>
  <c r="B29" i="2"/>
  <c r="C28" i="2"/>
  <c r="E28" i="2" s="1"/>
  <c r="B28" i="2"/>
  <c r="D28" i="2" s="1"/>
  <c r="D27" i="2"/>
  <c r="C27" i="2"/>
  <c r="E27" i="2" s="1"/>
  <c r="B27" i="2"/>
  <c r="C26" i="2"/>
  <c r="D26" i="2" s="1"/>
  <c r="B26" i="2"/>
  <c r="C25" i="2"/>
  <c r="E25" i="2" s="1"/>
  <c r="C24" i="2"/>
  <c r="E24" i="2" s="1"/>
  <c r="B24" i="2"/>
  <c r="D24" i="2" s="1"/>
  <c r="C23" i="2"/>
  <c r="E23" i="2" s="1"/>
  <c r="B23" i="2"/>
  <c r="D23" i="2" s="1"/>
  <c r="C22" i="2"/>
  <c r="E22" i="2" s="1"/>
  <c r="B22" i="2"/>
  <c r="D22" i="2" s="1"/>
  <c r="C21" i="2"/>
  <c r="E21" i="2" s="1"/>
  <c r="B21" i="2"/>
  <c r="D21" i="2" s="1"/>
  <c r="C20" i="2"/>
  <c r="E20" i="2" s="1"/>
  <c r="B20" i="2"/>
  <c r="B48" i="2" s="1"/>
  <c r="C16" i="2"/>
  <c r="C17" i="2" s="1"/>
  <c r="B16" i="2"/>
  <c r="B17" i="2" s="1"/>
  <c r="D17" i="2" s="1"/>
  <c r="E15" i="2"/>
  <c r="D15" i="2"/>
  <c r="C15" i="2"/>
  <c r="B15" i="2"/>
  <c r="C12" i="2"/>
  <c r="C13" i="2" s="1"/>
  <c r="E11" i="2"/>
  <c r="D11" i="2"/>
  <c r="C11" i="2"/>
  <c r="B11" i="2"/>
  <c r="D10" i="2"/>
  <c r="C10" i="2"/>
  <c r="E10" i="2" s="1"/>
  <c r="E9" i="2"/>
  <c r="C9" i="2"/>
  <c r="B9" i="2"/>
  <c r="B13" i="2" s="1"/>
  <c r="E8" i="2"/>
  <c r="D8" i="2"/>
  <c r="C8" i="2"/>
  <c r="B8" i="2"/>
  <c r="E15" i="8"/>
  <c r="D15" i="8"/>
  <c r="C15" i="8"/>
  <c r="F14" i="8"/>
  <c r="G14" i="8" s="1"/>
  <c r="F13" i="8"/>
  <c r="G13" i="8" s="1"/>
  <c r="B12" i="8"/>
  <c r="G12" i="8" s="1"/>
  <c r="F11" i="8"/>
  <c r="G11" i="8" s="1"/>
  <c r="F10" i="8"/>
  <c r="B10" i="8"/>
  <c r="G10" i="8" s="1"/>
  <c r="G9" i="8"/>
  <c r="B9" i="8"/>
  <c r="B8" i="8"/>
  <c r="G8" i="8" s="1"/>
  <c r="B7" i="8"/>
  <c r="B15" i="8" s="1"/>
  <c r="G6" i="8"/>
  <c r="F6" i="8"/>
  <c r="F15" i="8" s="1"/>
  <c r="E14" i="7"/>
  <c r="D14" i="7"/>
  <c r="C14" i="7"/>
  <c r="B14" i="7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F14" i="7" s="1"/>
  <c r="C66" i="6"/>
  <c r="E66" i="6" s="1"/>
  <c r="B66" i="6"/>
  <c r="D66" i="6" s="1"/>
  <c r="C65" i="6"/>
  <c r="E65" i="6" s="1"/>
  <c r="B65" i="6"/>
  <c r="D65" i="6" s="1"/>
  <c r="C64" i="6"/>
  <c r="E64" i="6" s="1"/>
  <c r="B64" i="6"/>
  <c r="D64" i="6" s="1"/>
  <c r="C63" i="6"/>
  <c r="C67" i="6" s="1"/>
  <c r="B63" i="6"/>
  <c r="B67" i="6" s="1"/>
  <c r="D67" i="6" s="1"/>
  <c r="C62" i="6"/>
  <c r="E62" i="6" s="1"/>
  <c r="B62" i="6"/>
  <c r="D62" i="6" s="1"/>
  <c r="C57" i="6"/>
  <c r="E57" i="6" s="1"/>
  <c r="B57" i="6"/>
  <c r="D57" i="6" s="1"/>
  <c r="C56" i="6"/>
  <c r="E56" i="6" s="1"/>
  <c r="B56" i="6"/>
  <c r="D56" i="6" s="1"/>
  <c r="C55" i="6"/>
  <c r="E55" i="6" s="1"/>
  <c r="B55" i="6"/>
  <c r="D55" i="6" s="1"/>
  <c r="C54" i="6"/>
  <c r="E54" i="6" s="1"/>
  <c r="B54" i="6"/>
  <c r="D54" i="6" s="1"/>
  <c r="C53" i="6"/>
  <c r="E53" i="6" s="1"/>
  <c r="B53" i="6"/>
  <c r="D53" i="6" s="1"/>
  <c r="C52" i="6"/>
  <c r="E52" i="6" s="1"/>
  <c r="B52" i="6"/>
  <c r="D52" i="6" s="1"/>
  <c r="C51" i="6"/>
  <c r="E51" i="6" s="1"/>
  <c r="B51" i="6"/>
  <c r="D51" i="6" s="1"/>
  <c r="C50" i="6"/>
  <c r="C58" i="6" s="1"/>
  <c r="E58" i="6" s="1"/>
  <c r="B50" i="6"/>
  <c r="B58" i="6" s="1"/>
  <c r="C47" i="6"/>
  <c r="C48" i="6" s="1"/>
  <c r="E48" i="6" s="1"/>
  <c r="B47" i="6"/>
  <c r="B48" i="6" s="1"/>
  <c r="C45" i="6"/>
  <c r="E45" i="6" s="1"/>
  <c r="B45" i="6"/>
  <c r="D45" i="6" s="1"/>
  <c r="C44" i="6"/>
  <c r="E44" i="6" s="1"/>
  <c r="B44" i="6"/>
  <c r="D44" i="6" s="1"/>
  <c r="C38" i="6"/>
  <c r="E38" i="6" s="1"/>
  <c r="B38" i="6"/>
  <c r="D38" i="6" s="1"/>
  <c r="C37" i="6"/>
  <c r="E37" i="6" s="1"/>
  <c r="B37" i="6"/>
  <c r="D37" i="6" s="1"/>
  <c r="C34" i="6"/>
  <c r="E34" i="6" s="1"/>
  <c r="B34" i="6"/>
  <c r="D34" i="6" s="1"/>
  <c r="C33" i="6"/>
  <c r="E33" i="6" s="1"/>
  <c r="B33" i="6"/>
  <c r="D33" i="6" s="1"/>
  <c r="C32" i="6"/>
  <c r="E32" i="6" s="1"/>
  <c r="B32" i="6"/>
  <c r="D32" i="6" s="1"/>
  <c r="C28" i="6"/>
  <c r="E28" i="6" s="1"/>
  <c r="B28" i="6"/>
  <c r="D28" i="6" s="1"/>
  <c r="C27" i="6"/>
  <c r="E27" i="6" s="1"/>
  <c r="B27" i="6"/>
  <c r="D27" i="6" s="1"/>
  <c r="E26" i="6"/>
  <c r="C26" i="6"/>
  <c r="B26" i="6"/>
  <c r="D26" i="6" s="1"/>
  <c r="C25" i="6"/>
  <c r="E25" i="6" s="1"/>
  <c r="B25" i="6"/>
  <c r="D25" i="6" s="1"/>
  <c r="C24" i="6"/>
  <c r="E24" i="6" s="1"/>
  <c r="B24" i="6"/>
  <c r="D24" i="6" s="1"/>
  <c r="E23" i="6"/>
  <c r="D23" i="6"/>
  <c r="C23" i="6"/>
  <c r="B23" i="6"/>
  <c r="C22" i="6"/>
  <c r="C29" i="6" s="1"/>
  <c r="B22" i="6"/>
  <c r="B29" i="6" s="1"/>
  <c r="D29" i="6" s="1"/>
  <c r="C20" i="6"/>
  <c r="E20" i="6" s="1"/>
  <c r="B20" i="6"/>
  <c r="D20" i="6" s="1"/>
  <c r="E19" i="6"/>
  <c r="D19" i="6"/>
  <c r="C19" i="6"/>
  <c r="B19" i="6"/>
  <c r="C18" i="6"/>
  <c r="E18" i="6" s="1"/>
  <c r="B18" i="6"/>
  <c r="D18" i="6" s="1"/>
  <c r="E15" i="6"/>
  <c r="D15" i="6"/>
  <c r="C15" i="6"/>
  <c r="B15" i="6"/>
  <c r="C14" i="6"/>
  <c r="E14" i="6" s="1"/>
  <c r="B14" i="6"/>
  <c r="D14" i="6" s="1"/>
  <c r="C13" i="6"/>
  <c r="E13" i="6" s="1"/>
  <c r="B13" i="6"/>
  <c r="D13" i="6" s="1"/>
  <c r="E12" i="6"/>
  <c r="D12" i="6"/>
  <c r="C12" i="6"/>
  <c r="B12" i="6"/>
  <c r="C11" i="6"/>
  <c r="E11" i="6" s="1"/>
  <c r="B11" i="6"/>
  <c r="D11" i="6" s="1"/>
  <c r="C10" i="6"/>
  <c r="E10" i="6" s="1"/>
  <c r="B10" i="6"/>
  <c r="B16" i="6" s="1"/>
  <c r="C49" i="4"/>
  <c r="E49" i="4" s="1"/>
  <c r="B49" i="4"/>
  <c r="D49" i="4" s="1"/>
  <c r="D48" i="4"/>
  <c r="C48" i="4"/>
  <c r="E48" i="4" s="1"/>
  <c r="B48" i="4"/>
  <c r="C47" i="4"/>
  <c r="E47" i="4" s="1"/>
  <c r="E43" i="4"/>
  <c r="C43" i="4"/>
  <c r="B43" i="4"/>
  <c r="D43" i="4" s="1"/>
  <c r="C42" i="4"/>
  <c r="E42" i="4" s="1"/>
  <c r="B42" i="4"/>
  <c r="D42" i="4" s="1"/>
  <c r="E41" i="4"/>
  <c r="B41" i="4"/>
  <c r="D41" i="4" s="1"/>
  <c r="E40" i="4"/>
  <c r="D40" i="4"/>
  <c r="B40" i="4"/>
  <c r="E39" i="4"/>
  <c r="C39" i="4"/>
  <c r="B39" i="4"/>
  <c r="D39" i="4" s="1"/>
  <c r="C38" i="4"/>
  <c r="D38" i="4" s="1"/>
  <c r="B38" i="4"/>
  <c r="E37" i="4"/>
  <c r="C37" i="4"/>
  <c r="D37" i="4" s="1"/>
  <c r="B37" i="4"/>
  <c r="E36" i="4"/>
  <c r="C36" i="4"/>
  <c r="B36" i="4"/>
  <c r="D36" i="4" s="1"/>
  <c r="C35" i="4"/>
  <c r="D35" i="4" s="1"/>
  <c r="B35" i="4"/>
  <c r="E34" i="4"/>
  <c r="C34" i="4"/>
  <c r="D34" i="4" s="1"/>
  <c r="B34" i="4"/>
  <c r="E33" i="4"/>
  <c r="C33" i="4"/>
  <c r="B33" i="4"/>
  <c r="D33" i="4" s="1"/>
  <c r="E32" i="4"/>
  <c r="B32" i="4"/>
  <c r="D32" i="4" s="1"/>
  <c r="D31" i="4"/>
  <c r="C31" i="4"/>
  <c r="E31" i="4" s="1"/>
  <c r="B31" i="4"/>
  <c r="D30" i="4"/>
  <c r="C30" i="4"/>
  <c r="E30" i="4" s="1"/>
  <c r="B30" i="4"/>
  <c r="E29" i="4"/>
  <c r="B29" i="4"/>
  <c r="D29" i="4" s="1"/>
  <c r="E28" i="4"/>
  <c r="C28" i="4"/>
  <c r="B28" i="4"/>
  <c r="D28" i="4" s="1"/>
  <c r="E27" i="4"/>
  <c r="C27" i="4"/>
  <c r="B27" i="4"/>
  <c r="D27" i="4" s="1"/>
  <c r="C26" i="4"/>
  <c r="E26" i="4" s="1"/>
  <c r="B26" i="4"/>
  <c r="D26" i="4" s="1"/>
  <c r="E25" i="4"/>
  <c r="C25" i="4"/>
  <c r="C44" i="4" s="1"/>
  <c r="B25" i="4"/>
  <c r="D25" i="4" s="1"/>
  <c r="E24" i="4"/>
  <c r="C24" i="4"/>
  <c r="D24" i="4" s="1"/>
  <c r="C23" i="4"/>
  <c r="E23" i="4" s="1"/>
  <c r="B23" i="4"/>
  <c r="D23" i="4" s="1"/>
  <c r="D22" i="4"/>
  <c r="C22" i="4"/>
  <c r="B22" i="4"/>
  <c r="E22" i="4" s="1"/>
  <c r="E21" i="4"/>
  <c r="D21" i="4"/>
  <c r="C21" i="4"/>
  <c r="B21" i="4"/>
  <c r="C20" i="4"/>
  <c r="E20" i="4" s="1"/>
  <c r="B20" i="4"/>
  <c r="D20" i="4" s="1"/>
  <c r="D19" i="4"/>
  <c r="C19" i="4"/>
  <c r="B19" i="4"/>
  <c r="E19" i="4" s="1"/>
  <c r="C16" i="4"/>
  <c r="D15" i="4"/>
  <c r="C15" i="4"/>
  <c r="B15" i="4"/>
  <c r="E15" i="4" s="1"/>
  <c r="E14" i="4"/>
  <c r="D14" i="4"/>
  <c r="C14" i="4"/>
  <c r="B14" i="4"/>
  <c r="D11" i="4"/>
  <c r="C11" i="4"/>
  <c r="B11" i="4"/>
  <c r="E11" i="4" s="1"/>
  <c r="E10" i="4"/>
  <c r="D10" i="4"/>
  <c r="C10" i="4"/>
  <c r="C9" i="4"/>
  <c r="B9" i="4"/>
  <c r="E9" i="4" s="1"/>
  <c r="C8" i="4"/>
  <c r="C12" i="4" s="1"/>
  <c r="B8" i="4"/>
  <c r="C135" i="3"/>
  <c r="C136" i="3" s="1"/>
  <c r="E136" i="3" s="1"/>
  <c r="B135" i="3"/>
  <c r="B136" i="3" s="1"/>
  <c r="D136" i="3" s="1"/>
  <c r="C134" i="3"/>
  <c r="E134" i="3" s="1"/>
  <c r="C129" i="3"/>
  <c r="E129" i="3" s="1"/>
  <c r="B129" i="3"/>
  <c r="B130" i="3" s="1"/>
  <c r="C128" i="3"/>
  <c r="C130" i="3" s="1"/>
  <c r="E130" i="3" s="1"/>
  <c r="E127" i="3"/>
  <c r="D127" i="3"/>
  <c r="C126" i="3"/>
  <c r="E126" i="3" s="1"/>
  <c r="B126" i="3"/>
  <c r="D126" i="3" s="1"/>
  <c r="C125" i="3"/>
  <c r="E125" i="3" s="1"/>
  <c r="E124" i="3"/>
  <c r="B124" i="3"/>
  <c r="B125" i="3" s="1"/>
  <c r="D125" i="3" s="1"/>
  <c r="E123" i="3"/>
  <c r="D123" i="3"/>
  <c r="E122" i="3"/>
  <c r="B122" i="3"/>
  <c r="D122" i="3" s="1"/>
  <c r="C121" i="3"/>
  <c r="E121" i="3" s="1"/>
  <c r="B121" i="3"/>
  <c r="D121" i="3" s="1"/>
  <c r="C120" i="3"/>
  <c r="E120" i="3" s="1"/>
  <c r="B120" i="3"/>
  <c r="D120" i="3" s="1"/>
  <c r="E119" i="3"/>
  <c r="D119" i="3"/>
  <c r="C119" i="3"/>
  <c r="B119" i="3"/>
  <c r="E118" i="3"/>
  <c r="B118" i="3"/>
  <c r="D118" i="3" s="1"/>
  <c r="C117" i="3"/>
  <c r="E117" i="3" s="1"/>
  <c r="B117" i="3"/>
  <c r="D117" i="3" s="1"/>
  <c r="E115" i="3"/>
  <c r="D115" i="3"/>
  <c r="C115" i="3"/>
  <c r="B115" i="3"/>
  <c r="C114" i="3"/>
  <c r="C116" i="3" s="1"/>
  <c r="B114" i="3"/>
  <c r="B116" i="3" s="1"/>
  <c r="D116" i="3" s="1"/>
  <c r="E113" i="3"/>
  <c r="D113" i="3"/>
  <c r="E112" i="3"/>
  <c r="C112" i="3"/>
  <c r="B112" i="3"/>
  <c r="D112" i="3" s="1"/>
  <c r="C111" i="3"/>
  <c r="E111" i="3" s="1"/>
  <c r="B111" i="3"/>
  <c r="D111" i="3" s="1"/>
  <c r="C110" i="3"/>
  <c r="D110" i="3" s="1"/>
  <c r="B110" i="3"/>
  <c r="C108" i="3"/>
  <c r="E108" i="3" s="1"/>
  <c r="B108" i="3"/>
  <c r="D108" i="3" s="1"/>
  <c r="E107" i="3"/>
  <c r="B107" i="3"/>
  <c r="D107" i="3" s="1"/>
  <c r="D106" i="3"/>
  <c r="C106" i="3"/>
  <c r="B106" i="3"/>
  <c r="E106" i="3" s="1"/>
  <c r="E105" i="3"/>
  <c r="C105" i="3"/>
  <c r="B105" i="3"/>
  <c r="D105" i="3" s="1"/>
  <c r="C104" i="3"/>
  <c r="C109" i="3" s="1"/>
  <c r="E103" i="3"/>
  <c r="D103" i="3"/>
  <c r="E102" i="3"/>
  <c r="C102" i="3"/>
  <c r="B102" i="3"/>
  <c r="D102" i="3" s="1"/>
  <c r="E101" i="3"/>
  <c r="D101" i="3"/>
  <c r="B101" i="3"/>
  <c r="E100" i="3"/>
  <c r="D100" i="3"/>
  <c r="C98" i="3"/>
  <c r="E98" i="3" s="1"/>
  <c r="B98" i="3"/>
  <c r="D98" i="3" s="1"/>
  <c r="C97" i="3"/>
  <c r="E97" i="3" s="1"/>
  <c r="B97" i="3"/>
  <c r="D97" i="3" s="1"/>
  <c r="E96" i="3"/>
  <c r="D96" i="3"/>
  <c r="C96" i="3"/>
  <c r="B96" i="3"/>
  <c r="B99" i="3" s="1"/>
  <c r="D99" i="3" s="1"/>
  <c r="C95" i="3"/>
  <c r="C99" i="3" s="1"/>
  <c r="B95" i="3"/>
  <c r="D95" i="3" s="1"/>
  <c r="E94" i="3"/>
  <c r="D94" i="3"/>
  <c r="C93" i="3"/>
  <c r="E93" i="3" s="1"/>
  <c r="B93" i="3"/>
  <c r="D93" i="3" s="1"/>
  <c r="E92" i="3"/>
  <c r="C92" i="3"/>
  <c r="E91" i="3"/>
  <c r="D91" i="3"/>
  <c r="B91" i="3"/>
  <c r="E90" i="3"/>
  <c r="B90" i="3"/>
  <c r="B92" i="3" s="1"/>
  <c r="D92" i="3" s="1"/>
  <c r="E89" i="3"/>
  <c r="D89" i="3"/>
  <c r="E88" i="3"/>
  <c r="D88" i="3"/>
  <c r="C88" i="3"/>
  <c r="B88" i="3"/>
  <c r="C86" i="3"/>
  <c r="C87" i="3" s="1"/>
  <c r="B86" i="3"/>
  <c r="B87" i="3" s="1"/>
  <c r="D87" i="3" s="1"/>
  <c r="E85" i="3"/>
  <c r="D85" i="3"/>
  <c r="C85" i="3"/>
  <c r="B85" i="3"/>
  <c r="E84" i="3"/>
  <c r="D84" i="3"/>
  <c r="E82" i="3"/>
  <c r="D82" i="3"/>
  <c r="C82" i="3"/>
  <c r="B82" i="3"/>
  <c r="C81" i="3"/>
  <c r="E81" i="3" s="1"/>
  <c r="B81" i="3"/>
  <c r="D81" i="3" s="1"/>
  <c r="C80" i="3"/>
  <c r="E80" i="3" s="1"/>
  <c r="B80" i="3"/>
  <c r="D80" i="3" s="1"/>
  <c r="E79" i="3"/>
  <c r="D79" i="3"/>
  <c r="E77" i="3"/>
  <c r="C77" i="3"/>
  <c r="C78" i="3" s="1"/>
  <c r="B77" i="3"/>
  <c r="B78" i="3" s="1"/>
  <c r="D78" i="3" s="1"/>
  <c r="E76" i="3"/>
  <c r="D76" i="3"/>
  <c r="B75" i="3"/>
  <c r="C74" i="3"/>
  <c r="C75" i="3" s="1"/>
  <c r="E73" i="3"/>
  <c r="D73" i="3"/>
  <c r="C72" i="3"/>
  <c r="E72" i="3" s="1"/>
  <c r="B72" i="3"/>
  <c r="D72" i="3" s="1"/>
  <c r="E71" i="3"/>
  <c r="C71" i="3"/>
  <c r="D71" i="3" s="1"/>
  <c r="B71" i="3"/>
  <c r="D70" i="3"/>
  <c r="C70" i="3"/>
  <c r="E70" i="3" s="1"/>
  <c r="B70" i="3"/>
  <c r="C69" i="3"/>
  <c r="E69" i="3" s="1"/>
  <c r="B69" i="3"/>
  <c r="D69" i="3" s="1"/>
  <c r="C68" i="3"/>
  <c r="E67" i="3"/>
  <c r="D67" i="3"/>
  <c r="C67" i="3"/>
  <c r="B67" i="3"/>
  <c r="B68" i="3" s="1"/>
  <c r="E66" i="3"/>
  <c r="D66" i="3"/>
  <c r="B63" i="3"/>
  <c r="C62" i="3"/>
  <c r="E62" i="3" s="1"/>
  <c r="B62" i="3"/>
  <c r="D62" i="3" s="1"/>
  <c r="C61" i="3"/>
  <c r="D61" i="3" s="1"/>
  <c r="B61" i="3"/>
  <c r="C57" i="3"/>
  <c r="E57" i="3" s="1"/>
  <c r="C56" i="3"/>
  <c r="E56" i="3" s="1"/>
  <c r="B56" i="3"/>
  <c r="D56" i="3" s="1"/>
  <c r="E55" i="3"/>
  <c r="B55" i="3"/>
  <c r="D55" i="3" s="1"/>
  <c r="C54" i="3"/>
  <c r="E54" i="3" s="1"/>
  <c r="E53" i="3"/>
  <c r="D53" i="3"/>
  <c r="C53" i="3"/>
  <c r="C52" i="3"/>
  <c r="E52" i="3" s="1"/>
  <c r="B52" i="3"/>
  <c r="D52" i="3" s="1"/>
  <c r="E51" i="3"/>
  <c r="B51" i="3"/>
  <c r="D51" i="3" s="1"/>
  <c r="C50" i="3"/>
  <c r="D50" i="3" s="1"/>
  <c r="B50" i="3"/>
  <c r="C49" i="3"/>
  <c r="E49" i="3" s="1"/>
  <c r="E48" i="3"/>
  <c r="C48" i="3"/>
  <c r="D48" i="3" s="1"/>
  <c r="C47" i="3"/>
  <c r="E47" i="3" s="1"/>
  <c r="B47" i="3"/>
  <c r="D47" i="3" s="1"/>
  <c r="E46" i="3"/>
  <c r="D46" i="3"/>
  <c r="C46" i="3"/>
  <c r="C45" i="3"/>
  <c r="E45" i="3" s="1"/>
  <c r="B45" i="3"/>
  <c r="D45" i="3" s="1"/>
  <c r="C44" i="3"/>
  <c r="B44" i="3"/>
  <c r="E44" i="3" s="1"/>
  <c r="E43" i="3"/>
  <c r="D43" i="3"/>
  <c r="B43" i="3"/>
  <c r="C42" i="3"/>
  <c r="E42" i="3" s="1"/>
  <c r="B42" i="3"/>
  <c r="D42" i="3" s="1"/>
  <c r="E41" i="3"/>
  <c r="D41" i="3"/>
  <c r="C41" i="3"/>
  <c r="C40" i="3"/>
  <c r="E40" i="3" s="1"/>
  <c r="B40" i="3"/>
  <c r="D40" i="3" s="1"/>
  <c r="E39" i="3"/>
  <c r="C39" i="3"/>
  <c r="B39" i="3"/>
  <c r="D39" i="3" s="1"/>
  <c r="E38" i="3"/>
  <c r="D38" i="3"/>
  <c r="C38" i="3"/>
  <c r="B38" i="3"/>
  <c r="C37" i="3"/>
  <c r="E37" i="3" s="1"/>
  <c r="E36" i="3"/>
  <c r="D36" i="3"/>
  <c r="C36" i="3"/>
  <c r="C35" i="3"/>
  <c r="E35" i="3" s="1"/>
  <c r="B35" i="3"/>
  <c r="D35" i="3" s="1"/>
  <c r="C34" i="3"/>
  <c r="E34" i="3" s="1"/>
  <c r="B34" i="3"/>
  <c r="D34" i="3" s="1"/>
  <c r="E33" i="3"/>
  <c r="D33" i="3"/>
  <c r="C33" i="3"/>
  <c r="B33" i="3"/>
  <c r="B57" i="3" s="1"/>
  <c r="D57" i="3" s="1"/>
  <c r="C32" i="3"/>
  <c r="E32" i="3" s="1"/>
  <c r="E31" i="3"/>
  <c r="D31" i="3"/>
  <c r="C30" i="3"/>
  <c r="E30" i="3" s="1"/>
  <c r="B30" i="3"/>
  <c r="D30" i="3" s="1"/>
  <c r="E29" i="3"/>
  <c r="D29" i="3"/>
  <c r="C29" i="3"/>
  <c r="B29" i="3"/>
  <c r="D28" i="3"/>
  <c r="C28" i="3"/>
  <c r="E28" i="3" s="1"/>
  <c r="B28" i="3"/>
  <c r="C27" i="3"/>
  <c r="E27" i="3" s="1"/>
  <c r="B27" i="3"/>
  <c r="D27" i="3" s="1"/>
  <c r="E26" i="3"/>
  <c r="D26" i="3"/>
  <c r="B26" i="3"/>
  <c r="E25" i="3"/>
  <c r="B25" i="3"/>
  <c r="D25" i="3" s="1"/>
  <c r="E24" i="3"/>
  <c r="D24" i="3"/>
  <c r="C23" i="3"/>
  <c r="C58" i="3" s="1"/>
  <c r="B23" i="3"/>
  <c r="E22" i="3"/>
  <c r="C22" i="3"/>
  <c r="B22" i="3"/>
  <c r="D22" i="3" s="1"/>
  <c r="E21" i="3"/>
  <c r="D21" i="3"/>
  <c r="E20" i="3"/>
  <c r="D20" i="3"/>
  <c r="C19" i="3"/>
  <c r="E19" i="3" s="1"/>
  <c r="E17" i="3"/>
  <c r="D17" i="3"/>
  <c r="C17" i="3"/>
  <c r="B17" i="3"/>
  <c r="B16" i="3"/>
  <c r="B18" i="3" s="1"/>
  <c r="E15" i="3"/>
  <c r="D15" i="3"/>
  <c r="B15" i="3"/>
  <c r="D14" i="3"/>
  <c r="C14" i="3"/>
  <c r="E14" i="3" s="1"/>
  <c r="B14" i="3"/>
  <c r="E13" i="3"/>
  <c r="D13" i="3"/>
  <c r="E12" i="3"/>
  <c r="D12" i="3"/>
  <c r="C11" i="3"/>
  <c r="B11" i="3"/>
  <c r="C10" i="3"/>
  <c r="E10" i="3" s="1"/>
  <c r="B10" i="3"/>
  <c r="E9" i="3"/>
  <c r="D9" i="3"/>
  <c r="C9" i="3"/>
  <c r="E8" i="3"/>
  <c r="D8" i="3"/>
  <c r="B167" i="1"/>
  <c r="E166" i="1"/>
  <c r="C166" i="1"/>
  <c r="B166" i="1"/>
  <c r="D166" i="1" s="1"/>
  <c r="E165" i="1"/>
  <c r="C165" i="1"/>
  <c r="C167" i="1" s="1"/>
  <c r="E167" i="1" s="1"/>
  <c r="E164" i="1"/>
  <c r="D164" i="1"/>
  <c r="C163" i="1"/>
  <c r="E163" i="1" s="1"/>
  <c r="B163" i="1"/>
  <c r="D163" i="1" s="1"/>
  <c r="B162" i="1"/>
  <c r="C161" i="1"/>
  <c r="C162" i="1" s="1"/>
  <c r="E162" i="1" s="1"/>
  <c r="B161" i="1"/>
  <c r="E160" i="1"/>
  <c r="D160" i="1"/>
  <c r="E159" i="1"/>
  <c r="D159" i="1"/>
  <c r="C159" i="1"/>
  <c r="C158" i="1"/>
  <c r="E158" i="1" s="1"/>
  <c r="B158" i="1"/>
  <c r="C157" i="1"/>
  <c r="B157" i="1"/>
  <c r="D157" i="1" s="1"/>
  <c r="C156" i="1"/>
  <c r="E155" i="1"/>
  <c r="B155" i="1"/>
  <c r="D155" i="1" s="1"/>
  <c r="E154" i="1"/>
  <c r="B154" i="1"/>
  <c r="D154" i="1" s="1"/>
  <c r="D153" i="1"/>
  <c r="C153" i="1"/>
  <c r="B153" i="1"/>
  <c r="E153" i="1" s="1"/>
  <c r="C152" i="1"/>
  <c r="E152" i="1" s="1"/>
  <c r="C151" i="1"/>
  <c r="E151" i="1" s="1"/>
  <c r="B151" i="1"/>
  <c r="D151" i="1" s="1"/>
  <c r="E150" i="1"/>
  <c r="D150" i="1"/>
  <c r="C150" i="1"/>
  <c r="B150" i="1"/>
  <c r="B152" i="1" s="1"/>
  <c r="D152" i="1" s="1"/>
  <c r="E149" i="1"/>
  <c r="D149" i="1"/>
  <c r="E148" i="1"/>
  <c r="C148" i="1"/>
  <c r="B148" i="1"/>
  <c r="D148" i="1" s="1"/>
  <c r="C147" i="1"/>
  <c r="E147" i="1" s="1"/>
  <c r="B147" i="1"/>
  <c r="D147" i="1" s="1"/>
  <c r="C146" i="1"/>
  <c r="E146" i="1" s="1"/>
  <c r="B146" i="1"/>
  <c r="C144" i="1"/>
  <c r="E144" i="1" s="1"/>
  <c r="B144" i="1"/>
  <c r="B145" i="1" s="1"/>
  <c r="D145" i="1" s="1"/>
  <c r="C143" i="1"/>
  <c r="E143" i="1" s="1"/>
  <c r="D142" i="1"/>
  <c r="C142" i="1"/>
  <c r="B142" i="1"/>
  <c r="E142" i="1" s="1"/>
  <c r="C141" i="1"/>
  <c r="C145" i="1" s="1"/>
  <c r="B141" i="1"/>
  <c r="D141" i="1" s="1"/>
  <c r="E140" i="1"/>
  <c r="C140" i="1"/>
  <c r="B140" i="1"/>
  <c r="D140" i="1" s="1"/>
  <c r="E139" i="1"/>
  <c r="D139" i="1"/>
  <c r="C139" i="1"/>
  <c r="E138" i="1"/>
  <c r="D138" i="1"/>
  <c r="D137" i="1"/>
  <c r="C137" i="1"/>
  <c r="E137" i="1" s="1"/>
  <c r="E135" i="1"/>
  <c r="D135" i="1"/>
  <c r="C135" i="1"/>
  <c r="C134" i="1"/>
  <c r="C136" i="1" s="1"/>
  <c r="B134" i="1"/>
  <c r="B136" i="1" s="1"/>
  <c r="D136" i="1" s="1"/>
  <c r="E133" i="1"/>
  <c r="D133" i="1"/>
  <c r="C131" i="1"/>
  <c r="E131" i="1" s="1"/>
  <c r="B131" i="1"/>
  <c r="D131" i="1" s="1"/>
  <c r="C130" i="1"/>
  <c r="E130" i="1" s="1"/>
  <c r="B130" i="1"/>
  <c r="D130" i="1" s="1"/>
  <c r="C129" i="1"/>
  <c r="E129" i="1" s="1"/>
  <c r="B129" i="1"/>
  <c r="D129" i="1" s="1"/>
  <c r="C128" i="1"/>
  <c r="E128" i="1" s="1"/>
  <c r="C127" i="1"/>
  <c r="C132" i="1" s="1"/>
  <c r="B127" i="1"/>
  <c r="B132" i="1" s="1"/>
  <c r="D132" i="1" s="1"/>
  <c r="E126" i="1"/>
  <c r="D126" i="1"/>
  <c r="C125" i="1"/>
  <c r="E125" i="1" s="1"/>
  <c r="C124" i="1"/>
  <c r="E124" i="1" s="1"/>
  <c r="B124" i="1"/>
  <c r="D124" i="1" s="1"/>
  <c r="B123" i="1"/>
  <c r="D123" i="1" s="1"/>
  <c r="C122" i="1"/>
  <c r="E122" i="1" s="1"/>
  <c r="B122" i="1"/>
  <c r="D122" i="1" s="1"/>
  <c r="C121" i="1"/>
  <c r="C123" i="1" s="1"/>
  <c r="E123" i="1" s="1"/>
  <c r="B121" i="1"/>
  <c r="D121" i="1" s="1"/>
  <c r="E120" i="1"/>
  <c r="D120" i="1"/>
  <c r="E119" i="1"/>
  <c r="D119" i="1"/>
  <c r="C119" i="1"/>
  <c r="B119" i="1"/>
  <c r="C117" i="1"/>
  <c r="B117" i="1"/>
  <c r="E117" i="1" s="1"/>
  <c r="E116" i="1"/>
  <c r="D116" i="1"/>
  <c r="C116" i="1"/>
  <c r="B116" i="1"/>
  <c r="B118" i="1" s="1"/>
  <c r="C115" i="1"/>
  <c r="E115" i="1" s="1"/>
  <c r="E114" i="1"/>
  <c r="D114" i="1"/>
  <c r="E112" i="1"/>
  <c r="C112" i="1"/>
  <c r="B112" i="1"/>
  <c r="D112" i="1" s="1"/>
  <c r="C111" i="1"/>
  <c r="E111" i="1" s="1"/>
  <c r="B111" i="1"/>
  <c r="D111" i="1" s="1"/>
  <c r="C110" i="1"/>
  <c r="E110" i="1" s="1"/>
  <c r="B110" i="1"/>
  <c r="B113" i="1" s="1"/>
  <c r="E109" i="1"/>
  <c r="D109" i="1"/>
  <c r="B108" i="1"/>
  <c r="D107" i="1"/>
  <c r="C107" i="1"/>
  <c r="C108" i="1" s="1"/>
  <c r="E108" i="1" s="1"/>
  <c r="B107" i="1"/>
  <c r="E106" i="1"/>
  <c r="D106" i="1"/>
  <c r="B105" i="1"/>
  <c r="D104" i="1"/>
  <c r="C104" i="1"/>
  <c r="E104" i="1" s="1"/>
  <c r="E103" i="1"/>
  <c r="D103" i="1"/>
  <c r="C103" i="1"/>
  <c r="C105" i="1" s="1"/>
  <c r="E105" i="1" s="1"/>
  <c r="E102" i="1"/>
  <c r="D102" i="1"/>
  <c r="E101" i="1"/>
  <c r="C101" i="1"/>
  <c r="B101" i="1"/>
  <c r="D101" i="1" s="1"/>
  <c r="C100" i="1"/>
  <c r="E100" i="1" s="1"/>
  <c r="B100" i="1"/>
  <c r="D100" i="1" s="1"/>
  <c r="C99" i="1"/>
  <c r="E99" i="1" s="1"/>
  <c r="B99" i="1"/>
  <c r="D99" i="1" s="1"/>
  <c r="E98" i="1"/>
  <c r="C98" i="1"/>
  <c r="B98" i="1"/>
  <c r="D98" i="1" s="1"/>
  <c r="B97" i="1"/>
  <c r="C96" i="1"/>
  <c r="C97" i="1" s="1"/>
  <c r="B96" i="1"/>
  <c r="D96" i="1" s="1"/>
  <c r="E95" i="1"/>
  <c r="D95" i="1"/>
  <c r="C91" i="1"/>
  <c r="D91" i="1" s="1"/>
  <c r="B91" i="1"/>
  <c r="C90" i="1"/>
  <c r="E90" i="1" s="1"/>
  <c r="B90" i="1"/>
  <c r="D90" i="1" s="1"/>
  <c r="C87" i="1"/>
  <c r="D87" i="1" s="1"/>
  <c r="C84" i="1"/>
  <c r="E84" i="1" s="1"/>
  <c r="B84" i="1"/>
  <c r="D84" i="1" s="1"/>
  <c r="C83" i="1"/>
  <c r="E83" i="1" s="1"/>
  <c r="D82" i="1"/>
  <c r="C82" i="1"/>
  <c r="E82" i="1" s="1"/>
  <c r="E81" i="1"/>
  <c r="D81" i="1"/>
  <c r="C81" i="1"/>
  <c r="C80" i="1"/>
  <c r="D80" i="1" s="1"/>
  <c r="C79" i="1"/>
  <c r="E79" i="1" s="1"/>
  <c r="B79" i="1"/>
  <c r="D79" i="1" s="1"/>
  <c r="C78" i="1"/>
  <c r="E78" i="1" s="1"/>
  <c r="C77" i="1"/>
  <c r="E77" i="1" s="1"/>
  <c r="E76" i="1"/>
  <c r="D76" i="1"/>
  <c r="C76" i="1"/>
  <c r="B76" i="1"/>
  <c r="C75" i="1"/>
  <c r="E75" i="1" s="1"/>
  <c r="D74" i="1"/>
  <c r="C74" i="1"/>
  <c r="E74" i="1" s="1"/>
  <c r="D73" i="1"/>
  <c r="C73" i="1"/>
  <c r="E73" i="1" s="1"/>
  <c r="E72" i="1"/>
  <c r="C72" i="1"/>
  <c r="D72" i="1" s="1"/>
  <c r="C71" i="1"/>
  <c r="E71" i="1" s="1"/>
  <c r="D70" i="1"/>
  <c r="C70" i="1"/>
  <c r="E70" i="1" s="1"/>
  <c r="B70" i="1"/>
  <c r="C69" i="1"/>
  <c r="D69" i="1" s="1"/>
  <c r="C68" i="1"/>
  <c r="E68" i="1" s="1"/>
  <c r="B68" i="1"/>
  <c r="D68" i="1" s="1"/>
  <c r="C67" i="1"/>
  <c r="E67" i="1" s="1"/>
  <c r="C66" i="1"/>
  <c r="E66" i="1" s="1"/>
  <c r="E65" i="1"/>
  <c r="D65" i="1"/>
  <c r="C65" i="1"/>
  <c r="B65" i="1"/>
  <c r="C64" i="1"/>
  <c r="E64" i="1" s="1"/>
  <c r="D63" i="1"/>
  <c r="C63" i="1"/>
  <c r="E63" i="1" s="1"/>
  <c r="B63" i="1"/>
  <c r="C62" i="1"/>
  <c r="D62" i="1" s="1"/>
  <c r="C61" i="1"/>
  <c r="E61" i="1" s="1"/>
  <c r="C60" i="1"/>
  <c r="E60" i="1" s="1"/>
  <c r="B60" i="1"/>
  <c r="D60" i="1" s="1"/>
  <c r="C59" i="1"/>
  <c r="E59" i="1" s="1"/>
  <c r="E58" i="1"/>
  <c r="D58" i="1"/>
  <c r="C58" i="1"/>
  <c r="B58" i="1"/>
  <c r="C57" i="1"/>
  <c r="E57" i="1" s="1"/>
  <c r="B57" i="1"/>
  <c r="D57" i="1" s="1"/>
  <c r="E56" i="1"/>
  <c r="D56" i="1"/>
  <c r="C56" i="1"/>
  <c r="C55" i="1"/>
  <c r="D55" i="1" s="1"/>
  <c r="B55" i="1"/>
  <c r="C54" i="1"/>
  <c r="E54" i="1" s="1"/>
  <c r="B54" i="1"/>
  <c r="D54" i="1" s="1"/>
  <c r="D53" i="1"/>
  <c r="C53" i="1"/>
  <c r="E53" i="1" s="1"/>
  <c r="C52" i="1"/>
  <c r="E52" i="1" s="1"/>
  <c r="B52" i="1"/>
  <c r="D52" i="1" s="1"/>
  <c r="C51" i="1"/>
  <c r="E51" i="1" s="1"/>
  <c r="B51" i="1"/>
  <c r="D51" i="1" s="1"/>
  <c r="C50" i="1"/>
  <c r="E50" i="1" s="1"/>
  <c r="B50" i="1"/>
  <c r="D50" i="1" s="1"/>
  <c r="D49" i="1"/>
  <c r="C49" i="1"/>
  <c r="E49" i="1" s="1"/>
  <c r="E48" i="1"/>
  <c r="C48" i="1"/>
  <c r="D48" i="1" s="1"/>
  <c r="C47" i="1"/>
  <c r="E47" i="1" s="1"/>
  <c r="D46" i="1"/>
  <c r="C46" i="1"/>
  <c r="E46" i="1" s="1"/>
  <c r="C45" i="1"/>
  <c r="E45" i="1" s="1"/>
  <c r="B45" i="1"/>
  <c r="D45" i="1" s="1"/>
  <c r="C44" i="1"/>
  <c r="E44" i="1" s="1"/>
  <c r="B44" i="1"/>
  <c r="D44" i="1" s="1"/>
  <c r="C43" i="1"/>
  <c r="E43" i="1" s="1"/>
  <c r="B43" i="1"/>
  <c r="D43" i="1" s="1"/>
  <c r="D42" i="1"/>
  <c r="C42" i="1"/>
  <c r="E42" i="1" s="1"/>
  <c r="E41" i="1"/>
  <c r="D41" i="1"/>
  <c r="D39" i="1"/>
  <c r="C39" i="1"/>
  <c r="C40" i="1" s="1"/>
  <c r="B39" i="1"/>
  <c r="E38" i="1"/>
  <c r="B38" i="1"/>
  <c r="D38" i="1" s="1"/>
  <c r="C37" i="1"/>
  <c r="E37" i="1" s="1"/>
  <c r="E36" i="1"/>
  <c r="B36" i="1"/>
  <c r="D36" i="1" s="1"/>
  <c r="E35" i="1"/>
  <c r="B35" i="1"/>
  <c r="B37" i="1" s="1"/>
  <c r="D37" i="1" s="1"/>
  <c r="E34" i="1"/>
  <c r="D34" i="1"/>
  <c r="C32" i="1"/>
  <c r="E32" i="1" s="1"/>
  <c r="C31" i="1"/>
  <c r="E31" i="1" s="1"/>
  <c r="B31" i="1"/>
  <c r="B33" i="1" s="1"/>
  <c r="E30" i="1"/>
  <c r="C30" i="1"/>
  <c r="D30" i="1" s="1"/>
  <c r="C29" i="1"/>
  <c r="E29" i="1" s="1"/>
  <c r="D28" i="1"/>
  <c r="C28" i="1"/>
  <c r="C33" i="1" s="1"/>
  <c r="E27" i="1"/>
  <c r="D27" i="1"/>
  <c r="E26" i="1"/>
  <c r="D26" i="1"/>
  <c r="C26" i="1"/>
  <c r="E25" i="1"/>
  <c r="D25" i="1"/>
  <c r="D24" i="1"/>
  <c r="C24" i="1"/>
  <c r="E24" i="1" s="1"/>
  <c r="B23" i="1"/>
  <c r="E22" i="1"/>
  <c r="D22" i="1"/>
  <c r="C22" i="1"/>
  <c r="B22" i="1"/>
  <c r="C21" i="1"/>
  <c r="E21" i="1" s="1"/>
  <c r="D20" i="1"/>
  <c r="C20" i="1"/>
  <c r="E20" i="1" s="1"/>
  <c r="D19" i="1"/>
  <c r="C19" i="1"/>
  <c r="E19" i="1" s="1"/>
  <c r="E18" i="1"/>
  <c r="C18" i="1"/>
  <c r="B18" i="1"/>
  <c r="D18" i="1" s="1"/>
  <c r="B17" i="1"/>
  <c r="C16" i="1"/>
  <c r="C17" i="1" s="1"/>
  <c r="B16" i="1"/>
  <c r="D16" i="1" s="1"/>
  <c r="E15" i="1"/>
  <c r="C15" i="1"/>
  <c r="B15" i="1"/>
  <c r="D15" i="1" s="1"/>
  <c r="E14" i="1"/>
  <c r="D14" i="1"/>
  <c r="E13" i="1"/>
  <c r="D13" i="1"/>
  <c r="C12" i="1"/>
  <c r="B12" i="1"/>
  <c r="E11" i="1"/>
  <c r="C11" i="1"/>
  <c r="D11" i="1" s="1"/>
  <c r="C10" i="1"/>
  <c r="E10" i="1" s="1"/>
  <c r="B10" i="1"/>
  <c r="D10" i="1" s="1"/>
  <c r="E9" i="1"/>
  <c r="D9" i="1"/>
  <c r="C9" i="1"/>
  <c r="E8" i="1"/>
  <c r="D8" i="1"/>
  <c r="C18" i="2" l="1"/>
  <c r="E13" i="2"/>
  <c r="B18" i="2"/>
  <c r="D13" i="2"/>
  <c r="E17" i="2"/>
  <c r="C48" i="2"/>
  <c r="E48" i="2" s="1"/>
  <c r="D12" i="2"/>
  <c r="D16" i="2"/>
  <c r="D20" i="2"/>
  <c r="E26" i="2"/>
  <c r="E29" i="2"/>
  <c r="E12" i="2"/>
  <c r="E16" i="2"/>
  <c r="D9" i="2"/>
  <c r="D25" i="2"/>
  <c r="D44" i="2"/>
  <c r="G15" i="8"/>
  <c r="G7" i="8"/>
  <c r="G14" i="7"/>
  <c r="G6" i="7"/>
  <c r="E29" i="6"/>
  <c r="E67" i="6"/>
  <c r="B30" i="6"/>
  <c r="D48" i="6"/>
  <c r="B59" i="6"/>
  <c r="D58" i="6"/>
  <c r="C16" i="6"/>
  <c r="C59" i="6"/>
  <c r="D10" i="6"/>
  <c r="D50" i="6"/>
  <c r="D63" i="6"/>
  <c r="E50" i="6"/>
  <c r="E63" i="6"/>
  <c r="B35" i="6"/>
  <c r="C35" i="6"/>
  <c r="E35" i="6" s="1"/>
  <c r="D22" i="6"/>
  <c r="D47" i="6"/>
  <c r="E22" i="6"/>
  <c r="E47" i="6"/>
  <c r="C17" i="4"/>
  <c r="B44" i="4"/>
  <c r="D44" i="4" s="1"/>
  <c r="E8" i="4"/>
  <c r="B12" i="4"/>
  <c r="B16" i="4"/>
  <c r="D16" i="4" s="1"/>
  <c r="E35" i="4"/>
  <c r="E38" i="4"/>
  <c r="D8" i="4"/>
  <c r="D9" i="4"/>
  <c r="D47" i="4"/>
  <c r="E75" i="3"/>
  <c r="D75" i="3"/>
  <c r="E116" i="3"/>
  <c r="D130" i="3"/>
  <c r="E87" i="3"/>
  <c r="B58" i="3"/>
  <c r="D58" i="3" s="1"/>
  <c r="E78" i="3"/>
  <c r="D68" i="3"/>
  <c r="E68" i="3"/>
  <c r="E99" i="3"/>
  <c r="E11" i="3"/>
  <c r="D37" i="3"/>
  <c r="E50" i="3"/>
  <c r="D54" i="3"/>
  <c r="E61" i="3"/>
  <c r="B83" i="3"/>
  <c r="D83" i="3" s="1"/>
  <c r="D86" i="3"/>
  <c r="D104" i="3"/>
  <c r="E110" i="3"/>
  <c r="D124" i="3"/>
  <c r="D135" i="3"/>
  <c r="C16" i="3"/>
  <c r="D16" i="3" s="1"/>
  <c r="D19" i="3"/>
  <c r="D23" i="3"/>
  <c r="C83" i="3"/>
  <c r="E86" i="3"/>
  <c r="D90" i="3"/>
  <c r="E104" i="3"/>
  <c r="D114" i="3"/>
  <c r="D128" i="3"/>
  <c r="E135" i="3"/>
  <c r="E23" i="3"/>
  <c r="D44" i="3"/>
  <c r="E114" i="3"/>
  <c r="E128" i="3"/>
  <c r="D11" i="3"/>
  <c r="D77" i="3"/>
  <c r="B109" i="3"/>
  <c r="D109" i="3" s="1"/>
  <c r="D129" i="3"/>
  <c r="D32" i="3"/>
  <c r="C63" i="3"/>
  <c r="E63" i="3" s="1"/>
  <c r="D74" i="3"/>
  <c r="D10" i="3"/>
  <c r="D49" i="3"/>
  <c r="E74" i="3"/>
  <c r="E95" i="3"/>
  <c r="D134" i="3"/>
  <c r="E97" i="1"/>
  <c r="E136" i="1"/>
  <c r="D33" i="1"/>
  <c r="D97" i="1"/>
  <c r="D108" i="1"/>
  <c r="E132" i="1"/>
  <c r="D162" i="1"/>
  <c r="E40" i="1"/>
  <c r="D118" i="1"/>
  <c r="E145" i="1"/>
  <c r="E17" i="1"/>
  <c r="C23" i="1"/>
  <c r="E23" i="1" s="1"/>
  <c r="E33" i="1"/>
  <c r="D17" i="1"/>
  <c r="E156" i="1"/>
  <c r="D105" i="1"/>
  <c r="D167" i="1"/>
  <c r="B168" i="1"/>
  <c r="E55" i="1"/>
  <c r="E69" i="1"/>
  <c r="E87" i="1"/>
  <c r="C113" i="1"/>
  <c r="E113" i="1" s="1"/>
  <c r="D144" i="1"/>
  <c r="D12" i="1"/>
  <c r="D31" i="1"/>
  <c r="D35" i="1"/>
  <c r="D59" i="1"/>
  <c r="D66" i="1"/>
  <c r="D77" i="1"/>
  <c r="B92" i="1"/>
  <c r="D92" i="1" s="1"/>
  <c r="D110" i="1"/>
  <c r="D127" i="1"/>
  <c r="E157" i="1"/>
  <c r="D161" i="1"/>
  <c r="E91" i="1"/>
  <c r="E12" i="1"/>
  <c r="E16" i="1"/>
  <c r="B85" i="1"/>
  <c r="D85" i="1" s="1"/>
  <c r="C92" i="1"/>
  <c r="E96" i="1"/>
  <c r="D117" i="1"/>
  <c r="E127" i="1"/>
  <c r="D134" i="1"/>
  <c r="E141" i="1"/>
  <c r="E161" i="1"/>
  <c r="D165" i="1"/>
  <c r="E80" i="1"/>
  <c r="C85" i="1"/>
  <c r="C86" i="1" s="1"/>
  <c r="E28" i="1"/>
  <c r="D32" i="1"/>
  <c r="E39" i="1"/>
  <c r="D67" i="1"/>
  <c r="D78" i="1"/>
  <c r="E107" i="1"/>
  <c r="D128" i="1"/>
  <c r="D158" i="1"/>
  <c r="E134" i="1"/>
  <c r="C118" i="1"/>
  <c r="E118" i="1" s="1"/>
  <c r="E121" i="1"/>
  <c r="B156" i="1"/>
  <c r="D156" i="1" s="1"/>
  <c r="D21" i="1"/>
  <c r="D29" i="1"/>
  <c r="D47" i="1"/>
  <c r="D64" i="1"/>
  <c r="D71" i="1"/>
  <c r="D75" i="1"/>
  <c r="D115" i="1"/>
  <c r="D125" i="1"/>
  <c r="E62" i="1"/>
  <c r="B40" i="1"/>
  <c r="D40" i="1" s="1"/>
  <c r="D61" i="1"/>
  <c r="D83" i="1"/>
  <c r="D143" i="1"/>
  <c r="D146" i="1"/>
  <c r="D18" i="2" l="1"/>
  <c r="B49" i="2"/>
  <c r="D48" i="2"/>
  <c r="E18" i="2"/>
  <c r="C49" i="2"/>
  <c r="E16" i="6"/>
  <c r="C30" i="6"/>
  <c r="C60" i="6"/>
  <c r="E59" i="6"/>
  <c r="B60" i="6"/>
  <c r="D59" i="6"/>
  <c r="D16" i="6"/>
  <c r="D35" i="6"/>
  <c r="B39" i="6"/>
  <c r="D30" i="6"/>
  <c r="E16" i="4"/>
  <c r="B17" i="4"/>
  <c r="D12" i="4"/>
  <c r="E12" i="4"/>
  <c r="C45" i="4"/>
  <c r="E17" i="4"/>
  <c r="E44" i="4"/>
  <c r="E83" i="3"/>
  <c r="D63" i="3"/>
  <c r="B131" i="3"/>
  <c r="B59" i="3"/>
  <c r="C131" i="3"/>
  <c r="E131" i="3" s="1"/>
  <c r="C18" i="3"/>
  <c r="E16" i="3"/>
  <c r="E58" i="3"/>
  <c r="E109" i="3"/>
  <c r="C88" i="1"/>
  <c r="E92" i="1"/>
  <c r="B86" i="1"/>
  <c r="D113" i="1"/>
  <c r="D23" i="1"/>
  <c r="E85" i="1"/>
  <c r="C168" i="1"/>
  <c r="E168" i="1" s="1"/>
  <c r="B50" i="2" l="1"/>
  <c r="D49" i="2"/>
  <c r="C50" i="2"/>
  <c r="E50" i="2" s="1"/>
  <c r="E49" i="2"/>
  <c r="B68" i="6"/>
  <c r="D60" i="6"/>
  <c r="C39" i="6"/>
  <c r="E39" i="6" s="1"/>
  <c r="E30" i="6"/>
  <c r="C68" i="6"/>
  <c r="E68" i="6" s="1"/>
  <c r="E60" i="6"/>
  <c r="B45" i="4"/>
  <c r="D17" i="4"/>
  <c r="C50" i="4"/>
  <c r="E45" i="4"/>
  <c r="B64" i="3"/>
  <c r="D131" i="3"/>
  <c r="E18" i="3"/>
  <c r="C59" i="3"/>
  <c r="D18" i="3"/>
  <c r="D86" i="1"/>
  <c r="B88" i="1"/>
  <c r="E88" i="1" s="1"/>
  <c r="D168" i="1"/>
  <c r="C93" i="1"/>
  <c r="E86" i="1"/>
  <c r="D50" i="2" l="1"/>
  <c r="D68" i="6"/>
  <c r="D39" i="6"/>
  <c r="B50" i="4"/>
  <c r="D50" i="4" s="1"/>
  <c r="D45" i="4"/>
  <c r="E59" i="3"/>
  <c r="C64" i="3"/>
  <c r="D59" i="3"/>
  <c r="B132" i="3"/>
  <c r="D64" i="3"/>
  <c r="C169" i="1"/>
  <c r="D88" i="1"/>
  <c r="B93" i="1"/>
  <c r="E50" i="4" l="1"/>
  <c r="B137" i="3"/>
  <c r="C132" i="3"/>
  <c r="E64" i="3"/>
  <c r="D93" i="1"/>
  <c r="B169" i="1"/>
  <c r="C170" i="1"/>
  <c r="E170" i="1" s="1"/>
  <c r="E169" i="1"/>
  <c r="E93" i="1"/>
  <c r="C137" i="3" l="1"/>
  <c r="E137" i="3" s="1"/>
  <c r="E132" i="3"/>
  <c r="D132" i="3"/>
  <c r="B170" i="1"/>
  <c r="D170" i="1" s="1"/>
  <c r="D169" i="1"/>
  <c r="D137" i="3" l="1"/>
</calcChain>
</file>

<file path=xl/sharedStrings.xml><?xml version="1.0" encoding="utf-8"?>
<sst xmlns="http://schemas.openxmlformats.org/spreadsheetml/2006/main" count="692" uniqueCount="365">
  <si>
    <t>Total</t>
  </si>
  <si>
    <t>Actual</t>
  </si>
  <si>
    <t>Budget</t>
  </si>
  <si>
    <t>over Budget</t>
  </si>
  <si>
    <t>% of Budget</t>
  </si>
  <si>
    <t>Revenue</t>
  </si>
  <si>
    <t xml:space="preserve">   4200 Grants</t>
  </si>
  <si>
    <t xml:space="preserve">      8006 State of Alaska</t>
  </si>
  <si>
    <t xml:space="preserve">      8032 4110 City of Valdez</t>
  </si>
  <si>
    <t xml:space="preserve">      8033 Foundation</t>
  </si>
  <si>
    <t xml:space="preserve">   Total 4200 Grants</t>
  </si>
  <si>
    <t xml:space="preserve">   8003 Fund Development</t>
  </si>
  <si>
    <t xml:space="preserve">      4030 Donations Income</t>
  </si>
  <si>
    <t xml:space="preserve">         8002 Unrestricted</t>
  </si>
  <si>
    <t xml:space="preserve">         8062 6145 In-Kind Income</t>
  </si>
  <si>
    <t xml:space="preserve">      Total 4030 Donations Income</t>
  </si>
  <si>
    <t xml:space="preserve">      8004 Corporate Sponsorship</t>
  </si>
  <si>
    <t xml:space="preserve">      8021 Annual Appeal</t>
  </si>
  <si>
    <t xml:space="preserve">      8022 Raffle</t>
  </si>
  <si>
    <t xml:space="preserve">      8060 Roadhouse Dinner</t>
  </si>
  <si>
    <t xml:space="preserve">      8061 Membership</t>
  </si>
  <si>
    <t xml:space="preserve">   Total 8003 Fund Development</t>
  </si>
  <si>
    <t xml:space="preserve">   8011 Reimbursed Expenses</t>
  </si>
  <si>
    <t xml:space="preserve">   8024 Earned Revenue</t>
  </si>
  <si>
    <t xml:space="preserve">      4110 Shipping and Delivery Income</t>
  </si>
  <si>
    <t xml:space="preserve">      4120 Museum Fees</t>
  </si>
  <si>
    <t xml:space="preserve">         80011 Presenter &amp; Guide Income</t>
  </si>
  <si>
    <t xml:space="preserve">         8009 Admission Fees - Tour/Bulk</t>
  </si>
  <si>
    <t xml:space="preserve">         8010 Archival Fees</t>
  </si>
  <si>
    <t xml:space="preserve">         8026 Admissions - General</t>
  </si>
  <si>
    <t xml:space="preserve">         8159 Space Rental</t>
  </si>
  <si>
    <t xml:space="preserve">      Total 4120 Museum Fees</t>
  </si>
  <si>
    <t xml:space="preserve">      48600 Service Sales</t>
  </si>
  <si>
    <t xml:space="preserve">         486001 Shipping</t>
  </si>
  <si>
    <t xml:space="preserve">         Services</t>
  </si>
  <si>
    <t xml:space="preserve">      Total 48600 Service Sales</t>
  </si>
  <si>
    <t xml:space="preserve">      8025 Program Fees</t>
  </si>
  <si>
    <t xml:space="preserve">         8025.1 Enrollment Fees</t>
  </si>
  <si>
    <t xml:space="preserve">      Total 8025 Program Fees</t>
  </si>
  <si>
    <t xml:space="preserve">      8027 Store Sales</t>
  </si>
  <si>
    <t xml:space="preserve">         8012 Cards</t>
  </si>
  <si>
    <t xml:space="preserve">         8013 Books</t>
  </si>
  <si>
    <t xml:space="preserve">         8014 Childrens Books</t>
  </si>
  <si>
    <t xml:space="preserve">         8015 Gallery Sales</t>
  </si>
  <si>
    <t xml:space="preserve">         8017 Other Items</t>
  </si>
  <si>
    <t xml:space="preserve">         8029 Fundraising</t>
  </si>
  <si>
    <t xml:space="preserve">         8063 Copies/Fax</t>
  </si>
  <si>
    <t xml:space="preserve">         8164 Miscellaneous</t>
  </si>
  <si>
    <t xml:space="preserve">         8165 Audio/Video</t>
  </si>
  <si>
    <t xml:space="preserve">         8166 Post Cards</t>
  </si>
  <si>
    <t xml:space="preserve">         8167 Plush/Puppets</t>
  </si>
  <si>
    <t xml:space="preserve">         Art</t>
  </si>
  <si>
    <t xml:space="preserve">         Art Supplies</t>
  </si>
  <si>
    <t xml:space="preserve">         Body &amp; Bath Products</t>
  </si>
  <si>
    <t xml:space="preserve">         Bookmark</t>
  </si>
  <si>
    <t xml:space="preserve">         Candy</t>
  </si>
  <si>
    <t xml:space="preserve">         Childrens Toys</t>
  </si>
  <si>
    <t xml:space="preserve">         Clothing</t>
  </si>
  <si>
    <t xml:space="preserve">         Discount Income</t>
  </si>
  <si>
    <t xml:space="preserve">         Dog Toys&amp; Treats</t>
  </si>
  <si>
    <t xml:space="preserve">         Dolls</t>
  </si>
  <si>
    <t xml:space="preserve">         Food</t>
  </si>
  <si>
    <t xml:space="preserve">         Gold Vials</t>
  </si>
  <si>
    <t xml:space="preserve">         Jewelry</t>
  </si>
  <si>
    <t xml:space="preserve">         Key Chain</t>
  </si>
  <si>
    <t xml:space="preserve">         Kitchen Items</t>
  </si>
  <si>
    <t xml:space="preserve">         Magnet</t>
  </si>
  <si>
    <t xml:space="preserve">         Maps</t>
  </si>
  <si>
    <t xml:space="preserve">         Moosey Chews</t>
  </si>
  <si>
    <t xml:space="preserve">         Mugs</t>
  </si>
  <si>
    <t xml:space="preserve">         Ornament</t>
  </si>
  <si>
    <t xml:space="preserve">         Playing cards</t>
  </si>
  <si>
    <t xml:space="preserve">         Plush</t>
  </si>
  <si>
    <t xml:space="preserve">         Print</t>
  </si>
  <si>
    <t xml:space="preserve">         Sales of Product Income</t>
  </si>
  <si>
    <t xml:space="preserve">         Scarves</t>
  </si>
  <si>
    <t xml:space="preserve">         Seeds</t>
  </si>
  <si>
    <t xml:space="preserve">         Stickers</t>
  </si>
  <si>
    <t xml:space="preserve">         Suncatcher</t>
  </si>
  <si>
    <t xml:space="preserve">         Tote Bag</t>
  </si>
  <si>
    <t xml:space="preserve">         Ulu</t>
  </si>
  <si>
    <t xml:space="preserve">         Umbrella</t>
  </si>
  <si>
    <t xml:space="preserve">         Zipper Pulls</t>
  </si>
  <si>
    <t xml:space="preserve">      Total 8027 Store Sales</t>
  </si>
  <si>
    <t xml:space="preserve">   Total 8024 Earned Revenue</t>
  </si>
  <si>
    <t xml:space="preserve">   8501 7015 Interest Income</t>
  </si>
  <si>
    <t>Total Revenue</t>
  </si>
  <si>
    <t>Cost of Goods Sold</t>
  </si>
  <si>
    <t xml:space="preserve">   8101 Cost of Goods Sold</t>
  </si>
  <si>
    <t xml:space="preserve">   8102 Gallery Commission</t>
  </si>
  <si>
    <t>Total Cost of Goods Sold</t>
  </si>
  <si>
    <t>Gross Profit</t>
  </si>
  <si>
    <t>Expenditures</t>
  </si>
  <si>
    <t xml:space="preserve">   6185 Insurance</t>
  </si>
  <si>
    <t xml:space="preserve">      8137 Liability Insurance</t>
  </si>
  <si>
    <t xml:space="preserve">   Total 6185 Insurance</t>
  </si>
  <si>
    <t xml:space="preserve">   8036 Fundraising Expenses</t>
  </si>
  <si>
    <t xml:space="preserve">   8036.1 Membership</t>
  </si>
  <si>
    <t xml:space="preserve">   8037 IT Services</t>
  </si>
  <si>
    <t xml:space="preserve">   8039 Education</t>
  </si>
  <si>
    <t xml:space="preserve">   8040 Collections</t>
  </si>
  <si>
    <t xml:space="preserve">      8042 Collections Supplies</t>
  </si>
  <si>
    <t xml:space="preserve">      8043 Acquisitions</t>
  </si>
  <si>
    <t xml:space="preserve">   Total 8040 Collections</t>
  </si>
  <si>
    <t xml:space="preserve">   8047 Janitoral Services</t>
  </si>
  <si>
    <t xml:space="preserve">      8114 General Janitoral</t>
  </si>
  <si>
    <t xml:space="preserve">   Total 8047 Janitoral Services</t>
  </si>
  <si>
    <t xml:space="preserve">   8048 Utilities</t>
  </si>
  <si>
    <t xml:space="preserve">      8115 Electric</t>
  </si>
  <si>
    <t xml:space="preserve">      8116 Heating Oil</t>
  </si>
  <si>
    <t xml:space="preserve">      8117 Water</t>
  </si>
  <si>
    <t xml:space="preserve">   Total 8048 Utilities</t>
  </si>
  <si>
    <t xml:space="preserve">   8049 Supplies</t>
  </si>
  <si>
    <t xml:space="preserve">      8125 Technology</t>
  </si>
  <si>
    <t xml:space="preserve">      8126 Office Supplies</t>
  </si>
  <si>
    <t xml:space="preserve">      8127 Operating</t>
  </si>
  <si>
    <t xml:space="preserve">   Total 8049 Supplies</t>
  </si>
  <si>
    <t xml:space="preserve">   8053 Advertising/Marketing</t>
  </si>
  <si>
    <t xml:space="preserve">   8056 Travel</t>
  </si>
  <si>
    <t xml:space="preserve">      8142 Meals</t>
  </si>
  <si>
    <t xml:space="preserve">      8143 Travel</t>
  </si>
  <si>
    <t xml:space="preserve">   Total 8056 Travel</t>
  </si>
  <si>
    <t xml:space="preserve">   8058 Public Programs</t>
  </si>
  <si>
    <t xml:space="preserve">   8059 Contingency</t>
  </si>
  <si>
    <t xml:space="preserve">   8103 Personnel Expenses</t>
  </si>
  <si>
    <t xml:space="preserve">      8104 Salaries &amp; Wages</t>
  </si>
  <si>
    <t xml:space="preserve">      8105 ESC Payroll Tax</t>
  </si>
  <si>
    <t xml:space="preserve">      8106 FICA Payroll Tax</t>
  </si>
  <si>
    <t xml:space="preserve">      8107 403(b) - Employer</t>
  </si>
  <si>
    <t xml:space="preserve">      8108 Health Insurance</t>
  </si>
  <si>
    <t xml:space="preserve">   Total 8103 Personnel Expenses</t>
  </si>
  <si>
    <t xml:space="preserve">   8110 Professional Fees</t>
  </si>
  <si>
    <t xml:space="preserve">      8045 Accounting</t>
  </si>
  <si>
    <t xml:space="preserve">      8046 Consulting</t>
  </si>
  <si>
    <t xml:space="preserve">   Total 8110 Professional Fees</t>
  </si>
  <si>
    <t xml:space="preserve">   8113 Vehicle Expense</t>
  </si>
  <si>
    <t xml:space="preserve">   8118 Telephone</t>
  </si>
  <si>
    <t xml:space="preserve">      8119 Fax</t>
  </si>
  <si>
    <t xml:space="preserve">      8120 Internet</t>
  </si>
  <si>
    <t xml:space="preserve">      8121 Local Service</t>
  </si>
  <si>
    <t xml:space="preserve">      8122 Long Distance</t>
  </si>
  <si>
    <t xml:space="preserve">      8124 Conference Line</t>
  </si>
  <si>
    <t xml:space="preserve">      Cell Phone</t>
  </si>
  <si>
    <t xml:space="preserve">   Total 8118 Telephone</t>
  </si>
  <si>
    <t xml:space="preserve">   8123 Postage and Delivery</t>
  </si>
  <si>
    <t xml:space="preserve">   8130 Dues and Subscriptions</t>
  </si>
  <si>
    <t xml:space="preserve">   8131 Printing and Reproduction</t>
  </si>
  <si>
    <t xml:space="preserve">   8134 Rent</t>
  </si>
  <si>
    <t xml:space="preserve">      8055 Building Lease</t>
  </si>
  <si>
    <t xml:space="preserve">      8056.1 Storage Rent</t>
  </si>
  <si>
    <t xml:space="preserve">   Total 8134 Rent</t>
  </si>
  <si>
    <t xml:space="preserve">   8138 Credit Card Fees</t>
  </si>
  <si>
    <t xml:space="preserve">      QuickBooks Payments Fees</t>
  </si>
  <si>
    <t xml:space="preserve">      Square Fees</t>
  </si>
  <si>
    <t xml:space="preserve">   Total 8138 Credit Card Fees</t>
  </si>
  <si>
    <t xml:space="preserve">   8139 Bank Service Charges</t>
  </si>
  <si>
    <t xml:space="preserve">   8144 Training &amp; Education</t>
  </si>
  <si>
    <t xml:space="preserve">   8145 Licenses and Permits</t>
  </si>
  <si>
    <t xml:space="preserve">   8148 Contributions</t>
  </si>
  <si>
    <t xml:space="preserve">      8057 In-Kind Expenses</t>
  </si>
  <si>
    <t xml:space="preserve">   Total 8148 Contributions</t>
  </si>
  <si>
    <t xml:space="preserve">   9002 Freight and Shipping Costs</t>
  </si>
  <si>
    <t xml:space="preserve">   Exhibits</t>
  </si>
  <si>
    <t xml:space="preserve">      8051 Permanent Exhibits</t>
  </si>
  <si>
    <t xml:space="preserve">      8052 Temporary Exhibits</t>
  </si>
  <si>
    <t xml:space="preserve">   Total Exhibits</t>
  </si>
  <si>
    <t>Total Expenditures</t>
  </si>
  <si>
    <t>Net Operating Revenue</t>
  </si>
  <si>
    <t>Net Revenue</t>
  </si>
  <si>
    <t>Thursday, Mar 09, 2023 12:02:59 PM GMT-8 - Accrual Basis</t>
  </si>
  <si>
    <t>VALDEZ MUSEUM &amp; HISTORICAL ARCHIVE ASSOCIATION, IN</t>
  </si>
  <si>
    <t xml:space="preserve">Budget vs. Actuals: FY-2023 - FY23 P&amp;L </t>
  </si>
  <si>
    <t>January - December 2023</t>
  </si>
  <si>
    <t>Thursday, Mar 09, 2023 12:08:16 PM GMT-8 - Accrual Basis</t>
  </si>
  <si>
    <t>Statement of Activity Comparison</t>
  </si>
  <si>
    <t>January - February, 2023</t>
  </si>
  <si>
    <t>Jan - Feb, 2023</t>
  </si>
  <si>
    <t>Jan - Feb, 2022 (PY)</t>
  </si>
  <si>
    <t>Change</t>
  </si>
  <si>
    <t>% Change</t>
  </si>
  <si>
    <t xml:space="preserve">      8043.1 Intern</t>
  </si>
  <si>
    <t>Other Expenditures</t>
  </si>
  <si>
    <t xml:space="preserve">   Reconciliation Discrepancies-1</t>
  </si>
  <si>
    <t>Total Other Expenditures</t>
  </si>
  <si>
    <t>Net Other Revenue</t>
  </si>
  <si>
    <t>Thursday, Mar 09, 2023 12:09:37 PM GMT-8 - Accrual Basis</t>
  </si>
  <si>
    <t>Thursday, Mar 09, 2023 12:11:39 PM GMT-8 - Accrual Basis</t>
  </si>
  <si>
    <t xml:space="preserve">Statement of Financial Position Comparison </t>
  </si>
  <si>
    <t>As of February 28, 2023</t>
  </si>
  <si>
    <t>As of Feb 28, 2023</t>
  </si>
  <si>
    <t>As of Feb 28, 2022 (PY)</t>
  </si>
  <si>
    <t>ASSETS</t>
  </si>
  <si>
    <t xml:space="preserve">   Current Assets</t>
  </si>
  <si>
    <t xml:space="preserve">      Bank Accounts</t>
  </si>
  <si>
    <t xml:space="preserve">         1003 WF Merchant Services Account</t>
  </si>
  <si>
    <t xml:space="preserve">         1021 CD 61215021 -Phyllis Irish</t>
  </si>
  <si>
    <t xml:space="preserve">         1022 10950 Cash in Drawer</t>
  </si>
  <si>
    <t xml:space="preserve">         1024 1st National Savings</t>
  </si>
  <si>
    <t xml:space="preserve">         1025 1st National  Operating</t>
  </si>
  <si>
    <t xml:space="preserve">         1026 1st National Gaming</t>
  </si>
  <si>
    <t xml:space="preserve">      Total Bank Accounts</t>
  </si>
  <si>
    <t xml:space="preserve">      Accounts Receivable</t>
  </si>
  <si>
    <t xml:space="preserve">         102 Accounts Receivable (AR)</t>
  </si>
  <si>
    <t xml:space="preserve">         1501 Accounts Receivable</t>
  </si>
  <si>
    <t xml:space="preserve">      Total Accounts Receivable</t>
  </si>
  <si>
    <t xml:space="preserve">      Other Current Assets</t>
  </si>
  <si>
    <t xml:space="preserve">         1017 Undeposited Funds</t>
  </si>
  <si>
    <t xml:space="preserve">         1502 Museum Endowment Fund</t>
  </si>
  <si>
    <t xml:space="preserve">         2002 1120 Inventory Asset</t>
  </si>
  <si>
    <t xml:space="preserve">         2501 Prepaid Insurance</t>
  </si>
  <si>
    <t xml:space="preserve">         8132 Cash Reserves</t>
  </si>
  <si>
    <t xml:space="preserve">         Cash on Hand</t>
  </si>
  <si>
    <t xml:space="preserve">         Uncategorized Asset</t>
  </si>
  <si>
    <t xml:space="preserve">      Total Other Current Assets</t>
  </si>
  <si>
    <t xml:space="preserve">   Total Current Assets</t>
  </si>
  <si>
    <t xml:space="preserve">   Fixed Assets</t>
  </si>
  <si>
    <t xml:space="preserve">      4000 Construction in Progress</t>
  </si>
  <si>
    <t xml:space="preserve">      4001 Fixed Assets</t>
  </si>
  <si>
    <t xml:space="preserve">      4002 Lifeboat Shelter Asset</t>
  </si>
  <si>
    <t xml:space="preserve">   Total Fixed Assets</t>
  </si>
  <si>
    <t xml:space="preserve">   Other Assets</t>
  </si>
  <si>
    <t xml:space="preserve">      Merchandise Inventory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</si>
  <si>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</si>
  <si>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</si>
  <si>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</si>
  <si>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</si>
  <si>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</si>
  <si>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</si>
  <si>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5501 2000 Accounts Payable</t>
  </si>
  <si>
    <t xml:space="preserve">         Total Accounts Payable</t>
  </si>
  <si>
    <t xml:space="preserve">         Credit Cards</t>
  </si>
  <si>
    <t xml:space="preserve">            5505 Bank of America  Business Card</t>
  </si>
  <si>
    <t xml:space="preserve">         Total Credit Cards</t>
  </si>
  <si>
    <t xml:space="preserve">         Other Current Liabilities</t>
  </si>
  <si>
    <t xml:space="preserve">            25100 Employee Tips Payable</t>
  </si>
  <si>
    <t xml:space="preserve">            5503 Loss on Disposal of Assets</t>
  </si>
  <si>
    <t xml:space="preserve">            5504 24700 Customer Deposits</t>
  </si>
  <si>
    <t xml:space="preserve">            6002 Leave Payable</t>
  </si>
  <si>
    <t xml:space="preserve">            6003 2100 Payroll Liabilities</t>
  </si>
  <si>
    <t xml:space="preserve">            6601 Deferred Revenue</t>
  </si>
  <si>
    <t xml:space="preserve">            Direct Deposit Payable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</si>
  <si>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</si>
  <si>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</si>
  <si>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</si>
  <si>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</si>
  <si>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</si>
  <si>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3000 Opening Bal Equity</t>
  </si>
  <si>
    <t xml:space="preserve">      7502 3900 Retained Earnings</t>
  </si>
  <si>
    <t xml:space="preserve">      7503 Museum Endowment Fund Equity</t>
  </si>
  <si>
    <t xml:space="preserve">      8079 Contributed Capital</t>
  </si>
  <si>
    <t xml:space="preserve">      Net Revenue</t>
  </si>
  <si>
    <t xml:space="preserve">   Total Equity</t>
  </si>
  <si>
    <t>TOTAL LIABILITIES AND EQUITY</t>
  </si>
  <si>
    <t>Thursday, Mar 09, 2023 12:16:18 PM GMT-8 - Accrual Basis</t>
  </si>
  <si>
    <t>A/R Aging Summary</t>
  </si>
  <si>
    <t>Current</t>
  </si>
  <si>
    <t>1 - 30</t>
  </si>
  <si>
    <t>31 - 60</t>
  </si>
  <si>
    <t>61 - 90</t>
  </si>
  <si>
    <t>91 and over</t>
  </si>
  <si>
    <t>Alyeska Pipeline Service Co.</t>
  </si>
  <si>
    <t>City of Valdez - Grant Income</t>
  </si>
  <si>
    <t>Margaret Holm</t>
  </si>
  <si>
    <t>Matt Orr</t>
  </si>
  <si>
    <t>Other Customer</t>
  </si>
  <si>
    <t>QuickBooks Customer</t>
  </si>
  <si>
    <t>Steven Diaz</t>
  </si>
  <si>
    <t>Wells Fargo</t>
  </si>
  <si>
    <t>TOTAL</t>
  </si>
  <si>
    <t>Thursday, Mar 09, 2023 12:18:31 PM GMT-8</t>
  </si>
  <si>
    <t>A/P Aging Summary</t>
  </si>
  <si>
    <t>Audit Adjustment.1</t>
  </si>
  <si>
    <t>Copper Valley Electric Assoc., Inc.</t>
  </si>
  <si>
    <t>Copper Valley Telecom</t>
  </si>
  <si>
    <t>Magdeleine Ferru</t>
  </si>
  <si>
    <t>North Pacific Fuel</t>
  </si>
  <si>
    <t>Other Vender</t>
  </si>
  <si>
    <t>USPS</t>
  </si>
  <si>
    <t>Valdez Museum Store</t>
  </si>
  <si>
    <t>Wells Fargo Bank</t>
  </si>
  <si>
    <t>Thursday, Mar 09, 2023 12:19:43 PM GMT-8</t>
  </si>
  <si>
    <t>Date</t>
  </si>
  <si>
    <t>Ref No.</t>
  </si>
  <si>
    <t>Type</t>
  </si>
  <si>
    <t>Payee</t>
  </si>
  <si>
    <t>Account</t>
  </si>
  <si>
    <t>Charge</t>
  </si>
  <si>
    <t>Payment</t>
  </si>
  <si>
    <t>Reconciliation Status</t>
  </si>
  <si>
    <t>Balance</t>
  </si>
  <si>
    <t>03/06/2023</t>
  </si>
  <si>
    <t>Expenditure</t>
  </si>
  <si>
    <t>amazonPrime</t>
  </si>
  <si>
    <t>8126 Supplies:Office Supplies</t>
  </si>
  <si>
    <t>03/04/2023</t>
  </si>
  <si>
    <t>Hub of Alaska</t>
  </si>
  <si>
    <t>8143 Travel:Travel</t>
  </si>
  <si>
    <t>safeway</t>
  </si>
  <si>
    <t>Alaska Park</t>
  </si>
  <si>
    <t>03/03/2023</t>
  </si>
  <si>
    <t>8123 Postage and Delivery</t>
  </si>
  <si>
    <t>03/01/2023</t>
  </si>
  <si>
    <t>Curb Serve</t>
  </si>
  <si>
    <t>Lincoln Restaurant</t>
  </si>
  <si>
    <t>8142 Travel:Meals</t>
  </si>
  <si>
    <t>Washington Plaza Hotel</t>
  </si>
  <si>
    <t>Microsoft</t>
  </si>
  <si>
    <t>8037 IT Services</t>
  </si>
  <si>
    <t>02/28/2023</t>
  </si>
  <si>
    <t>Sweetgreens</t>
  </si>
  <si>
    <t>Pappe</t>
  </si>
  <si>
    <t>02/25/2023</t>
  </si>
  <si>
    <t>02/24/2023</t>
  </si>
  <si>
    <t>Norton Sound Seafood</t>
  </si>
  <si>
    <t>02/18/2023</t>
  </si>
  <si>
    <t>Best Western</t>
  </si>
  <si>
    <t>8058 Public Programs</t>
  </si>
  <si>
    <t>02/16/2023</t>
  </si>
  <si>
    <t>Bill</t>
  </si>
  <si>
    <t>Business Card</t>
  </si>
  <si>
    <t>2000 Accounts Payable:Raffle Proceeds Payable</t>
  </si>
  <si>
    <t>Cleared</t>
  </si>
  <si>
    <t>02/15/2023</t>
  </si>
  <si>
    <t>Copper River Shorebird Festival</t>
  </si>
  <si>
    <t>8144 Training &amp; Education</t>
  </si>
  <si>
    <t>02/10/2023</t>
  </si>
  <si>
    <t>apple.com</t>
  </si>
  <si>
    <t>8039 Education</t>
  </si>
  <si>
    <t>Reconciled</t>
  </si>
  <si>
    <t>Canva Pro</t>
  </si>
  <si>
    <t>8130 Dues and Subscriptions</t>
  </si>
  <si>
    <t>02/08/2023</t>
  </si>
  <si>
    <t>49758</t>
  </si>
  <si>
    <t>Foraker Group</t>
  </si>
  <si>
    <t>02/06/2023</t>
  </si>
  <si>
    <t>Blaines Art &amp; Graphics</t>
  </si>
  <si>
    <t>E0600M2BQI</t>
  </si>
  <si>
    <t>Microsoft Online</t>
  </si>
  <si>
    <t>E0600M28MB</t>
  </si>
  <si>
    <t>02/04/2023</t>
  </si>
  <si>
    <t>Dropbox</t>
  </si>
  <si>
    <t>02/02/2023</t>
  </si>
  <si>
    <t>Ancestry.com</t>
  </si>
  <si>
    <t>amazon prime</t>
  </si>
  <si>
    <t>8036.1 Membership</t>
  </si>
  <si>
    <t>02/01/2023</t>
  </si>
  <si>
    <t>Inv 737</t>
  </si>
  <si>
    <t>Wallace IT Solutions</t>
  </si>
  <si>
    <t xml:space="preserve">5505 Bank of America  Business Card	</t>
  </si>
  <si>
    <t xml:space="preserve">Date:  February 1, 2023 - March 6, 2023	</t>
  </si>
  <si>
    <t>Grants</t>
  </si>
  <si>
    <t>Earned Revenue</t>
  </si>
  <si>
    <t>Fund Development</t>
  </si>
  <si>
    <t>Professional Fees</t>
  </si>
  <si>
    <t>Dues &amp; Subscriptions</t>
  </si>
  <si>
    <t>Utilities</t>
  </si>
  <si>
    <t xml:space="preserve">Public Programs </t>
  </si>
  <si>
    <t>Supplies</t>
  </si>
  <si>
    <t>Public Programs</t>
  </si>
  <si>
    <t>Bank Accounts</t>
  </si>
  <si>
    <t>Accounts Receivable</t>
  </si>
  <si>
    <t>Museum Endowment</t>
  </si>
  <si>
    <t>Net Income</t>
  </si>
  <si>
    <t>Accounts Payable</t>
  </si>
  <si>
    <t>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</si>
</sst>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name val="Arial"/>
    </font>
    <font>
      <b/>
      <sz val="8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4" fontId="8" fillId="0" borderId="0" xfId="0" applyNumberFormat="1" applyFont="1" applyAlignment="1">
      <alignment horizontal="left" wrapText="1"/>
    </xf>
    <xf numFmtId="164" fontId="0" fillId="0" borderId="0" xfId="0" applyNumberFormat="1"/>
    <xf numFmtId="0" fontId="2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horizontal="right" wrapText="1"/>
    </xf>
    <xf numFmtId="10" fontId="3" fillId="2" borderId="0" xfId="0" applyNumberFormat="1" applyFont="1" applyFill="1" applyAlignment="1">
      <alignment horizontal="right" wrapText="1"/>
    </xf>
    <xf numFmtId="10" fontId="3" fillId="0" borderId="0" xfId="0" applyNumberFormat="1" applyFont="1" applyFill="1" applyAlignment="1">
      <alignment horizontal="right" wrapText="1"/>
    </xf>
    <xf numFmtId="0" fontId="0" fillId="0" borderId="0" xfId="0" applyNumberFormat="1"/>
    <xf numFmtId="164" fontId="3" fillId="2" borderId="0" xfId="0" applyNumberFormat="1" applyFont="1" applyFill="1" applyAlignment="1">
      <alignment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Income as of February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Collapsed'!$I$6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Collapsed'!$H$7:$H$9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Collapsed'!$I$7:$I$9</c:f>
              <c:numCache>
                <c:formatCode>#,##0.00\ _€</c:formatCode>
                <c:ptCount val="3"/>
                <c:pt idx="0">
                  <c:v>4018.44</c:v>
                </c:pt>
                <c:pt idx="1">
                  <c:v>1626.98</c:v>
                </c:pt>
                <c:pt idx="2">
                  <c:v>133750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5-449D-A7A0-923904FC3F5F}"/>
            </c:ext>
          </c:extLst>
        </c:ser>
        <c:ser>
          <c:idx val="1"/>
          <c:order val="1"/>
          <c:tx>
            <c:strRef>
              <c:f>'BVA Collapsed'!$J$6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Collapsed'!$H$7:$H$9</c:f>
              <c:strCache>
                <c:ptCount val="3"/>
                <c:pt idx="0">
                  <c:v>Fund Development</c:v>
                </c:pt>
                <c:pt idx="1">
                  <c:v>Earned Revenue</c:v>
                </c:pt>
                <c:pt idx="2">
                  <c:v>Grants</c:v>
                </c:pt>
              </c:strCache>
            </c:strRef>
          </c:cat>
          <c:val>
            <c:numRef>
              <c:f>'BVA Collapsed'!$J$7:$J$9</c:f>
              <c:numCache>
                <c:formatCode>#,##0.00\ _€</c:formatCode>
                <c:ptCount val="3"/>
                <c:pt idx="0">
                  <c:v>70700</c:v>
                </c:pt>
                <c:pt idx="1">
                  <c:v>196881.53</c:v>
                </c:pt>
                <c:pt idx="2">
                  <c:v>543500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5-449D-A7A0-923904FC3F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69132127"/>
        <c:axId val="296471215"/>
      </c:barChart>
      <c:catAx>
        <c:axId val="26913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471215"/>
        <c:crosses val="autoZero"/>
        <c:auto val="1"/>
        <c:lblAlgn val="ctr"/>
        <c:lblOffset val="100"/>
        <c:noMultiLvlLbl val="0"/>
      </c:catAx>
      <c:valAx>
        <c:axId val="296471215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69132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2023 Expenses as of February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'BVA Collapsed'!$I$29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Collapsed'!$H$30:$H$33</c:f>
              <c:strCache>
                <c:ptCount val="4"/>
                <c:pt idx="0">
                  <c:v>Public Programs </c:v>
                </c:pt>
                <c:pt idx="1">
                  <c:v>Utilities</c:v>
                </c:pt>
                <c:pt idx="2">
                  <c:v>Dues &amp; Subscriptions</c:v>
                </c:pt>
                <c:pt idx="3">
                  <c:v>Professional Fees</c:v>
                </c:pt>
              </c:strCache>
            </c:strRef>
          </c:cat>
          <c:val>
            <c:numRef>
              <c:f>'BVA Collapsed'!$I$30:$I$33</c:f>
              <c:numCache>
                <c:formatCode>#,##0.00\ _€</c:formatCode>
                <c:ptCount val="4"/>
                <c:pt idx="0">
                  <c:v>655.45</c:v>
                </c:pt>
                <c:pt idx="1">
                  <c:v>15373.43</c:v>
                </c:pt>
                <c:pt idx="2">
                  <c:v>3504.86</c:v>
                </c:pt>
                <c:pt idx="3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C-449B-B391-4A66E017417A}"/>
            </c:ext>
          </c:extLst>
        </c:ser>
        <c:ser>
          <c:idx val="1"/>
          <c:order val="1"/>
          <c:tx>
            <c:strRef>
              <c:f>'BVA Collapsed'!$J$29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'BVA Collapsed'!$H$30:$H$33</c:f>
              <c:strCache>
                <c:ptCount val="4"/>
                <c:pt idx="0">
                  <c:v>Public Programs </c:v>
                </c:pt>
                <c:pt idx="1">
                  <c:v>Utilities</c:v>
                </c:pt>
                <c:pt idx="2">
                  <c:v>Dues &amp; Subscriptions</c:v>
                </c:pt>
                <c:pt idx="3">
                  <c:v>Professional Fees</c:v>
                </c:pt>
              </c:strCache>
            </c:strRef>
          </c:cat>
          <c:val>
            <c:numRef>
              <c:f>'BVA Collapsed'!$J$30:$J$33</c:f>
              <c:numCache>
                <c:formatCode>#,##0.00\ _€</c:formatCode>
                <c:ptCount val="4"/>
                <c:pt idx="0">
                  <c:v>3000</c:v>
                </c:pt>
                <c:pt idx="1">
                  <c:v>64980</c:v>
                </c:pt>
                <c:pt idx="2">
                  <c:v>11500</c:v>
                </c:pt>
                <c:pt idx="3">
                  <c:v>18400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3C-449B-B391-4A66E01741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71398015"/>
        <c:axId val="283092303"/>
      </c:barChart>
      <c:catAx>
        <c:axId val="27139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92303"/>
        <c:crosses val="autoZero"/>
        <c:auto val="1"/>
        <c:lblAlgn val="ctr"/>
        <c:lblOffset val="100"/>
        <c:noMultiLvlLbl val="0"/>
      </c:catAx>
      <c:valAx>
        <c:axId val="283092303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7139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Income differences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Collapsed'!$I$7:$I$9</c:f>
              <c:strCache>
                <c:ptCount val="3"/>
                <c:pt idx="0">
                  <c:v>Earned Revenue</c:v>
                </c:pt>
                <c:pt idx="1">
                  <c:v>Fund Development</c:v>
                </c:pt>
                <c:pt idx="2">
                  <c:v>Grants</c:v>
                </c:pt>
              </c:strCache>
            </c:strRef>
          </c:cat>
          <c:val>
            <c:numRef>
              <c:f>'SOA Collapsed'!$J$7:$J$9</c:f>
              <c:numCache>
                <c:formatCode>#,##0.00\ _€</c:formatCode>
                <c:ptCount val="3"/>
                <c:pt idx="0">
                  <c:v>1269.48</c:v>
                </c:pt>
                <c:pt idx="1">
                  <c:v>2283.44</c:v>
                </c:pt>
                <c:pt idx="2">
                  <c:v>133750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0-42BC-A00F-604C3183521B}"/>
            </c:ext>
          </c:extLst>
        </c:ser>
        <c:ser>
          <c:idx val="1"/>
          <c:order val="1"/>
          <c:tx>
            <c:strRef>
              <c:f>'SOA Collapsed'!$K$6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Collapsed'!$I$7:$I$9</c:f>
              <c:strCache>
                <c:ptCount val="3"/>
                <c:pt idx="0">
                  <c:v>Earned Revenue</c:v>
                </c:pt>
                <c:pt idx="1">
                  <c:v>Fund Development</c:v>
                </c:pt>
                <c:pt idx="2">
                  <c:v>Grants</c:v>
                </c:pt>
              </c:strCache>
            </c:strRef>
          </c:cat>
          <c:val>
            <c:numRef>
              <c:f>'SOA Collapsed'!$K$7:$K$9</c:f>
              <c:numCache>
                <c:formatCode>#,##0.00\ _€</c:formatCode>
                <c:ptCount val="3"/>
                <c:pt idx="0">
                  <c:v>1432.89</c:v>
                </c:pt>
                <c:pt idx="1">
                  <c:v>3026.01</c:v>
                </c:pt>
                <c:pt idx="2">
                  <c:v>154900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0-42BC-A00F-604C318352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760470879"/>
        <c:axId val="273745967"/>
      </c:barChart>
      <c:catAx>
        <c:axId val="76047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3745967"/>
        <c:crosses val="autoZero"/>
        <c:auto val="1"/>
        <c:lblAlgn val="ctr"/>
        <c:lblOffset val="100"/>
        <c:noMultiLvlLbl val="0"/>
      </c:catAx>
      <c:valAx>
        <c:axId val="27374596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6047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Notable Expense differences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'SOA Collapsed'!$J$30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Collapsed'!$I$31:$I$33</c:f>
              <c:strCache>
                <c:ptCount val="3"/>
                <c:pt idx="0">
                  <c:v>Professional Fees</c:v>
                </c:pt>
                <c:pt idx="1">
                  <c:v>Public Programs</c:v>
                </c:pt>
                <c:pt idx="2">
                  <c:v>Supplies</c:v>
                </c:pt>
              </c:strCache>
            </c:strRef>
          </c:cat>
          <c:val>
            <c:numRef>
              <c:f>'SOA Collapsed'!$J$31:$J$33</c:f>
              <c:numCache>
                <c:formatCode>#,##0.00\ _€</c:formatCode>
                <c:ptCount val="3"/>
                <c:pt idx="0">
                  <c:v>10000</c:v>
                </c:pt>
                <c:pt idx="1">
                  <c:v>655.45</c:v>
                </c:pt>
                <c:pt idx="2">
                  <c:v>2078.27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5ED-8D87-900A7E4441EB}"/>
            </c:ext>
          </c:extLst>
        </c:ser>
        <c:ser>
          <c:idx val="1"/>
          <c:order val="1"/>
          <c:tx>
            <c:strRef>
              <c:f>'SOA Collapsed'!$K$30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'SOA Collapsed'!$I$31:$I$33</c:f>
              <c:strCache>
                <c:ptCount val="3"/>
                <c:pt idx="0">
                  <c:v>Professional Fees</c:v>
                </c:pt>
                <c:pt idx="1">
                  <c:v>Public Programs</c:v>
                </c:pt>
                <c:pt idx="2">
                  <c:v>Supplies</c:v>
                </c:pt>
              </c:strCache>
            </c:strRef>
          </c:cat>
          <c:val>
            <c:numRef>
              <c:f>'SOA Collapsed'!$K$31:$K$33</c:f>
              <c:numCache>
                <c:formatCode>#,##0.00\ _€</c:formatCode>
                <c:ptCount val="3"/>
                <c:pt idx="0">
                  <c:v>0</c:v>
                </c:pt>
                <c:pt idx="1">
                  <c:v>35.96</c:v>
                </c:pt>
                <c:pt idx="2">
                  <c:v>1210.6500000000001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D-45ED-8D87-900A7E4441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060230687"/>
        <c:axId val="2068633375"/>
      </c:barChart>
      <c:catAx>
        <c:axId val="206023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633375"/>
        <c:crosses val="autoZero"/>
        <c:auto val="1"/>
        <c:lblAlgn val="ctr"/>
        <c:lblOffset val="100"/>
        <c:noMultiLvlLbl val="0"/>
      </c:catAx>
      <c:valAx>
        <c:axId val="2068633375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06023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of Assets as of 02/28/2023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Collapsed'!$J$8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Collapsed'!$I$9:$I$11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'SOF Collapsed'!$J$9:$J$11</c:f>
              <c:numCache>
                <c:formatCode>"$"* #,##0.00\ _€</c:formatCode>
                <c:ptCount val="3"/>
                <c:pt idx="0" formatCode="#,##0.00\ _€">
                  <c:v>1131740</c:v>
                </c:pt>
                <c:pt idx="1">
                  <c:v>101.25</c:v>
                </c:pt>
                <c:pt idx="2">
                  <c:v>300002.02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8-4ED6-AD21-93880CD07F7A}"/>
            </c:ext>
          </c:extLst>
        </c:ser>
        <c:ser>
          <c:idx val="1"/>
          <c:order val="1"/>
          <c:tx>
            <c:strRef>
              <c:f>'SOF Collapsed'!$K$8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Collapsed'!$I$9:$I$11</c:f>
              <c:strCache>
                <c:ptCount val="3"/>
                <c:pt idx="0">
                  <c:v>Museum Endowment</c:v>
                </c:pt>
                <c:pt idx="1">
                  <c:v>Accounts Receivable</c:v>
                </c:pt>
                <c:pt idx="2">
                  <c:v>Bank Accounts</c:v>
                </c:pt>
              </c:strCache>
            </c:strRef>
          </c:cat>
          <c:val>
            <c:numRef>
              <c:f>'SOF Collapsed'!$K$9:$K$11</c:f>
              <c:numCache>
                <c:formatCode>"$"* #,##0.00\ _€</c:formatCode>
                <c:ptCount val="3"/>
                <c:pt idx="0" formatCode="#,##0.00\ _€">
                  <c:v>1391721</c:v>
                </c:pt>
                <c:pt idx="1">
                  <c:v>7400</c:v>
                </c:pt>
                <c:pt idx="2">
                  <c:v>305961.14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8-4ED6-AD21-93880CD07F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72245807"/>
        <c:axId val="271690447"/>
      </c:barChart>
      <c:catAx>
        <c:axId val="47224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690447"/>
        <c:crosses val="autoZero"/>
        <c:auto val="1"/>
        <c:lblAlgn val="ctr"/>
        <c:lblOffset val="100"/>
        <c:noMultiLvlLbl val="0"/>
      </c:catAx>
      <c:valAx>
        <c:axId val="271690447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7224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in</a:t>
            </a:r>
            <a:r>
              <a:rPr lang="en-US" baseline="0"/>
              <a:t> liabilities as of 02/2/8/2023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'SOF Collapsed'!$K$35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Collapsed'!$J$36:$J$38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Collapsed'!$K$36:$K$38</c:f>
              <c:numCache>
                <c:formatCode>"$"* #,##0.00\ _€</c:formatCode>
                <c:ptCount val="3"/>
                <c:pt idx="0">
                  <c:v>1068.42</c:v>
                </c:pt>
                <c:pt idx="1">
                  <c:v>6823.37</c:v>
                </c:pt>
                <c:pt idx="2" formatCode="#,##0.00\ _€">
                  <c:v>-10074.049999999999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C-419D-94AF-CD43EA42830D}"/>
            </c:ext>
          </c:extLst>
        </c:ser>
        <c:ser>
          <c:idx val="1"/>
          <c:order val="1"/>
          <c:tx>
            <c:strRef>
              <c:f>'SOF Collapsed'!$L$35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'SOF Collapsed'!$J$36:$J$38</c:f>
              <c:strCache>
                <c:ptCount val="3"/>
                <c:pt idx="0">
                  <c:v>Credit Card</c:v>
                </c:pt>
                <c:pt idx="1">
                  <c:v>Accounts Payable</c:v>
                </c:pt>
                <c:pt idx="2">
                  <c:v>Net Income</c:v>
                </c:pt>
              </c:strCache>
            </c:strRef>
          </c:cat>
          <c:val>
            <c:numRef>
              <c:f>'SOF Collapsed'!$L$36:$L$38</c:f>
              <c:numCache>
                <c:formatCode>"$"* #,##0.00\ _€</c:formatCode>
                <c:ptCount val="3"/>
                <c:pt idx="0">
                  <c:v>3945.08</c:v>
                </c:pt>
                <c:pt idx="1">
                  <c:v>7299.87</c:v>
                </c:pt>
                <c:pt idx="2" formatCode="#,##0.00\ _€">
                  <c:v>19805.060000000001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C-419D-94AF-CD43EA4283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751868319"/>
        <c:axId val="296467855"/>
      </c:barChart>
      <c:catAx>
        <c:axId val="75186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6467855"/>
        <c:crosses val="autoZero"/>
        <c:auto val="1"/>
        <c:lblAlgn val="ctr"/>
        <c:lblOffset val="100"/>
        <c:noMultiLvlLbl val="0"/>
      </c:catAx>
      <c:valAx>
        <c:axId val="296467855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5186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10</xdr:row>
      <xdr:rowOff>176212</xdr:rowOff>
    </xdr:from>
    <xdr:to>
      <xdr:col>15</xdr:col>
      <xdr:colOff>161925</xdr:colOff>
      <xdr:row>25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753351-8E3E-597E-A470-FD1DCC349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33</xdr:row>
      <xdr:rowOff>90487</xdr:rowOff>
    </xdr:from>
    <xdr:to>
      <xdr:col>14</xdr:col>
      <xdr:colOff>552450</xdr:colOff>
      <xdr:row>47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91FB98-02D0-B572-06C7-51F4EABB1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11</xdr:row>
      <xdr:rowOff>128587</xdr:rowOff>
    </xdr:from>
    <xdr:to>
      <xdr:col>14</xdr:col>
      <xdr:colOff>114300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5798E9-7FF0-4BCB-1F77-2F16104262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428625</xdr:colOff>
      <xdr:row>32</xdr:row>
      <xdr:rowOff>109537</xdr:rowOff>
    </xdr:from>
    <xdr:to>
      <xdr:col>13</xdr:col>
      <xdr:colOff>409575</xdr:colOff>
      <xdr:row>46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325A9F-813D-EAE8-C14E-6FFA3A2143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119062</xdr:rowOff>
    </xdr:from>
    <xdr:to>
      <xdr:col>13</xdr:col>
      <xdr:colOff>142875</xdr:colOff>
      <xdr:row>30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4139DE-BCB2-B1B5-EA8C-6A567A74E2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219075</xdr:colOff>
      <xdr:row>39</xdr:row>
      <xdr:rowOff>185737</xdr:rowOff>
    </xdr:from>
    <xdr:to>
      <xdr:col>15</xdr:col>
      <xdr:colOff>180975</xdr:colOff>
      <xdr:row>54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FC86D3-26AF-C27B-3527-CB690ADDE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workbookViewId="0">
      <selection sqref="A1:E1"/>
    </sheetView>
  </sheetViews>
  <sheetFormatPr defaultRowHeight="15" x14ac:dyDescent="0.25"/>
  <cols>
    <col min="1" max="1" width="35.28515625" customWidth="1"/>
    <col min="2" max="5" width="18" customWidth="1"/>
  </cols>
  <sheetData>
    <row r="1" spans="1:5" ht="18" x14ac:dyDescent="0.25">
      <c r="A1" s="15" t="s">
        <v>170</v>
      </c>
      <c r="B1" s="14"/>
      <c r="C1" s="14"/>
      <c r="D1" s="14"/>
      <c r="E1" s="14"/>
    </row>
    <row r="2" spans="1:5" ht="18" x14ac:dyDescent="0.25">
      <c r="A2" s="15" t="s">
        <v>171</v>
      </c>
      <c r="B2" s="14"/>
      <c r="C2" s="14"/>
      <c r="D2" s="14"/>
      <c r="E2" s="14"/>
    </row>
    <row r="3" spans="1:5" x14ac:dyDescent="0.25">
      <c r="A3" s="16" t="s">
        <v>172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39" si="0">(B8)-(C8)</f>
        <v>0</v>
      </c>
      <c r="E8" s="6" t="str">
        <f t="shared" ref="E8:E39" si="1">IF(C8=0,"",(B8)/(C8))</f>
        <v/>
      </c>
    </row>
    <row r="9" spans="1:5" x14ac:dyDescent="0.25">
      <c r="A9" s="3" t="s">
        <v>7</v>
      </c>
      <c r="B9" s="4"/>
      <c r="C9" s="5">
        <f>5000</f>
        <v>5000</v>
      </c>
      <c r="D9" s="5">
        <f t="shared" si="0"/>
        <v>-5000</v>
      </c>
      <c r="E9" s="6">
        <f t="shared" si="1"/>
        <v>0</v>
      </c>
    </row>
    <row r="10" spans="1:5" x14ac:dyDescent="0.25">
      <c r="A10" s="3" t="s">
        <v>8</v>
      </c>
      <c r="B10" s="5">
        <f>133750</f>
        <v>133750</v>
      </c>
      <c r="C10" s="5">
        <f>535000</f>
        <v>535000</v>
      </c>
      <c r="D10" s="5">
        <f t="shared" si="0"/>
        <v>-401250</v>
      </c>
      <c r="E10" s="6">
        <f t="shared" si="1"/>
        <v>0.25</v>
      </c>
    </row>
    <row r="11" spans="1:5" x14ac:dyDescent="0.25">
      <c r="A11" s="3" t="s">
        <v>9</v>
      </c>
      <c r="B11" s="4"/>
      <c r="C11" s="5">
        <f>3500</f>
        <v>3500</v>
      </c>
      <c r="D11" s="5">
        <f t="shared" si="0"/>
        <v>-3500</v>
      </c>
      <c r="E11" s="6">
        <f t="shared" si="1"/>
        <v>0</v>
      </c>
    </row>
    <row r="12" spans="1:5" x14ac:dyDescent="0.25">
      <c r="A12" s="3" t="s">
        <v>10</v>
      </c>
      <c r="B12" s="7">
        <f>(((B8)+(B9))+(B10))+(B11)</f>
        <v>133750</v>
      </c>
      <c r="C12" s="7">
        <f>(((C8)+(C9))+(C10))+(C11)</f>
        <v>543500</v>
      </c>
      <c r="D12" s="7">
        <f t="shared" si="0"/>
        <v>-409750</v>
      </c>
      <c r="E12" s="8">
        <f t="shared" si="1"/>
        <v>0.24609015639374426</v>
      </c>
    </row>
    <row r="13" spans="1:5" x14ac:dyDescent="0.25">
      <c r="A13" s="3" t="s">
        <v>11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12</v>
      </c>
      <c r="B14" s="4"/>
      <c r="C14" s="4"/>
      <c r="D14" s="5">
        <f t="shared" si="0"/>
        <v>0</v>
      </c>
      <c r="E14" s="6" t="str">
        <f t="shared" si="1"/>
        <v/>
      </c>
    </row>
    <row r="15" spans="1:5" x14ac:dyDescent="0.25">
      <c r="A15" s="3" t="s">
        <v>13</v>
      </c>
      <c r="B15" s="5">
        <f>588.44</f>
        <v>588.44000000000005</v>
      </c>
      <c r="C15" s="5">
        <f>6750</f>
        <v>6750</v>
      </c>
      <c r="D15" s="5">
        <f t="shared" si="0"/>
        <v>-6161.5599999999995</v>
      </c>
      <c r="E15" s="6">
        <f t="shared" si="1"/>
        <v>8.7176296296296307E-2</v>
      </c>
    </row>
    <row r="16" spans="1:5" x14ac:dyDescent="0.25">
      <c r="A16" s="3" t="s">
        <v>14</v>
      </c>
      <c r="B16" s="5">
        <f>100</f>
        <v>100</v>
      </c>
      <c r="C16" s="5">
        <f>13250</f>
        <v>13250</v>
      </c>
      <c r="D16" s="5">
        <f t="shared" si="0"/>
        <v>-13150</v>
      </c>
      <c r="E16" s="6">
        <f t="shared" si="1"/>
        <v>7.5471698113207548E-3</v>
      </c>
    </row>
    <row r="17" spans="1:5" x14ac:dyDescent="0.25">
      <c r="A17" s="3" t="s">
        <v>15</v>
      </c>
      <c r="B17" s="7">
        <f>((B14)+(B15))+(B16)</f>
        <v>688.44</v>
      </c>
      <c r="C17" s="7">
        <f>((C14)+(C15))+(C16)</f>
        <v>20000</v>
      </c>
      <c r="D17" s="7">
        <f t="shared" si="0"/>
        <v>-19311.560000000001</v>
      </c>
      <c r="E17" s="8">
        <f t="shared" si="1"/>
        <v>3.4422000000000001E-2</v>
      </c>
    </row>
    <row r="18" spans="1:5" x14ac:dyDescent="0.25">
      <c r="A18" s="3" t="s">
        <v>16</v>
      </c>
      <c r="B18" s="5">
        <f>1200</f>
        <v>1200</v>
      </c>
      <c r="C18" s="5">
        <f>10000</f>
        <v>10000</v>
      </c>
      <c r="D18" s="5">
        <f t="shared" si="0"/>
        <v>-8800</v>
      </c>
      <c r="E18" s="6">
        <f t="shared" si="1"/>
        <v>0.12</v>
      </c>
    </row>
    <row r="19" spans="1:5" x14ac:dyDescent="0.25">
      <c r="A19" s="3" t="s">
        <v>17</v>
      </c>
      <c r="B19" s="4"/>
      <c r="C19" s="5">
        <f>4200</f>
        <v>4200</v>
      </c>
      <c r="D19" s="5">
        <f t="shared" si="0"/>
        <v>-4200</v>
      </c>
      <c r="E19" s="6">
        <f t="shared" si="1"/>
        <v>0</v>
      </c>
    </row>
    <row r="20" spans="1:5" x14ac:dyDescent="0.25">
      <c r="A20" s="3" t="s">
        <v>18</v>
      </c>
      <c r="B20" s="4"/>
      <c r="C20" s="5">
        <f>4000</f>
        <v>4000</v>
      </c>
      <c r="D20" s="5">
        <f t="shared" si="0"/>
        <v>-4000</v>
      </c>
      <c r="E20" s="6">
        <f t="shared" si="1"/>
        <v>0</v>
      </c>
    </row>
    <row r="21" spans="1:5" x14ac:dyDescent="0.25">
      <c r="A21" s="3" t="s">
        <v>19</v>
      </c>
      <c r="B21" s="4"/>
      <c r="C21" s="5">
        <f>20000</f>
        <v>20000</v>
      </c>
      <c r="D21" s="5">
        <f t="shared" si="0"/>
        <v>-20000</v>
      </c>
      <c r="E21" s="6">
        <f t="shared" si="1"/>
        <v>0</v>
      </c>
    </row>
    <row r="22" spans="1:5" x14ac:dyDescent="0.25">
      <c r="A22" s="3" t="s">
        <v>20</v>
      </c>
      <c r="B22" s="5">
        <f>2130</f>
        <v>2130</v>
      </c>
      <c r="C22" s="5">
        <f>12500</f>
        <v>12500</v>
      </c>
      <c r="D22" s="5">
        <f t="shared" si="0"/>
        <v>-10370</v>
      </c>
      <c r="E22" s="6">
        <f t="shared" si="1"/>
        <v>0.1704</v>
      </c>
    </row>
    <row r="23" spans="1:5" x14ac:dyDescent="0.25">
      <c r="A23" s="3" t="s">
        <v>21</v>
      </c>
      <c r="B23" s="7">
        <f>((((((B13)+(B17))+(B18))+(B19))+(B20))+(B21))+(B22)</f>
        <v>4018.44</v>
      </c>
      <c r="C23" s="7">
        <f>((((((C13)+(C17))+(C18))+(C19))+(C20))+(C21))+(C22)</f>
        <v>70700</v>
      </c>
      <c r="D23" s="7">
        <f t="shared" si="0"/>
        <v>-66681.56</v>
      </c>
      <c r="E23" s="8">
        <f t="shared" si="1"/>
        <v>5.6837906647807641E-2</v>
      </c>
    </row>
    <row r="24" spans="1:5" x14ac:dyDescent="0.25">
      <c r="A24" s="3" t="s">
        <v>22</v>
      </c>
      <c r="B24" s="4"/>
      <c r="C24" s="5">
        <f>3000</f>
        <v>3000</v>
      </c>
      <c r="D24" s="5">
        <f t="shared" si="0"/>
        <v>-3000</v>
      </c>
      <c r="E24" s="6">
        <f t="shared" si="1"/>
        <v>0</v>
      </c>
    </row>
    <row r="25" spans="1:5" x14ac:dyDescent="0.25">
      <c r="A25" s="3" t="s">
        <v>23</v>
      </c>
      <c r="B25" s="4"/>
      <c r="C25" s="4"/>
      <c r="D25" s="5">
        <f t="shared" si="0"/>
        <v>0</v>
      </c>
      <c r="E25" s="6" t="str">
        <f t="shared" si="1"/>
        <v/>
      </c>
    </row>
    <row r="26" spans="1:5" x14ac:dyDescent="0.25">
      <c r="A26" s="3" t="s">
        <v>24</v>
      </c>
      <c r="B26" s="4"/>
      <c r="C26" s="5">
        <f>75</f>
        <v>75</v>
      </c>
      <c r="D26" s="5">
        <f t="shared" si="0"/>
        <v>-75</v>
      </c>
      <c r="E26" s="6">
        <f t="shared" si="1"/>
        <v>0</v>
      </c>
    </row>
    <row r="27" spans="1:5" x14ac:dyDescent="0.25">
      <c r="A27" s="3" t="s">
        <v>25</v>
      </c>
      <c r="B27" s="4"/>
      <c r="C27" s="4"/>
      <c r="D27" s="5">
        <f t="shared" si="0"/>
        <v>0</v>
      </c>
      <c r="E27" s="6" t="str">
        <f t="shared" si="1"/>
        <v/>
      </c>
    </row>
    <row r="28" spans="1:5" x14ac:dyDescent="0.25">
      <c r="A28" s="3" t="s">
        <v>26</v>
      </c>
      <c r="B28" s="4"/>
      <c r="C28" s="5">
        <f>15000</f>
        <v>15000</v>
      </c>
      <c r="D28" s="5">
        <f t="shared" si="0"/>
        <v>-15000</v>
      </c>
      <c r="E28" s="6">
        <f t="shared" si="1"/>
        <v>0</v>
      </c>
    </row>
    <row r="29" spans="1:5" x14ac:dyDescent="0.25">
      <c r="A29" s="3" t="s">
        <v>27</v>
      </c>
      <c r="B29" s="4"/>
      <c r="C29" s="5">
        <f>51000</f>
        <v>51000</v>
      </c>
      <c r="D29" s="5">
        <f t="shared" si="0"/>
        <v>-51000</v>
      </c>
      <c r="E29" s="6">
        <f t="shared" si="1"/>
        <v>0</v>
      </c>
    </row>
    <row r="30" spans="1:5" x14ac:dyDescent="0.25">
      <c r="A30" s="3" t="s">
        <v>28</v>
      </c>
      <c r="B30" s="4"/>
      <c r="C30" s="5">
        <f>1000</f>
        <v>1000</v>
      </c>
      <c r="D30" s="5">
        <f t="shared" si="0"/>
        <v>-1000</v>
      </c>
      <c r="E30" s="6">
        <f t="shared" si="1"/>
        <v>0</v>
      </c>
    </row>
    <row r="31" spans="1:5" x14ac:dyDescent="0.25">
      <c r="A31" s="3" t="s">
        <v>29</v>
      </c>
      <c r="B31" s="5">
        <f>452</f>
        <v>452</v>
      </c>
      <c r="C31" s="5">
        <f>65250</f>
        <v>65250</v>
      </c>
      <c r="D31" s="5">
        <f t="shared" si="0"/>
        <v>-64798</v>
      </c>
      <c r="E31" s="6">
        <f t="shared" si="1"/>
        <v>6.9272030651340993E-3</v>
      </c>
    </row>
    <row r="32" spans="1:5" x14ac:dyDescent="0.25">
      <c r="A32" s="3" t="s">
        <v>30</v>
      </c>
      <c r="B32" s="4"/>
      <c r="C32" s="5">
        <f>1500</f>
        <v>1500</v>
      </c>
      <c r="D32" s="5">
        <f t="shared" si="0"/>
        <v>-1500</v>
      </c>
      <c r="E32" s="6">
        <f t="shared" si="1"/>
        <v>0</v>
      </c>
    </row>
    <row r="33" spans="1:5" x14ac:dyDescent="0.25">
      <c r="A33" s="3" t="s">
        <v>31</v>
      </c>
      <c r="B33" s="7">
        <f>(((((B27)+(B28))+(B29))+(B30))+(B31))+(B32)</f>
        <v>452</v>
      </c>
      <c r="C33" s="7">
        <f>(((((C27)+(C28))+(C29))+(C30))+(C31))+(C32)</f>
        <v>133750</v>
      </c>
      <c r="D33" s="7">
        <f t="shared" si="0"/>
        <v>-133298</v>
      </c>
      <c r="E33" s="8">
        <f t="shared" si="1"/>
        <v>3.3794392523364488E-3</v>
      </c>
    </row>
    <row r="34" spans="1:5" x14ac:dyDescent="0.25">
      <c r="A34" s="3" t="s">
        <v>32</v>
      </c>
      <c r="B34" s="4"/>
      <c r="C34" s="4"/>
      <c r="D34" s="5">
        <f t="shared" si="0"/>
        <v>0</v>
      </c>
      <c r="E34" s="6" t="str">
        <f t="shared" si="1"/>
        <v/>
      </c>
    </row>
    <row r="35" spans="1:5" x14ac:dyDescent="0.25">
      <c r="A35" s="3" t="s">
        <v>33</v>
      </c>
      <c r="B35" s="5">
        <f>10</f>
        <v>10</v>
      </c>
      <c r="C35" s="4"/>
      <c r="D35" s="5">
        <f t="shared" si="0"/>
        <v>10</v>
      </c>
      <c r="E35" s="6" t="str">
        <f t="shared" si="1"/>
        <v/>
      </c>
    </row>
    <row r="36" spans="1:5" x14ac:dyDescent="0.25">
      <c r="A36" s="3" t="s">
        <v>34</v>
      </c>
      <c r="B36" s="5">
        <f>0</f>
        <v>0</v>
      </c>
      <c r="C36" s="4"/>
      <c r="D36" s="5">
        <f t="shared" si="0"/>
        <v>0</v>
      </c>
      <c r="E36" s="6" t="str">
        <f t="shared" si="1"/>
        <v/>
      </c>
    </row>
    <row r="37" spans="1:5" x14ac:dyDescent="0.25">
      <c r="A37" s="3" t="s">
        <v>35</v>
      </c>
      <c r="B37" s="7">
        <f>((B34)+(B35))+(B36)</f>
        <v>10</v>
      </c>
      <c r="C37" s="7">
        <f>((C34)+(C35))+(C36)</f>
        <v>0</v>
      </c>
      <c r="D37" s="7">
        <f t="shared" si="0"/>
        <v>10</v>
      </c>
      <c r="E37" s="8" t="str">
        <f t="shared" si="1"/>
        <v/>
      </c>
    </row>
    <row r="38" spans="1:5" x14ac:dyDescent="0.25">
      <c r="A38" s="3" t="s">
        <v>36</v>
      </c>
      <c r="B38" s="5">
        <f>19</f>
        <v>19</v>
      </c>
      <c r="C38" s="4"/>
      <c r="D38" s="5">
        <f t="shared" si="0"/>
        <v>19</v>
      </c>
      <c r="E38" s="6" t="str">
        <f t="shared" si="1"/>
        <v/>
      </c>
    </row>
    <row r="39" spans="1:5" x14ac:dyDescent="0.25">
      <c r="A39" s="3" t="s">
        <v>37</v>
      </c>
      <c r="B39" s="5">
        <f>320</f>
        <v>320</v>
      </c>
      <c r="C39" s="5">
        <f>1000</f>
        <v>1000</v>
      </c>
      <c r="D39" s="5">
        <f t="shared" si="0"/>
        <v>-680</v>
      </c>
      <c r="E39" s="6">
        <f t="shared" si="1"/>
        <v>0.32</v>
      </c>
    </row>
    <row r="40" spans="1:5" x14ac:dyDescent="0.25">
      <c r="A40" s="3" t="s">
        <v>38</v>
      </c>
      <c r="B40" s="7">
        <f>(B38)+(B39)</f>
        <v>339</v>
      </c>
      <c r="C40" s="7">
        <f>(C38)+(C39)</f>
        <v>1000</v>
      </c>
      <c r="D40" s="7">
        <f t="shared" ref="D40:D71" si="2">(B40)-(C40)</f>
        <v>-661</v>
      </c>
      <c r="E40" s="8">
        <f t="shared" ref="E40:E71" si="3">IF(C40=0,"",(B40)/(C40))</f>
        <v>0.33900000000000002</v>
      </c>
    </row>
    <row r="41" spans="1:5" x14ac:dyDescent="0.25">
      <c r="A41" s="3" t="s">
        <v>39</v>
      </c>
      <c r="B41" s="4"/>
      <c r="C41" s="4"/>
      <c r="D41" s="5">
        <f t="shared" si="2"/>
        <v>0</v>
      </c>
      <c r="E41" s="6" t="str">
        <f t="shared" si="3"/>
        <v/>
      </c>
    </row>
    <row r="42" spans="1:5" x14ac:dyDescent="0.25">
      <c r="A42" s="3" t="s">
        <v>40</v>
      </c>
      <c r="B42" s="4"/>
      <c r="C42" s="5">
        <f>350</f>
        <v>350</v>
      </c>
      <c r="D42" s="5">
        <f t="shared" si="2"/>
        <v>-350</v>
      </c>
      <c r="E42" s="6">
        <f t="shared" si="3"/>
        <v>0</v>
      </c>
    </row>
    <row r="43" spans="1:5" x14ac:dyDescent="0.25">
      <c r="A43" s="3" t="s">
        <v>41</v>
      </c>
      <c r="B43" s="5">
        <f>289.6</f>
        <v>289.60000000000002</v>
      </c>
      <c r="C43" s="5">
        <f>7710.53</f>
        <v>7710.53</v>
      </c>
      <c r="D43" s="5">
        <f t="shared" si="2"/>
        <v>-7420.9299999999994</v>
      </c>
      <c r="E43" s="6">
        <f t="shared" si="3"/>
        <v>3.7559026422308198E-2</v>
      </c>
    </row>
    <row r="44" spans="1:5" x14ac:dyDescent="0.25">
      <c r="A44" s="3" t="s">
        <v>42</v>
      </c>
      <c r="B44" s="5">
        <f>19.98</f>
        <v>19.98</v>
      </c>
      <c r="C44" s="5">
        <f>2750</f>
        <v>2750</v>
      </c>
      <c r="D44" s="5">
        <f t="shared" si="2"/>
        <v>-2730.02</v>
      </c>
      <c r="E44" s="6">
        <f t="shared" si="3"/>
        <v>7.2654545454545454E-3</v>
      </c>
    </row>
    <row r="45" spans="1:5" x14ac:dyDescent="0.25">
      <c r="A45" s="3" t="s">
        <v>43</v>
      </c>
      <c r="B45" s="5">
        <f>110.19</f>
        <v>110.19</v>
      </c>
      <c r="C45" s="5">
        <f>7500</f>
        <v>7500</v>
      </c>
      <c r="D45" s="5">
        <f t="shared" si="2"/>
        <v>-7389.81</v>
      </c>
      <c r="E45" s="6">
        <f t="shared" si="3"/>
        <v>1.4692E-2</v>
      </c>
    </row>
    <row r="46" spans="1:5" x14ac:dyDescent="0.25">
      <c r="A46" s="3" t="s">
        <v>44</v>
      </c>
      <c r="B46" s="4"/>
      <c r="C46" s="5">
        <f>200</f>
        <v>200</v>
      </c>
      <c r="D46" s="5">
        <f t="shared" si="2"/>
        <v>-200</v>
      </c>
      <c r="E46" s="6">
        <f t="shared" si="3"/>
        <v>0</v>
      </c>
    </row>
    <row r="47" spans="1:5" x14ac:dyDescent="0.25">
      <c r="A47" s="3" t="s">
        <v>45</v>
      </c>
      <c r="B47" s="4"/>
      <c r="C47" s="5">
        <f>1750</f>
        <v>1750</v>
      </c>
      <c r="D47" s="5">
        <f t="shared" si="2"/>
        <v>-1750</v>
      </c>
      <c r="E47" s="6">
        <f t="shared" si="3"/>
        <v>0</v>
      </c>
    </row>
    <row r="48" spans="1:5" x14ac:dyDescent="0.25">
      <c r="A48" s="3" t="s">
        <v>46</v>
      </c>
      <c r="B48" s="4"/>
      <c r="C48" s="5">
        <f>1</f>
        <v>1</v>
      </c>
      <c r="D48" s="5">
        <f t="shared" si="2"/>
        <v>-1</v>
      </c>
      <c r="E48" s="6">
        <f t="shared" si="3"/>
        <v>0</v>
      </c>
    </row>
    <row r="49" spans="1:5" x14ac:dyDescent="0.25">
      <c r="A49" s="3" t="s">
        <v>47</v>
      </c>
      <c r="B49" s="4"/>
      <c r="C49" s="5">
        <f>1500</f>
        <v>1500</v>
      </c>
      <c r="D49" s="5">
        <f t="shared" si="2"/>
        <v>-1500</v>
      </c>
      <c r="E49" s="6">
        <f t="shared" si="3"/>
        <v>0</v>
      </c>
    </row>
    <row r="50" spans="1:5" x14ac:dyDescent="0.25">
      <c r="A50" s="3" t="s">
        <v>48</v>
      </c>
      <c r="B50" s="5">
        <f>33.9</f>
        <v>33.9</v>
      </c>
      <c r="C50" s="5">
        <f>2000</f>
        <v>2000</v>
      </c>
      <c r="D50" s="5">
        <f t="shared" si="2"/>
        <v>-1966.1</v>
      </c>
      <c r="E50" s="6">
        <f t="shared" si="3"/>
        <v>1.695E-2</v>
      </c>
    </row>
    <row r="51" spans="1:5" x14ac:dyDescent="0.25">
      <c r="A51" s="3" t="s">
        <v>49</v>
      </c>
      <c r="B51" s="5">
        <f>2.5</f>
        <v>2.5</v>
      </c>
      <c r="C51" s="5">
        <f>350</f>
        <v>350</v>
      </c>
      <c r="D51" s="5">
        <f t="shared" si="2"/>
        <v>-347.5</v>
      </c>
      <c r="E51" s="6">
        <f t="shared" si="3"/>
        <v>7.1428571428571426E-3</v>
      </c>
    </row>
    <row r="52" spans="1:5" x14ac:dyDescent="0.25">
      <c r="A52" s="3" t="s">
        <v>50</v>
      </c>
      <c r="B52" s="5">
        <f>58.5</f>
        <v>58.5</v>
      </c>
      <c r="C52" s="5">
        <f>4000</f>
        <v>4000</v>
      </c>
      <c r="D52" s="5">
        <f t="shared" si="2"/>
        <v>-3941.5</v>
      </c>
      <c r="E52" s="6">
        <f t="shared" si="3"/>
        <v>1.4625000000000001E-2</v>
      </c>
    </row>
    <row r="53" spans="1:5" x14ac:dyDescent="0.25">
      <c r="A53" s="3" t="s">
        <v>51</v>
      </c>
      <c r="B53" s="4"/>
      <c r="C53" s="5">
        <f>250</f>
        <v>250</v>
      </c>
      <c r="D53" s="5">
        <f t="shared" si="2"/>
        <v>-250</v>
      </c>
      <c r="E53" s="6">
        <f t="shared" si="3"/>
        <v>0</v>
      </c>
    </row>
    <row r="54" spans="1:5" x14ac:dyDescent="0.25">
      <c r="A54" s="3" t="s">
        <v>52</v>
      </c>
      <c r="B54" s="5">
        <f>15.65</f>
        <v>15.65</v>
      </c>
      <c r="C54" s="5">
        <f>750</f>
        <v>750</v>
      </c>
      <c r="D54" s="5">
        <f t="shared" si="2"/>
        <v>-734.35</v>
      </c>
      <c r="E54" s="6">
        <f t="shared" si="3"/>
        <v>2.0866666666666669E-2</v>
      </c>
    </row>
    <row r="55" spans="1:5" x14ac:dyDescent="0.25">
      <c r="A55" s="3" t="s">
        <v>53</v>
      </c>
      <c r="B55" s="5">
        <f>30.5</f>
        <v>30.5</v>
      </c>
      <c r="C55" s="5">
        <f>2250</f>
        <v>2250</v>
      </c>
      <c r="D55" s="5">
        <f t="shared" si="2"/>
        <v>-2219.5</v>
      </c>
      <c r="E55" s="6">
        <f t="shared" si="3"/>
        <v>1.3555555555555555E-2</v>
      </c>
    </row>
    <row r="56" spans="1:5" x14ac:dyDescent="0.25">
      <c r="A56" s="3" t="s">
        <v>54</v>
      </c>
      <c r="B56" s="4"/>
      <c r="C56" s="5">
        <f>50</f>
        <v>50</v>
      </c>
      <c r="D56" s="5">
        <f t="shared" si="2"/>
        <v>-50</v>
      </c>
      <c r="E56" s="6">
        <f t="shared" si="3"/>
        <v>0</v>
      </c>
    </row>
    <row r="57" spans="1:5" x14ac:dyDescent="0.25">
      <c r="A57" s="3" t="s">
        <v>55</v>
      </c>
      <c r="B57" s="5">
        <f>13.95</f>
        <v>13.95</v>
      </c>
      <c r="C57" s="5">
        <f>2250</f>
        <v>2250</v>
      </c>
      <c r="D57" s="5">
        <f t="shared" si="2"/>
        <v>-2236.0500000000002</v>
      </c>
      <c r="E57" s="6">
        <f t="shared" si="3"/>
        <v>6.1999999999999998E-3</v>
      </c>
    </row>
    <row r="58" spans="1:5" x14ac:dyDescent="0.25">
      <c r="A58" s="3" t="s">
        <v>56</v>
      </c>
      <c r="B58" s="5">
        <f>124.5</f>
        <v>124.5</v>
      </c>
      <c r="C58" s="5">
        <f>3500</f>
        <v>3500</v>
      </c>
      <c r="D58" s="5">
        <f t="shared" si="2"/>
        <v>-3375.5</v>
      </c>
      <c r="E58" s="6">
        <f t="shared" si="3"/>
        <v>3.5571428571428573E-2</v>
      </c>
    </row>
    <row r="59" spans="1:5" x14ac:dyDescent="0.25">
      <c r="A59" s="3" t="s">
        <v>57</v>
      </c>
      <c r="B59" s="4"/>
      <c r="C59" s="5">
        <f>2000</f>
        <v>2000</v>
      </c>
      <c r="D59" s="5">
        <f t="shared" si="2"/>
        <v>-2000</v>
      </c>
      <c r="E59" s="6">
        <f t="shared" si="3"/>
        <v>0</v>
      </c>
    </row>
    <row r="60" spans="1:5" x14ac:dyDescent="0.25">
      <c r="A60" s="3" t="s">
        <v>58</v>
      </c>
      <c r="B60" s="5">
        <f>-20.79</f>
        <v>-20.79</v>
      </c>
      <c r="C60" s="5">
        <f>-750</f>
        <v>-750</v>
      </c>
      <c r="D60" s="5">
        <f t="shared" si="2"/>
        <v>729.21</v>
      </c>
      <c r="E60" s="6">
        <f t="shared" si="3"/>
        <v>2.7719999999999998E-2</v>
      </c>
    </row>
    <row r="61" spans="1:5" x14ac:dyDescent="0.25">
      <c r="A61" s="3" t="s">
        <v>59</v>
      </c>
      <c r="B61" s="4"/>
      <c r="C61" s="5">
        <f>250</f>
        <v>250</v>
      </c>
      <c r="D61" s="5">
        <f t="shared" si="2"/>
        <v>-250</v>
      </c>
      <c r="E61" s="6">
        <f t="shared" si="3"/>
        <v>0</v>
      </c>
    </row>
    <row r="62" spans="1:5" x14ac:dyDescent="0.25">
      <c r="A62" s="3" t="s">
        <v>60</v>
      </c>
      <c r="B62" s="4"/>
      <c r="C62" s="5">
        <f>75</f>
        <v>75</v>
      </c>
      <c r="D62" s="5">
        <f t="shared" si="2"/>
        <v>-75</v>
      </c>
      <c r="E62" s="6">
        <f t="shared" si="3"/>
        <v>0</v>
      </c>
    </row>
    <row r="63" spans="1:5" x14ac:dyDescent="0.25">
      <c r="A63" s="3" t="s">
        <v>61</v>
      </c>
      <c r="B63" s="5">
        <f>14</f>
        <v>14</v>
      </c>
      <c r="C63" s="5">
        <f>2500</f>
        <v>2500</v>
      </c>
      <c r="D63" s="5">
        <f t="shared" si="2"/>
        <v>-2486</v>
      </c>
      <c r="E63" s="6">
        <f t="shared" si="3"/>
        <v>5.5999999999999999E-3</v>
      </c>
    </row>
    <row r="64" spans="1:5" x14ac:dyDescent="0.25">
      <c r="A64" s="3" t="s">
        <v>62</v>
      </c>
      <c r="B64" s="4"/>
      <c r="C64" s="5">
        <f>200</f>
        <v>200</v>
      </c>
      <c r="D64" s="5">
        <f t="shared" si="2"/>
        <v>-200</v>
      </c>
      <c r="E64" s="6">
        <f t="shared" si="3"/>
        <v>0</v>
      </c>
    </row>
    <row r="65" spans="1:5" x14ac:dyDescent="0.25">
      <c r="A65" s="3" t="s">
        <v>63</v>
      </c>
      <c r="B65" s="5">
        <f>24.5</f>
        <v>24.5</v>
      </c>
      <c r="C65" s="5">
        <f>7500</f>
        <v>7500</v>
      </c>
      <c r="D65" s="5">
        <f t="shared" si="2"/>
        <v>-7475.5</v>
      </c>
      <c r="E65" s="6">
        <f t="shared" si="3"/>
        <v>3.2666666666666669E-3</v>
      </c>
    </row>
    <row r="66" spans="1:5" x14ac:dyDescent="0.25">
      <c r="A66" s="3" t="s">
        <v>64</v>
      </c>
      <c r="B66" s="4"/>
      <c r="C66" s="5">
        <f>375</f>
        <v>375</v>
      </c>
      <c r="D66" s="5">
        <f t="shared" si="2"/>
        <v>-375</v>
      </c>
      <c r="E66" s="6">
        <f t="shared" si="3"/>
        <v>0</v>
      </c>
    </row>
    <row r="67" spans="1:5" x14ac:dyDescent="0.25">
      <c r="A67" s="3" t="s">
        <v>65</v>
      </c>
      <c r="B67" s="4"/>
      <c r="C67" s="5">
        <f>3000</f>
        <v>3000</v>
      </c>
      <c r="D67" s="5">
        <f t="shared" si="2"/>
        <v>-3000</v>
      </c>
      <c r="E67" s="6">
        <f t="shared" si="3"/>
        <v>0</v>
      </c>
    </row>
    <row r="68" spans="1:5" x14ac:dyDescent="0.25">
      <c r="A68" s="3" t="s">
        <v>66</v>
      </c>
      <c r="B68" s="5">
        <f>2</f>
        <v>2</v>
      </c>
      <c r="C68" s="5">
        <f>750</f>
        <v>750</v>
      </c>
      <c r="D68" s="5">
        <f t="shared" si="2"/>
        <v>-748</v>
      </c>
      <c r="E68" s="6">
        <f t="shared" si="3"/>
        <v>2.6666666666666666E-3</v>
      </c>
    </row>
    <row r="69" spans="1:5" x14ac:dyDescent="0.25">
      <c r="A69" s="3" t="s">
        <v>67</v>
      </c>
      <c r="B69" s="4"/>
      <c r="C69" s="5">
        <f>75</f>
        <v>75</v>
      </c>
      <c r="D69" s="5">
        <f t="shared" si="2"/>
        <v>-75</v>
      </c>
      <c r="E69" s="6">
        <f t="shared" si="3"/>
        <v>0</v>
      </c>
    </row>
    <row r="70" spans="1:5" x14ac:dyDescent="0.25">
      <c r="A70" s="3" t="s">
        <v>68</v>
      </c>
      <c r="B70" s="5">
        <f>40</f>
        <v>40</v>
      </c>
      <c r="C70" s="5">
        <f>375</f>
        <v>375</v>
      </c>
      <c r="D70" s="5">
        <f t="shared" si="2"/>
        <v>-335</v>
      </c>
      <c r="E70" s="6">
        <f t="shared" si="3"/>
        <v>0.10666666666666667</v>
      </c>
    </row>
    <row r="71" spans="1:5" x14ac:dyDescent="0.25">
      <c r="A71" s="3" t="s">
        <v>69</v>
      </c>
      <c r="B71" s="4"/>
      <c r="C71" s="5">
        <f>75</f>
        <v>75</v>
      </c>
      <c r="D71" s="5">
        <f t="shared" si="2"/>
        <v>-75</v>
      </c>
      <c r="E71" s="6">
        <f t="shared" si="3"/>
        <v>0</v>
      </c>
    </row>
    <row r="72" spans="1:5" x14ac:dyDescent="0.25">
      <c r="A72" s="3" t="s">
        <v>70</v>
      </c>
      <c r="B72" s="4"/>
      <c r="C72" s="5">
        <f>1250</f>
        <v>1250</v>
      </c>
      <c r="D72" s="5">
        <f t="shared" ref="D72:D103" si="4">(B72)-(C72)</f>
        <v>-1250</v>
      </c>
      <c r="E72" s="6">
        <f t="shared" ref="E72:E88" si="5">IF(C72=0,"",(B72)/(C72))</f>
        <v>0</v>
      </c>
    </row>
    <row r="73" spans="1:5" x14ac:dyDescent="0.25">
      <c r="A73" s="3" t="s">
        <v>71</v>
      </c>
      <c r="B73" s="4"/>
      <c r="C73" s="5">
        <f>300</f>
        <v>300</v>
      </c>
      <c r="D73" s="5">
        <f t="shared" si="4"/>
        <v>-300</v>
      </c>
      <c r="E73" s="6">
        <f t="shared" si="5"/>
        <v>0</v>
      </c>
    </row>
    <row r="74" spans="1:5" x14ac:dyDescent="0.25">
      <c r="A74" s="3" t="s">
        <v>72</v>
      </c>
      <c r="B74" s="4"/>
      <c r="C74" s="5">
        <f>300</f>
        <v>300</v>
      </c>
      <c r="D74" s="5">
        <f t="shared" si="4"/>
        <v>-300</v>
      </c>
      <c r="E74" s="6">
        <f t="shared" si="5"/>
        <v>0</v>
      </c>
    </row>
    <row r="75" spans="1:5" x14ac:dyDescent="0.25">
      <c r="A75" s="3" t="s">
        <v>73</v>
      </c>
      <c r="B75" s="4"/>
      <c r="C75" s="5">
        <f>75</f>
        <v>75</v>
      </c>
      <c r="D75" s="5">
        <f t="shared" si="4"/>
        <v>-75</v>
      </c>
      <c r="E75" s="6">
        <f t="shared" si="5"/>
        <v>0</v>
      </c>
    </row>
    <row r="76" spans="1:5" x14ac:dyDescent="0.25">
      <c r="A76" s="3" t="s">
        <v>74</v>
      </c>
      <c r="B76" s="5">
        <f>12</f>
        <v>12</v>
      </c>
      <c r="C76" s="5">
        <f>1250</f>
        <v>1250</v>
      </c>
      <c r="D76" s="5">
        <f t="shared" si="4"/>
        <v>-1238</v>
      </c>
      <c r="E76" s="6">
        <f t="shared" si="5"/>
        <v>9.5999999999999992E-3</v>
      </c>
    </row>
    <row r="77" spans="1:5" x14ac:dyDescent="0.25">
      <c r="A77" s="3" t="s">
        <v>75</v>
      </c>
      <c r="B77" s="4"/>
      <c r="C77" s="5">
        <f>75</f>
        <v>75</v>
      </c>
      <c r="D77" s="5">
        <f t="shared" si="4"/>
        <v>-75</v>
      </c>
      <c r="E77" s="6">
        <f t="shared" si="5"/>
        <v>0</v>
      </c>
    </row>
    <row r="78" spans="1:5" x14ac:dyDescent="0.25">
      <c r="A78" s="3" t="s">
        <v>76</v>
      </c>
      <c r="B78" s="4"/>
      <c r="C78" s="5">
        <f>500</f>
        <v>500</v>
      </c>
      <c r="D78" s="5">
        <f t="shared" si="4"/>
        <v>-500</v>
      </c>
      <c r="E78" s="6">
        <f t="shared" si="5"/>
        <v>0</v>
      </c>
    </row>
    <row r="79" spans="1:5" x14ac:dyDescent="0.25">
      <c r="A79" s="3" t="s">
        <v>77</v>
      </c>
      <c r="B79" s="5">
        <f>15</f>
        <v>15</v>
      </c>
      <c r="C79" s="5">
        <f>1000</f>
        <v>1000</v>
      </c>
      <c r="D79" s="5">
        <f t="shared" si="4"/>
        <v>-985</v>
      </c>
      <c r="E79" s="6">
        <f t="shared" si="5"/>
        <v>1.4999999999999999E-2</v>
      </c>
    </row>
    <row r="80" spans="1:5" x14ac:dyDescent="0.25">
      <c r="A80" s="3" t="s">
        <v>78</v>
      </c>
      <c r="B80" s="4"/>
      <c r="C80" s="5">
        <f>1000</f>
        <v>1000</v>
      </c>
      <c r="D80" s="5">
        <f t="shared" si="4"/>
        <v>-1000</v>
      </c>
      <c r="E80" s="6">
        <f t="shared" si="5"/>
        <v>0</v>
      </c>
    </row>
    <row r="81" spans="1:5" x14ac:dyDescent="0.25">
      <c r="A81" s="3" t="s">
        <v>79</v>
      </c>
      <c r="B81" s="4"/>
      <c r="C81" s="5">
        <f>120</f>
        <v>120</v>
      </c>
      <c r="D81" s="5">
        <f t="shared" si="4"/>
        <v>-120</v>
      </c>
      <c r="E81" s="6">
        <f t="shared" si="5"/>
        <v>0</v>
      </c>
    </row>
    <row r="82" spans="1:5" x14ac:dyDescent="0.25">
      <c r="A82" s="3" t="s">
        <v>80</v>
      </c>
      <c r="B82" s="4"/>
      <c r="C82" s="5">
        <f>1000</f>
        <v>1000</v>
      </c>
      <c r="D82" s="5">
        <f t="shared" si="4"/>
        <v>-1000</v>
      </c>
      <c r="E82" s="6">
        <f t="shared" si="5"/>
        <v>0</v>
      </c>
    </row>
    <row r="83" spans="1:5" x14ac:dyDescent="0.25">
      <c r="A83" s="3" t="s">
        <v>81</v>
      </c>
      <c r="B83" s="4"/>
      <c r="C83" s="5">
        <f>100</f>
        <v>100</v>
      </c>
      <c r="D83" s="5">
        <f t="shared" si="4"/>
        <v>-100</v>
      </c>
      <c r="E83" s="6">
        <f t="shared" si="5"/>
        <v>0</v>
      </c>
    </row>
    <row r="84" spans="1:5" x14ac:dyDescent="0.25">
      <c r="A84" s="3" t="s">
        <v>82</v>
      </c>
      <c r="B84" s="5">
        <f>40</f>
        <v>40</v>
      </c>
      <c r="C84" s="5">
        <f>1500</f>
        <v>1500</v>
      </c>
      <c r="D84" s="5">
        <f t="shared" si="4"/>
        <v>-1460</v>
      </c>
      <c r="E84" s="6">
        <f t="shared" si="5"/>
        <v>2.6666666666666668E-2</v>
      </c>
    </row>
    <row r="85" spans="1:5" x14ac:dyDescent="0.25">
      <c r="A85" s="3" t="s">
        <v>83</v>
      </c>
      <c r="B85" s="7">
        <f>(((((((((((((((((((((((((((((((((((((((((((B41)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</f>
        <v>825.98000000000013</v>
      </c>
      <c r="C85" s="7">
        <f>(((((((((((((((((((((((((((((((((((((((((((C41)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</f>
        <v>62056.53</v>
      </c>
      <c r="D85" s="7">
        <f t="shared" si="4"/>
        <v>-61230.549999999996</v>
      </c>
      <c r="E85" s="8">
        <f t="shared" si="5"/>
        <v>1.331012223854605E-2</v>
      </c>
    </row>
    <row r="86" spans="1:5" x14ac:dyDescent="0.25">
      <c r="A86" s="3" t="s">
        <v>84</v>
      </c>
      <c r="B86" s="7">
        <f>(((((B25)+(B26))+(B33))+(B37))+(B40))+(B85)</f>
        <v>1626.98</v>
      </c>
      <c r="C86" s="7">
        <f>(((((C25)+(C26))+(C33))+(C37))+(C40))+(C85)</f>
        <v>196881.53</v>
      </c>
      <c r="D86" s="7">
        <f t="shared" si="4"/>
        <v>-195254.55</v>
      </c>
      <c r="E86" s="8">
        <f t="shared" si="5"/>
        <v>8.2637513026234607E-3</v>
      </c>
    </row>
    <row r="87" spans="1:5" x14ac:dyDescent="0.25">
      <c r="A87" s="3" t="s">
        <v>85</v>
      </c>
      <c r="B87" s="4"/>
      <c r="C87" s="5">
        <f>300</f>
        <v>300</v>
      </c>
      <c r="D87" s="5">
        <f t="shared" si="4"/>
        <v>-300</v>
      </c>
      <c r="E87" s="6">
        <f t="shared" si="5"/>
        <v>0</v>
      </c>
    </row>
    <row r="88" spans="1:5" x14ac:dyDescent="0.25">
      <c r="A88" s="3" t="s">
        <v>86</v>
      </c>
      <c r="B88" s="7">
        <f>((((B12)+(B23))+(B24))+(B86))+(B87)</f>
        <v>139395.42000000001</v>
      </c>
      <c r="C88" s="7">
        <f>((((C12)+(C23))+(C24))+(C86))+(C87)</f>
        <v>814381.53</v>
      </c>
      <c r="D88" s="7">
        <f t="shared" si="4"/>
        <v>-674986.11</v>
      </c>
      <c r="E88" s="8">
        <f t="shared" si="5"/>
        <v>0.17116721691858608</v>
      </c>
    </row>
    <row r="89" spans="1:5" x14ac:dyDescent="0.25">
      <c r="A89" s="3" t="s">
        <v>87</v>
      </c>
      <c r="B89" s="4"/>
      <c r="C89" s="4"/>
      <c r="D89" s="4"/>
      <c r="E89" s="4"/>
    </row>
    <row r="90" spans="1:5" x14ac:dyDescent="0.25">
      <c r="A90" s="3" t="s">
        <v>88</v>
      </c>
      <c r="B90" s="5">
        <f>220.75</f>
        <v>220.75</v>
      </c>
      <c r="C90" s="5">
        <f>25000</f>
        <v>25000</v>
      </c>
      <c r="D90" s="5">
        <f>(B90)-(C90)</f>
        <v>-24779.25</v>
      </c>
      <c r="E90" s="6">
        <f>IF(C90=0,"",(B90)/(C90))</f>
        <v>8.8299999999999993E-3</v>
      </c>
    </row>
    <row r="91" spans="1:5" x14ac:dyDescent="0.25">
      <c r="A91" s="3" t="s">
        <v>89</v>
      </c>
      <c r="B91" s="5">
        <f>111.78</f>
        <v>111.78</v>
      </c>
      <c r="C91" s="5">
        <f>5000</f>
        <v>5000</v>
      </c>
      <c r="D91" s="5">
        <f>(B91)-(C91)</f>
        <v>-4888.22</v>
      </c>
      <c r="E91" s="6">
        <f>IF(C91=0,"",(B91)/(C91))</f>
        <v>2.2356000000000001E-2</v>
      </c>
    </row>
    <row r="92" spans="1:5" x14ac:dyDescent="0.25">
      <c r="A92" s="3" t="s">
        <v>90</v>
      </c>
      <c r="B92" s="7">
        <f>(B90)+(B91)</f>
        <v>332.53</v>
      </c>
      <c r="C92" s="7">
        <f>(C90)+(C91)</f>
        <v>30000</v>
      </c>
      <c r="D92" s="7">
        <f>(B92)-(C92)</f>
        <v>-29667.47</v>
      </c>
      <c r="E92" s="8">
        <f>IF(C92=0,"",(B92)/(C92))</f>
        <v>1.1084333333333333E-2</v>
      </c>
    </row>
    <row r="93" spans="1:5" x14ac:dyDescent="0.25">
      <c r="A93" s="3" t="s">
        <v>91</v>
      </c>
      <c r="B93" s="7">
        <f>(B88)-(B92)</f>
        <v>139062.89000000001</v>
      </c>
      <c r="C93" s="7">
        <f>(C88)-(C92)</f>
        <v>784381.53</v>
      </c>
      <c r="D93" s="7">
        <f>(B93)-(C93)</f>
        <v>-645318.64</v>
      </c>
      <c r="E93" s="8">
        <f>IF(C93=0,"",(B93)/(C93))</f>
        <v>0.17728985790881641</v>
      </c>
    </row>
    <row r="94" spans="1:5" x14ac:dyDescent="0.25">
      <c r="A94" s="3" t="s">
        <v>92</v>
      </c>
      <c r="B94" s="4"/>
      <c r="C94" s="4"/>
      <c r="D94" s="4"/>
      <c r="E94" s="4"/>
    </row>
    <row r="95" spans="1:5" x14ac:dyDescent="0.25">
      <c r="A95" s="3" t="s">
        <v>93</v>
      </c>
      <c r="B95" s="4"/>
      <c r="C95" s="4"/>
      <c r="D95" s="5">
        <f t="shared" ref="D95:D126" si="6">(B95)-(C95)</f>
        <v>0</v>
      </c>
      <c r="E95" s="6" t="str">
        <f t="shared" ref="E95:E126" si="7">IF(C95=0,"",(B95)/(C95))</f>
        <v/>
      </c>
    </row>
    <row r="96" spans="1:5" x14ac:dyDescent="0.25">
      <c r="A96" s="3" t="s">
        <v>94</v>
      </c>
      <c r="B96" s="5">
        <f>32572</f>
        <v>32572</v>
      </c>
      <c r="C96" s="5">
        <f>33500</f>
        <v>33500</v>
      </c>
      <c r="D96" s="5">
        <f t="shared" si="6"/>
        <v>-928</v>
      </c>
      <c r="E96" s="6">
        <f t="shared" si="7"/>
        <v>0.97229850746268653</v>
      </c>
    </row>
    <row r="97" spans="1:5" x14ac:dyDescent="0.25">
      <c r="A97" s="3" t="s">
        <v>95</v>
      </c>
      <c r="B97" s="7">
        <f>(B95)+(B96)</f>
        <v>32572</v>
      </c>
      <c r="C97" s="7">
        <f>(C95)+(C96)</f>
        <v>33500</v>
      </c>
      <c r="D97" s="7">
        <f t="shared" si="6"/>
        <v>-928</v>
      </c>
      <c r="E97" s="8">
        <f t="shared" si="7"/>
        <v>0.97229850746268653</v>
      </c>
    </row>
    <row r="98" spans="1:5" x14ac:dyDescent="0.25">
      <c r="A98" s="3" t="s">
        <v>96</v>
      </c>
      <c r="B98" s="5">
        <f>250</f>
        <v>250</v>
      </c>
      <c r="C98" s="5">
        <f>13000</f>
        <v>13000</v>
      </c>
      <c r="D98" s="5">
        <f t="shared" si="6"/>
        <v>-12750</v>
      </c>
      <c r="E98" s="6">
        <f t="shared" si="7"/>
        <v>1.9230769230769232E-2</v>
      </c>
    </row>
    <row r="99" spans="1:5" x14ac:dyDescent="0.25">
      <c r="A99" s="3" t="s">
        <v>97</v>
      </c>
      <c r="B99" s="5">
        <f>551.69</f>
        <v>551.69000000000005</v>
      </c>
      <c r="C99" s="5">
        <f>2500</f>
        <v>2500</v>
      </c>
      <c r="D99" s="5">
        <f t="shared" si="6"/>
        <v>-1948.31</v>
      </c>
      <c r="E99" s="6">
        <f t="shared" si="7"/>
        <v>0.22067600000000001</v>
      </c>
    </row>
    <row r="100" spans="1:5" x14ac:dyDescent="0.25">
      <c r="A100" s="3" t="s">
        <v>98</v>
      </c>
      <c r="B100" s="5">
        <f>1979.5</f>
        <v>1979.5</v>
      </c>
      <c r="C100" s="5">
        <f>15250</f>
        <v>15250</v>
      </c>
      <c r="D100" s="5">
        <f t="shared" si="6"/>
        <v>-13270.5</v>
      </c>
      <c r="E100" s="6">
        <f t="shared" si="7"/>
        <v>0.12980327868852459</v>
      </c>
    </row>
    <row r="101" spans="1:5" x14ac:dyDescent="0.25">
      <c r="A101" s="3" t="s">
        <v>99</v>
      </c>
      <c r="B101" s="5">
        <f>1.98</f>
        <v>1.98</v>
      </c>
      <c r="C101" s="5">
        <f>1500</f>
        <v>1500</v>
      </c>
      <c r="D101" s="5">
        <f t="shared" si="6"/>
        <v>-1498.02</v>
      </c>
      <c r="E101" s="6">
        <f t="shared" si="7"/>
        <v>1.32E-3</v>
      </c>
    </row>
    <row r="102" spans="1:5" x14ac:dyDescent="0.25">
      <c r="A102" s="3" t="s">
        <v>100</v>
      </c>
      <c r="B102" s="4"/>
      <c r="C102" s="4"/>
      <c r="D102" s="5">
        <f t="shared" si="6"/>
        <v>0</v>
      </c>
      <c r="E102" s="6" t="str">
        <f t="shared" si="7"/>
        <v/>
      </c>
    </row>
    <row r="103" spans="1:5" x14ac:dyDescent="0.25">
      <c r="A103" s="3" t="s">
        <v>101</v>
      </c>
      <c r="B103" s="4"/>
      <c r="C103" s="5">
        <f>1500</f>
        <v>1500</v>
      </c>
      <c r="D103" s="5">
        <f t="shared" si="6"/>
        <v>-1500</v>
      </c>
      <c r="E103" s="6">
        <f t="shared" si="7"/>
        <v>0</v>
      </c>
    </row>
    <row r="104" spans="1:5" x14ac:dyDescent="0.25">
      <c r="A104" s="3" t="s">
        <v>102</v>
      </c>
      <c r="B104" s="4"/>
      <c r="C104" s="5">
        <f>150</f>
        <v>150</v>
      </c>
      <c r="D104" s="5">
        <f t="shared" si="6"/>
        <v>-150</v>
      </c>
      <c r="E104" s="6">
        <f t="shared" si="7"/>
        <v>0</v>
      </c>
    </row>
    <row r="105" spans="1:5" x14ac:dyDescent="0.25">
      <c r="A105" s="3" t="s">
        <v>103</v>
      </c>
      <c r="B105" s="7">
        <f>((B102)+(B103))+(B104)</f>
        <v>0</v>
      </c>
      <c r="C105" s="7">
        <f>((C102)+(C103))+(C104)</f>
        <v>1650</v>
      </c>
      <c r="D105" s="7">
        <f t="shared" si="6"/>
        <v>-1650</v>
      </c>
      <c r="E105" s="8">
        <f t="shared" si="7"/>
        <v>0</v>
      </c>
    </row>
    <row r="106" spans="1:5" x14ac:dyDescent="0.25">
      <c r="A106" s="3" t="s">
        <v>104</v>
      </c>
      <c r="B106" s="4"/>
      <c r="C106" s="4"/>
      <c r="D106" s="5">
        <f t="shared" si="6"/>
        <v>0</v>
      </c>
      <c r="E106" s="6" t="str">
        <f t="shared" si="7"/>
        <v/>
      </c>
    </row>
    <row r="107" spans="1:5" x14ac:dyDescent="0.25">
      <c r="A107" s="3" t="s">
        <v>105</v>
      </c>
      <c r="B107" s="5">
        <f>2535.34</f>
        <v>2535.34</v>
      </c>
      <c r="C107" s="5">
        <f>15250</f>
        <v>15250</v>
      </c>
      <c r="D107" s="5">
        <f t="shared" si="6"/>
        <v>-12714.66</v>
      </c>
      <c r="E107" s="6">
        <f t="shared" si="7"/>
        <v>0.16625180327868855</v>
      </c>
    </row>
    <row r="108" spans="1:5" x14ac:dyDescent="0.25">
      <c r="A108" s="3" t="s">
        <v>106</v>
      </c>
      <c r="B108" s="7">
        <f>(B106)+(B107)</f>
        <v>2535.34</v>
      </c>
      <c r="C108" s="7">
        <f>(C106)+(C107)</f>
        <v>15250</v>
      </c>
      <c r="D108" s="7">
        <f t="shared" si="6"/>
        <v>-12714.66</v>
      </c>
      <c r="E108" s="8">
        <f t="shared" si="7"/>
        <v>0.16625180327868855</v>
      </c>
    </row>
    <row r="109" spans="1:5" x14ac:dyDescent="0.25">
      <c r="A109" s="3" t="s">
        <v>107</v>
      </c>
      <c r="B109" s="4"/>
      <c r="C109" s="4"/>
      <c r="D109" s="5">
        <f t="shared" si="6"/>
        <v>0</v>
      </c>
      <c r="E109" s="6" t="str">
        <f t="shared" si="7"/>
        <v/>
      </c>
    </row>
    <row r="110" spans="1:5" x14ac:dyDescent="0.25">
      <c r="A110" s="3" t="s">
        <v>108</v>
      </c>
      <c r="B110" s="5">
        <f>7246.5</f>
        <v>7246.5</v>
      </c>
      <c r="C110" s="5">
        <f>41500</f>
        <v>41500</v>
      </c>
      <c r="D110" s="5">
        <f t="shared" si="6"/>
        <v>-34253.5</v>
      </c>
      <c r="E110" s="6">
        <f t="shared" si="7"/>
        <v>0.17461445783132531</v>
      </c>
    </row>
    <row r="111" spans="1:5" x14ac:dyDescent="0.25">
      <c r="A111" s="3" t="s">
        <v>109</v>
      </c>
      <c r="B111" s="5">
        <f>8057.57</f>
        <v>8057.57</v>
      </c>
      <c r="C111" s="5">
        <f>23200</f>
        <v>23200</v>
      </c>
      <c r="D111" s="5">
        <f t="shared" si="6"/>
        <v>-15142.43</v>
      </c>
      <c r="E111" s="6">
        <f t="shared" si="7"/>
        <v>0.3473090517241379</v>
      </c>
    </row>
    <row r="112" spans="1:5" x14ac:dyDescent="0.25">
      <c r="A112" s="3" t="s">
        <v>110</v>
      </c>
      <c r="B112" s="5">
        <f>69.36</f>
        <v>69.36</v>
      </c>
      <c r="C112" s="5">
        <f>280</f>
        <v>280</v>
      </c>
      <c r="D112" s="5">
        <f t="shared" si="6"/>
        <v>-210.64</v>
      </c>
      <c r="E112" s="6">
        <f t="shared" si="7"/>
        <v>0.24771428571428572</v>
      </c>
    </row>
    <row r="113" spans="1:5" x14ac:dyDescent="0.25">
      <c r="A113" s="3" t="s">
        <v>111</v>
      </c>
      <c r="B113" s="7">
        <f>(((B109)+(B110))+(B111))+(B112)</f>
        <v>15373.43</v>
      </c>
      <c r="C113" s="7">
        <f>(((C109)+(C110))+(C111))+(C112)</f>
        <v>64980</v>
      </c>
      <c r="D113" s="7">
        <f t="shared" si="6"/>
        <v>-49606.57</v>
      </c>
      <c r="E113" s="8">
        <f t="shared" si="7"/>
        <v>0.23658710372422284</v>
      </c>
    </row>
    <row r="114" spans="1:5" x14ac:dyDescent="0.25">
      <c r="A114" s="3" t="s">
        <v>112</v>
      </c>
      <c r="B114" s="4"/>
      <c r="C114" s="4"/>
      <c r="D114" s="5">
        <f t="shared" si="6"/>
        <v>0</v>
      </c>
      <c r="E114" s="6" t="str">
        <f t="shared" si="7"/>
        <v/>
      </c>
    </row>
    <row r="115" spans="1:5" x14ac:dyDescent="0.25">
      <c r="A115" s="3" t="s">
        <v>113</v>
      </c>
      <c r="B115" s="4"/>
      <c r="C115" s="5">
        <f>4000</f>
        <v>4000</v>
      </c>
      <c r="D115" s="5">
        <f t="shared" si="6"/>
        <v>-4000</v>
      </c>
      <c r="E115" s="6">
        <f t="shared" si="7"/>
        <v>0</v>
      </c>
    </row>
    <row r="116" spans="1:5" x14ac:dyDescent="0.25">
      <c r="A116" s="3" t="s">
        <v>114</v>
      </c>
      <c r="B116" s="5">
        <f>546.36</f>
        <v>546.36</v>
      </c>
      <c r="C116" s="5">
        <f>2250</f>
        <v>2250</v>
      </c>
      <c r="D116" s="5">
        <f t="shared" si="6"/>
        <v>-1703.6399999999999</v>
      </c>
      <c r="E116" s="6">
        <f t="shared" si="7"/>
        <v>0.24282666666666666</v>
      </c>
    </row>
    <row r="117" spans="1:5" x14ac:dyDescent="0.25">
      <c r="A117" s="3" t="s">
        <v>115</v>
      </c>
      <c r="B117" s="5">
        <f>1564.15</f>
        <v>1564.15</v>
      </c>
      <c r="C117" s="5">
        <f>8500</f>
        <v>8500</v>
      </c>
      <c r="D117" s="5">
        <f t="shared" si="6"/>
        <v>-6935.85</v>
      </c>
      <c r="E117" s="6">
        <f t="shared" si="7"/>
        <v>0.18401764705882354</v>
      </c>
    </row>
    <row r="118" spans="1:5" x14ac:dyDescent="0.25">
      <c r="A118" s="3" t="s">
        <v>116</v>
      </c>
      <c r="B118" s="7">
        <f>(((B114)+(B115))+(B116))+(B117)</f>
        <v>2110.5100000000002</v>
      </c>
      <c r="C118" s="7">
        <f>(((C114)+(C115))+(C116))+(C117)</f>
        <v>14750</v>
      </c>
      <c r="D118" s="7">
        <f t="shared" si="6"/>
        <v>-12639.49</v>
      </c>
      <c r="E118" s="8">
        <f t="shared" si="7"/>
        <v>0.14308542372881358</v>
      </c>
    </row>
    <row r="119" spans="1:5" x14ac:dyDescent="0.25">
      <c r="A119" s="3" t="s">
        <v>117</v>
      </c>
      <c r="B119" s="5">
        <f>1222</f>
        <v>1222</v>
      </c>
      <c r="C119" s="5">
        <f>8000</f>
        <v>8000</v>
      </c>
      <c r="D119" s="5">
        <f t="shared" si="6"/>
        <v>-6778</v>
      </c>
      <c r="E119" s="6">
        <f t="shared" si="7"/>
        <v>0.15275</v>
      </c>
    </row>
    <row r="120" spans="1:5" x14ac:dyDescent="0.25">
      <c r="A120" s="3" t="s">
        <v>118</v>
      </c>
      <c r="B120" s="4"/>
      <c r="C120" s="4"/>
      <c r="D120" s="5">
        <f t="shared" si="6"/>
        <v>0</v>
      </c>
      <c r="E120" s="6" t="str">
        <f t="shared" si="7"/>
        <v/>
      </c>
    </row>
    <row r="121" spans="1:5" x14ac:dyDescent="0.25">
      <c r="A121" s="3" t="s">
        <v>119</v>
      </c>
      <c r="B121" s="5">
        <f>272.12</f>
        <v>272.12</v>
      </c>
      <c r="C121" s="5">
        <f>1500</f>
        <v>1500</v>
      </c>
      <c r="D121" s="5">
        <f t="shared" si="6"/>
        <v>-1227.8800000000001</v>
      </c>
      <c r="E121" s="6">
        <f t="shared" si="7"/>
        <v>0.18141333333333334</v>
      </c>
    </row>
    <row r="122" spans="1:5" x14ac:dyDescent="0.25">
      <c r="A122" s="3" t="s">
        <v>120</v>
      </c>
      <c r="B122" s="5">
        <f>1385.73</f>
        <v>1385.73</v>
      </c>
      <c r="C122" s="5">
        <f>10000</f>
        <v>10000</v>
      </c>
      <c r="D122" s="5">
        <f t="shared" si="6"/>
        <v>-8614.27</v>
      </c>
      <c r="E122" s="6">
        <f t="shared" si="7"/>
        <v>0.138573</v>
      </c>
    </row>
    <row r="123" spans="1:5" x14ac:dyDescent="0.25">
      <c r="A123" s="3" t="s">
        <v>121</v>
      </c>
      <c r="B123" s="7">
        <f>((B120)+(B121))+(B122)</f>
        <v>1657.85</v>
      </c>
      <c r="C123" s="7">
        <f>((C120)+(C121))+(C122)</f>
        <v>11500</v>
      </c>
      <c r="D123" s="7">
        <f t="shared" si="6"/>
        <v>-9842.15</v>
      </c>
      <c r="E123" s="8">
        <f t="shared" si="7"/>
        <v>0.14416086956521737</v>
      </c>
    </row>
    <row r="124" spans="1:5" x14ac:dyDescent="0.25">
      <c r="A124" s="3" t="s">
        <v>122</v>
      </c>
      <c r="B124" s="5">
        <f>655.45</f>
        <v>655.45</v>
      </c>
      <c r="C124" s="5">
        <f>3000</f>
        <v>3000</v>
      </c>
      <c r="D124" s="5">
        <f t="shared" si="6"/>
        <v>-2344.5500000000002</v>
      </c>
      <c r="E124" s="6">
        <f t="shared" si="7"/>
        <v>0.21848333333333333</v>
      </c>
    </row>
    <row r="125" spans="1:5" x14ac:dyDescent="0.25">
      <c r="A125" s="3" t="s">
        <v>123</v>
      </c>
      <c r="B125" s="4"/>
      <c r="C125" s="5">
        <f>841.67</f>
        <v>841.67</v>
      </c>
      <c r="D125" s="5">
        <f t="shared" si="6"/>
        <v>-841.67</v>
      </c>
      <c r="E125" s="6">
        <f t="shared" si="7"/>
        <v>0</v>
      </c>
    </row>
    <row r="126" spans="1:5" x14ac:dyDescent="0.25">
      <c r="A126" s="3" t="s">
        <v>124</v>
      </c>
      <c r="B126" s="4"/>
      <c r="C126" s="4"/>
      <c r="D126" s="5">
        <f t="shared" si="6"/>
        <v>0</v>
      </c>
      <c r="E126" s="6" t="str">
        <f t="shared" si="7"/>
        <v/>
      </c>
    </row>
    <row r="127" spans="1:5" x14ac:dyDescent="0.25">
      <c r="A127" s="3" t="s">
        <v>125</v>
      </c>
      <c r="B127" s="5">
        <f>60294.71</f>
        <v>60294.71</v>
      </c>
      <c r="C127" s="5">
        <f>348022.79</f>
        <v>348022.79</v>
      </c>
      <c r="D127" s="5">
        <f t="shared" ref="D127:D158" si="8">(B127)-(C127)</f>
        <v>-287728.07999999996</v>
      </c>
      <c r="E127" s="6">
        <f t="shared" ref="E127:E158" si="9">IF(C127=0,"",(B127)/(C127))</f>
        <v>0.17324931508077387</v>
      </c>
    </row>
    <row r="128" spans="1:5" x14ac:dyDescent="0.25">
      <c r="A128" s="3" t="s">
        <v>126</v>
      </c>
      <c r="B128" s="4"/>
      <c r="C128" s="5">
        <f>3828.25</f>
        <v>3828.25</v>
      </c>
      <c r="D128" s="5">
        <f t="shared" si="8"/>
        <v>-3828.25</v>
      </c>
      <c r="E128" s="6">
        <f t="shared" si="9"/>
        <v>0</v>
      </c>
    </row>
    <row r="129" spans="1:5" x14ac:dyDescent="0.25">
      <c r="A129" s="3" t="s">
        <v>127</v>
      </c>
      <c r="B129" s="5">
        <f>5491.6</f>
        <v>5491.6</v>
      </c>
      <c r="C129" s="5">
        <f>32888.15</f>
        <v>32888.15</v>
      </c>
      <c r="D129" s="5">
        <f t="shared" si="8"/>
        <v>-27396.550000000003</v>
      </c>
      <c r="E129" s="6">
        <f t="shared" si="9"/>
        <v>0.16697807568987613</v>
      </c>
    </row>
    <row r="130" spans="1:5" x14ac:dyDescent="0.25">
      <c r="A130" s="3" t="s">
        <v>128</v>
      </c>
      <c r="B130" s="5">
        <f>1673.85</f>
        <v>1673.85</v>
      </c>
      <c r="C130" s="5">
        <f>13307.87</f>
        <v>13307.87</v>
      </c>
      <c r="D130" s="5">
        <f t="shared" si="8"/>
        <v>-11634.02</v>
      </c>
      <c r="E130" s="6">
        <f t="shared" si="9"/>
        <v>0.12577895636191214</v>
      </c>
    </row>
    <row r="131" spans="1:5" x14ac:dyDescent="0.25">
      <c r="A131" s="3" t="s">
        <v>129</v>
      </c>
      <c r="B131" s="5">
        <f>18808.8</f>
        <v>18808.8</v>
      </c>
      <c r="C131" s="5">
        <f>112852.8</f>
        <v>112852.8</v>
      </c>
      <c r="D131" s="5">
        <f t="shared" si="8"/>
        <v>-94044</v>
      </c>
      <c r="E131" s="6">
        <f t="shared" si="9"/>
        <v>0.16666666666666666</v>
      </c>
    </row>
    <row r="132" spans="1:5" x14ac:dyDescent="0.25">
      <c r="A132" s="3" t="s">
        <v>130</v>
      </c>
      <c r="B132" s="7">
        <f>(((((B126)+(B127))+(B128))+(B129))+(B130))+(B131)</f>
        <v>86268.96</v>
      </c>
      <c r="C132" s="7">
        <f>(((((C126)+(C127))+(C128))+(C129))+(C130))+(C131)</f>
        <v>510899.86</v>
      </c>
      <c r="D132" s="7">
        <f t="shared" si="8"/>
        <v>-424630.89999999997</v>
      </c>
      <c r="E132" s="8">
        <f t="shared" si="9"/>
        <v>0.16885688714027053</v>
      </c>
    </row>
    <row r="133" spans="1:5" x14ac:dyDescent="0.25">
      <c r="A133" s="3" t="s">
        <v>131</v>
      </c>
      <c r="B133" s="4"/>
      <c r="C133" s="4"/>
      <c r="D133" s="5">
        <f t="shared" si="8"/>
        <v>0</v>
      </c>
      <c r="E133" s="6" t="str">
        <f t="shared" si="9"/>
        <v/>
      </c>
    </row>
    <row r="134" spans="1:5" x14ac:dyDescent="0.25">
      <c r="A134" s="3" t="s">
        <v>132</v>
      </c>
      <c r="B134" s="5">
        <f>10000</f>
        <v>10000</v>
      </c>
      <c r="C134" s="5">
        <f>18000</f>
        <v>18000</v>
      </c>
      <c r="D134" s="5">
        <f t="shared" si="8"/>
        <v>-8000</v>
      </c>
      <c r="E134" s="6">
        <f t="shared" si="9"/>
        <v>0.55555555555555558</v>
      </c>
    </row>
    <row r="135" spans="1:5" x14ac:dyDescent="0.25">
      <c r="A135" s="3" t="s">
        <v>133</v>
      </c>
      <c r="B135" s="4"/>
      <c r="C135" s="5">
        <f>400</f>
        <v>400</v>
      </c>
      <c r="D135" s="5">
        <f t="shared" si="8"/>
        <v>-400</v>
      </c>
      <c r="E135" s="6">
        <f t="shared" si="9"/>
        <v>0</v>
      </c>
    </row>
    <row r="136" spans="1:5" x14ac:dyDescent="0.25">
      <c r="A136" s="3" t="s">
        <v>134</v>
      </c>
      <c r="B136" s="7">
        <f>((B133)+(B134))+(B135)</f>
        <v>10000</v>
      </c>
      <c r="C136" s="7">
        <f>((C133)+(C134))+(C135)</f>
        <v>18400</v>
      </c>
      <c r="D136" s="7">
        <f t="shared" si="8"/>
        <v>-8400</v>
      </c>
      <c r="E136" s="8">
        <f t="shared" si="9"/>
        <v>0.54347826086956519</v>
      </c>
    </row>
    <row r="137" spans="1:5" x14ac:dyDescent="0.25">
      <c r="A137" s="3" t="s">
        <v>135</v>
      </c>
      <c r="B137" s="4"/>
      <c r="C137" s="5">
        <f>2500</f>
        <v>2500</v>
      </c>
      <c r="D137" s="5">
        <f t="shared" si="8"/>
        <v>-2500</v>
      </c>
      <c r="E137" s="6">
        <f t="shared" si="9"/>
        <v>0</v>
      </c>
    </row>
    <row r="138" spans="1:5" x14ac:dyDescent="0.25">
      <c r="A138" s="3" t="s">
        <v>136</v>
      </c>
      <c r="B138" s="4"/>
      <c r="C138" s="4"/>
      <c r="D138" s="5">
        <f t="shared" si="8"/>
        <v>0</v>
      </c>
      <c r="E138" s="6" t="str">
        <f t="shared" si="9"/>
        <v/>
      </c>
    </row>
    <row r="139" spans="1:5" x14ac:dyDescent="0.25">
      <c r="A139" s="3" t="s">
        <v>137</v>
      </c>
      <c r="B139" s="4"/>
      <c r="C139" s="5">
        <f>75</f>
        <v>75</v>
      </c>
      <c r="D139" s="5">
        <f t="shared" si="8"/>
        <v>-75</v>
      </c>
      <c r="E139" s="6">
        <f t="shared" si="9"/>
        <v>0</v>
      </c>
    </row>
    <row r="140" spans="1:5" x14ac:dyDescent="0.25">
      <c r="A140" s="3" t="s">
        <v>138</v>
      </c>
      <c r="B140" s="5">
        <f>643.86</f>
        <v>643.86</v>
      </c>
      <c r="C140" s="5">
        <f>2750</f>
        <v>2750</v>
      </c>
      <c r="D140" s="5">
        <f t="shared" si="8"/>
        <v>-2106.14</v>
      </c>
      <c r="E140" s="6">
        <f t="shared" si="9"/>
        <v>0.23413090909090908</v>
      </c>
    </row>
    <row r="141" spans="1:5" x14ac:dyDescent="0.25">
      <c r="A141" s="3" t="s">
        <v>139</v>
      </c>
      <c r="B141" s="5">
        <f>852.39</f>
        <v>852.39</v>
      </c>
      <c r="C141" s="5">
        <f>3500</f>
        <v>3500</v>
      </c>
      <c r="D141" s="5">
        <f t="shared" si="8"/>
        <v>-2647.61</v>
      </c>
      <c r="E141" s="6">
        <f t="shared" si="9"/>
        <v>0.24354000000000001</v>
      </c>
    </row>
    <row r="142" spans="1:5" x14ac:dyDescent="0.25">
      <c r="A142" s="3" t="s">
        <v>140</v>
      </c>
      <c r="B142" s="5">
        <f>0</f>
        <v>0</v>
      </c>
      <c r="C142" s="5">
        <f>150</f>
        <v>150</v>
      </c>
      <c r="D142" s="5">
        <f t="shared" si="8"/>
        <v>-150</v>
      </c>
      <c r="E142" s="6">
        <f t="shared" si="9"/>
        <v>0</v>
      </c>
    </row>
    <row r="143" spans="1:5" x14ac:dyDescent="0.25">
      <c r="A143" s="3" t="s">
        <v>141</v>
      </c>
      <c r="B143" s="4"/>
      <c r="C143" s="5">
        <f>50</f>
        <v>50</v>
      </c>
      <c r="D143" s="5">
        <f t="shared" si="8"/>
        <v>-50</v>
      </c>
      <c r="E143" s="6">
        <f t="shared" si="9"/>
        <v>0</v>
      </c>
    </row>
    <row r="144" spans="1:5" x14ac:dyDescent="0.25">
      <c r="A144" s="3" t="s">
        <v>142</v>
      </c>
      <c r="B144" s="5">
        <f>198.9</f>
        <v>198.9</v>
      </c>
      <c r="C144" s="5">
        <f>1200</f>
        <v>1200</v>
      </c>
      <c r="D144" s="5">
        <f t="shared" si="8"/>
        <v>-1001.1</v>
      </c>
      <c r="E144" s="6">
        <f t="shared" si="9"/>
        <v>0.16575000000000001</v>
      </c>
    </row>
    <row r="145" spans="1:5" x14ac:dyDescent="0.25">
      <c r="A145" s="3" t="s">
        <v>143</v>
      </c>
      <c r="B145" s="7">
        <f>((((((B138)+(B139))+(B140))+(B141))+(B142))+(B143))+(B144)</f>
        <v>1695.15</v>
      </c>
      <c r="C145" s="7">
        <f>((((((C138)+(C139))+(C140))+(C141))+(C142))+(C143))+(C144)</f>
        <v>7725</v>
      </c>
      <c r="D145" s="7">
        <f t="shared" si="8"/>
        <v>-6029.85</v>
      </c>
      <c r="E145" s="8">
        <f t="shared" si="9"/>
        <v>0.21943689320388352</v>
      </c>
    </row>
    <row r="146" spans="1:5" x14ac:dyDescent="0.25">
      <c r="A146" s="3" t="s">
        <v>144</v>
      </c>
      <c r="B146" s="5">
        <f>250.92</f>
        <v>250.92</v>
      </c>
      <c r="C146" s="5">
        <f>2250</f>
        <v>2250</v>
      </c>
      <c r="D146" s="5">
        <f t="shared" si="8"/>
        <v>-1999.08</v>
      </c>
      <c r="E146" s="6">
        <f t="shared" si="9"/>
        <v>0.11151999999999999</v>
      </c>
    </row>
    <row r="147" spans="1:5" x14ac:dyDescent="0.25">
      <c r="A147" s="3" t="s">
        <v>145</v>
      </c>
      <c r="B147" s="5">
        <f>3504.86</f>
        <v>3504.86</v>
      </c>
      <c r="C147" s="5">
        <f>11500</f>
        <v>11500</v>
      </c>
      <c r="D147" s="5">
        <f t="shared" si="8"/>
        <v>-7995.1399999999994</v>
      </c>
      <c r="E147" s="6">
        <f t="shared" si="9"/>
        <v>0.30477043478260868</v>
      </c>
    </row>
    <row r="148" spans="1:5" x14ac:dyDescent="0.25">
      <c r="A148" s="3" t="s">
        <v>146</v>
      </c>
      <c r="B148" s="5">
        <f>1643.65</f>
        <v>1643.65</v>
      </c>
      <c r="C148" s="5">
        <f>6000</f>
        <v>6000</v>
      </c>
      <c r="D148" s="5">
        <f t="shared" si="8"/>
        <v>-4356.3500000000004</v>
      </c>
      <c r="E148" s="6">
        <f t="shared" si="9"/>
        <v>0.27394166666666669</v>
      </c>
    </row>
    <row r="149" spans="1:5" x14ac:dyDescent="0.25">
      <c r="A149" s="3" t="s">
        <v>147</v>
      </c>
      <c r="B149" s="4"/>
      <c r="C149" s="4"/>
      <c r="D149" s="5">
        <f t="shared" si="8"/>
        <v>0</v>
      </c>
      <c r="E149" s="6" t="str">
        <f t="shared" si="9"/>
        <v/>
      </c>
    </row>
    <row r="150" spans="1:5" x14ac:dyDescent="0.25">
      <c r="A150" s="3" t="s">
        <v>148</v>
      </c>
      <c r="B150" s="5">
        <f>10</f>
        <v>10</v>
      </c>
      <c r="C150" s="5">
        <f>10</f>
        <v>10</v>
      </c>
      <c r="D150" s="5">
        <f t="shared" si="8"/>
        <v>0</v>
      </c>
      <c r="E150" s="6">
        <f t="shared" si="9"/>
        <v>1</v>
      </c>
    </row>
    <row r="151" spans="1:5" x14ac:dyDescent="0.25">
      <c r="A151" s="3" t="s">
        <v>149</v>
      </c>
      <c r="B151" s="5">
        <f>1200</f>
        <v>1200</v>
      </c>
      <c r="C151" s="5">
        <f>1200</f>
        <v>1200</v>
      </c>
      <c r="D151" s="5">
        <f t="shared" si="8"/>
        <v>0</v>
      </c>
      <c r="E151" s="6">
        <f t="shared" si="9"/>
        <v>1</v>
      </c>
    </row>
    <row r="152" spans="1:5" x14ac:dyDescent="0.25">
      <c r="A152" s="3" t="s">
        <v>150</v>
      </c>
      <c r="B152" s="7">
        <f>((B149)+(B150))+(B151)</f>
        <v>1210</v>
      </c>
      <c r="C152" s="7">
        <f>((C149)+(C150))+(C151)</f>
        <v>1210</v>
      </c>
      <c r="D152" s="7">
        <f t="shared" si="8"/>
        <v>0</v>
      </c>
      <c r="E152" s="8">
        <f t="shared" si="9"/>
        <v>1</v>
      </c>
    </row>
    <row r="153" spans="1:5" x14ac:dyDescent="0.25">
      <c r="A153" s="3" t="s">
        <v>151</v>
      </c>
      <c r="B153" s="5">
        <f>772.77</f>
        <v>772.77</v>
      </c>
      <c r="C153" s="5">
        <f>6500</f>
        <v>6500</v>
      </c>
      <c r="D153" s="5">
        <f t="shared" si="8"/>
        <v>-5727.23</v>
      </c>
      <c r="E153" s="6">
        <f t="shared" si="9"/>
        <v>0.11888769230769231</v>
      </c>
    </row>
    <row r="154" spans="1:5" x14ac:dyDescent="0.25">
      <c r="A154" s="3" t="s">
        <v>152</v>
      </c>
      <c r="B154" s="5">
        <f>13.49</f>
        <v>13.49</v>
      </c>
      <c r="C154" s="4"/>
      <c r="D154" s="5">
        <f t="shared" si="8"/>
        <v>13.49</v>
      </c>
      <c r="E154" s="6" t="str">
        <f t="shared" si="9"/>
        <v/>
      </c>
    </row>
    <row r="155" spans="1:5" x14ac:dyDescent="0.25">
      <c r="A155" s="3" t="s">
        <v>153</v>
      </c>
      <c r="B155" s="5">
        <f>38.39</f>
        <v>38.39</v>
      </c>
      <c r="C155" s="4"/>
      <c r="D155" s="5">
        <f t="shared" si="8"/>
        <v>38.39</v>
      </c>
      <c r="E155" s="6" t="str">
        <f t="shared" si="9"/>
        <v/>
      </c>
    </row>
    <row r="156" spans="1:5" x14ac:dyDescent="0.25">
      <c r="A156" s="3" t="s">
        <v>154</v>
      </c>
      <c r="B156" s="7">
        <f>((B153)+(B154))+(B155)</f>
        <v>824.65</v>
      </c>
      <c r="C156" s="7">
        <f>((C153)+(C154))+(C155)</f>
        <v>6500</v>
      </c>
      <c r="D156" s="7">
        <f t="shared" si="8"/>
        <v>-5675.35</v>
      </c>
      <c r="E156" s="8">
        <f t="shared" si="9"/>
        <v>0.12686923076923076</v>
      </c>
    </row>
    <row r="157" spans="1:5" x14ac:dyDescent="0.25">
      <c r="A157" s="3" t="s">
        <v>155</v>
      </c>
      <c r="B157" s="5">
        <f>24</f>
        <v>24</v>
      </c>
      <c r="C157" s="5">
        <f>175</f>
        <v>175</v>
      </c>
      <c r="D157" s="5">
        <f t="shared" si="8"/>
        <v>-151</v>
      </c>
      <c r="E157" s="6">
        <f t="shared" si="9"/>
        <v>0.13714285714285715</v>
      </c>
    </row>
    <row r="158" spans="1:5" x14ac:dyDescent="0.25">
      <c r="A158" s="3" t="s">
        <v>156</v>
      </c>
      <c r="B158" s="5">
        <f>250</f>
        <v>250</v>
      </c>
      <c r="C158" s="5">
        <f>7750</f>
        <v>7750</v>
      </c>
      <c r="D158" s="5">
        <f t="shared" si="8"/>
        <v>-7500</v>
      </c>
      <c r="E158" s="6">
        <f t="shared" si="9"/>
        <v>3.2258064516129031E-2</v>
      </c>
    </row>
    <row r="159" spans="1:5" x14ac:dyDescent="0.25">
      <c r="A159" s="3" t="s">
        <v>157</v>
      </c>
      <c r="B159" s="4"/>
      <c r="C159" s="5">
        <f>750</f>
        <v>750</v>
      </c>
      <c r="D159" s="5">
        <f t="shared" ref="D159:D190" si="10">(B159)-(C159)</f>
        <v>-750</v>
      </c>
      <c r="E159" s="6">
        <f t="shared" ref="E159:E170" si="11">IF(C159=0,"",(B159)/(C159))</f>
        <v>0</v>
      </c>
    </row>
    <row r="160" spans="1:5" x14ac:dyDescent="0.25">
      <c r="A160" s="3" t="s">
        <v>158</v>
      </c>
      <c r="B160" s="4"/>
      <c r="C160" s="4"/>
      <c r="D160" s="5">
        <f t="shared" si="10"/>
        <v>0</v>
      </c>
      <c r="E160" s="6" t="str">
        <f t="shared" si="11"/>
        <v/>
      </c>
    </row>
    <row r="161" spans="1:5" x14ac:dyDescent="0.25">
      <c r="A161" s="3" t="s">
        <v>159</v>
      </c>
      <c r="B161" s="5">
        <f>100</f>
        <v>100</v>
      </c>
      <c r="C161" s="5">
        <f>13250</f>
        <v>13250</v>
      </c>
      <c r="D161" s="5">
        <f t="shared" si="10"/>
        <v>-13150</v>
      </c>
      <c r="E161" s="6">
        <f t="shared" si="11"/>
        <v>7.5471698113207548E-3</v>
      </c>
    </row>
    <row r="162" spans="1:5" x14ac:dyDescent="0.25">
      <c r="A162" s="3" t="s">
        <v>160</v>
      </c>
      <c r="B162" s="7">
        <f>(B160)+(B161)</f>
        <v>100</v>
      </c>
      <c r="C162" s="7">
        <f>(C160)+(C161)</f>
        <v>13250</v>
      </c>
      <c r="D162" s="7">
        <f t="shared" si="10"/>
        <v>-13150</v>
      </c>
      <c r="E162" s="8">
        <f t="shared" si="11"/>
        <v>7.5471698113207548E-3</v>
      </c>
    </row>
    <row r="163" spans="1:5" x14ac:dyDescent="0.25">
      <c r="A163" s="3" t="s">
        <v>161</v>
      </c>
      <c r="B163" s="5">
        <f>162.5</f>
        <v>162.5</v>
      </c>
      <c r="C163" s="5">
        <f>3250</f>
        <v>3250</v>
      </c>
      <c r="D163" s="5">
        <f t="shared" si="10"/>
        <v>-3087.5</v>
      </c>
      <c r="E163" s="6">
        <f t="shared" si="11"/>
        <v>0.05</v>
      </c>
    </row>
    <row r="164" spans="1:5" x14ac:dyDescent="0.25">
      <c r="A164" s="3" t="s">
        <v>162</v>
      </c>
      <c r="B164" s="4"/>
      <c r="C164" s="4"/>
      <c r="D164" s="5">
        <f t="shared" si="10"/>
        <v>0</v>
      </c>
      <c r="E164" s="6" t="str">
        <f t="shared" si="11"/>
        <v/>
      </c>
    </row>
    <row r="165" spans="1:5" x14ac:dyDescent="0.25">
      <c r="A165" s="3" t="s">
        <v>163</v>
      </c>
      <c r="B165" s="4"/>
      <c r="C165" s="5">
        <f>1500</f>
        <v>1500</v>
      </c>
      <c r="D165" s="5">
        <f t="shared" si="10"/>
        <v>-1500</v>
      </c>
      <c r="E165" s="6">
        <f t="shared" si="11"/>
        <v>0</v>
      </c>
    </row>
    <row r="166" spans="1:5" x14ac:dyDescent="0.25">
      <c r="A166" s="3" t="s">
        <v>164</v>
      </c>
      <c r="B166" s="5">
        <f>993.26</f>
        <v>993.26</v>
      </c>
      <c r="C166" s="5">
        <f>5000</f>
        <v>5000</v>
      </c>
      <c r="D166" s="5">
        <f t="shared" si="10"/>
        <v>-4006.74</v>
      </c>
      <c r="E166" s="6">
        <f t="shared" si="11"/>
        <v>0.198652</v>
      </c>
    </row>
    <row r="167" spans="1:5" x14ac:dyDescent="0.25">
      <c r="A167" s="3" t="s">
        <v>165</v>
      </c>
      <c r="B167" s="7">
        <f>((B164)+(B165))+(B166)</f>
        <v>993.26</v>
      </c>
      <c r="C167" s="7">
        <f>((C164)+(C165))+(C166)</f>
        <v>6500</v>
      </c>
      <c r="D167" s="7">
        <f t="shared" si="10"/>
        <v>-5506.74</v>
      </c>
      <c r="E167" s="8">
        <f t="shared" si="11"/>
        <v>0.15280923076923078</v>
      </c>
    </row>
    <row r="168" spans="1:5" x14ac:dyDescent="0.25">
      <c r="A168" s="3" t="s">
        <v>166</v>
      </c>
      <c r="B168" s="7">
        <f>(((((((((((((((((((((((((((B97)+(B98))+(B99))+(B100))+(B101))+(B105))+(B108))+(B113))+(B118))+(B119))+(B123))+(B124))+(B125))+(B132))+(B136))+(B137))+(B145))+(B146))+(B147))+(B148))+(B152))+(B156))+(B157))+(B158))+(B159))+(B162))+(B163))+(B167)</f>
        <v>165837.70000000001</v>
      </c>
      <c r="C168" s="7">
        <f>(((((((((((((((((((((((((((C97)+(C98))+(C99))+(C100))+(C101))+(C105))+(C108))+(C113))+(C118))+(C119))+(C123))+(C124))+(C125))+(C132))+(C136))+(C137))+(C145))+(C146))+(C147))+(C148))+(C152))+(C156))+(C157))+(C158))+(C159))+(C162))+(C163))+(C167)</f>
        <v>784381.53</v>
      </c>
      <c r="D168" s="7">
        <f t="shared" si="10"/>
        <v>-618543.83000000007</v>
      </c>
      <c r="E168" s="8">
        <f t="shared" si="11"/>
        <v>0.21142478966836459</v>
      </c>
    </row>
    <row r="169" spans="1:5" x14ac:dyDescent="0.25">
      <c r="A169" s="3" t="s">
        <v>167</v>
      </c>
      <c r="B169" s="7">
        <f>(B93)-(B168)</f>
        <v>-26774.809999999998</v>
      </c>
      <c r="C169" s="7">
        <f>(C93)-(C168)</f>
        <v>0</v>
      </c>
      <c r="D169" s="7">
        <f t="shared" si="10"/>
        <v>-26774.809999999998</v>
      </c>
      <c r="E169" s="8" t="str">
        <f t="shared" si="11"/>
        <v/>
      </c>
    </row>
    <row r="170" spans="1:5" x14ac:dyDescent="0.25">
      <c r="A170" s="3" t="s">
        <v>168</v>
      </c>
      <c r="B170" s="9">
        <f>(B169)+(0)</f>
        <v>-26774.809999999998</v>
      </c>
      <c r="C170" s="9">
        <f>(C169)+(0)</f>
        <v>0</v>
      </c>
      <c r="D170" s="9">
        <f t="shared" si="10"/>
        <v>-26774.809999999998</v>
      </c>
      <c r="E170" s="10" t="str">
        <f t="shared" si="11"/>
        <v/>
      </c>
    </row>
    <row r="171" spans="1:5" x14ac:dyDescent="0.25">
      <c r="A171" s="3"/>
      <c r="B171" s="4"/>
      <c r="C171" s="4"/>
      <c r="D171" s="4"/>
      <c r="E171" s="4"/>
    </row>
    <row r="174" spans="1:5" x14ac:dyDescent="0.25">
      <c r="A174" s="13" t="s">
        <v>169</v>
      </c>
      <c r="B174" s="14"/>
      <c r="C174" s="14"/>
      <c r="D174" s="14"/>
      <c r="E174" s="14"/>
    </row>
  </sheetData>
  <mergeCells count="5">
    <mergeCell ref="B5:E5"/>
    <mergeCell ref="A174:E174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3465-74DF-4B1E-BE5E-00289EC5235D}">
  <sheetPr>
    <tabColor rgb="FFFF0000"/>
  </sheetPr>
  <dimension ref="A1:J54"/>
  <sheetViews>
    <sheetView topLeftCell="A15" zoomScaleNormal="100" workbookViewId="0">
      <selection activeCell="H31" sqref="H31"/>
    </sheetView>
  </sheetViews>
  <sheetFormatPr defaultRowHeight="15" x14ac:dyDescent="0.25"/>
  <cols>
    <col min="1" max="1" width="30.140625" customWidth="1"/>
    <col min="2" max="5" width="18" customWidth="1"/>
    <col min="8" max="8" width="18.28515625" bestFit="1" customWidth="1"/>
    <col min="9" max="10" width="11.5703125" bestFit="1" customWidth="1"/>
  </cols>
  <sheetData>
    <row r="1" spans="1:10" ht="18" x14ac:dyDescent="0.25">
      <c r="A1" s="15" t="s">
        <v>170</v>
      </c>
      <c r="B1" s="14"/>
      <c r="C1" s="14"/>
      <c r="D1" s="14"/>
      <c r="E1" s="14"/>
    </row>
    <row r="2" spans="1:10" ht="18" x14ac:dyDescent="0.25">
      <c r="A2" s="15" t="s">
        <v>171</v>
      </c>
      <c r="B2" s="14"/>
      <c r="C2" s="14"/>
      <c r="D2" s="14"/>
      <c r="E2" s="14"/>
    </row>
    <row r="3" spans="1:10" x14ac:dyDescent="0.25">
      <c r="A3" s="16" t="s">
        <v>172</v>
      </c>
      <c r="B3" s="14"/>
      <c r="C3" s="14"/>
      <c r="D3" s="14"/>
      <c r="E3" s="14"/>
    </row>
    <row r="5" spans="1:10" x14ac:dyDescent="0.25">
      <c r="A5" s="1"/>
      <c r="B5" s="11" t="s">
        <v>0</v>
      </c>
      <c r="C5" s="12"/>
      <c r="D5" s="12"/>
      <c r="E5" s="12"/>
    </row>
    <row r="6" spans="1:10" x14ac:dyDescent="0.25">
      <c r="A6" s="1"/>
      <c r="B6" s="2" t="s">
        <v>1</v>
      </c>
      <c r="C6" s="2" t="s">
        <v>2</v>
      </c>
      <c r="D6" s="2" t="s">
        <v>3</v>
      </c>
      <c r="E6" s="2" t="s">
        <v>4</v>
      </c>
      <c r="I6" t="s">
        <v>1</v>
      </c>
      <c r="J6" t="s">
        <v>2</v>
      </c>
    </row>
    <row r="7" spans="1:10" x14ac:dyDescent="0.25">
      <c r="A7" s="3" t="s">
        <v>5</v>
      </c>
      <c r="B7" s="4"/>
      <c r="C7" s="4"/>
      <c r="D7" s="4"/>
      <c r="E7" s="4"/>
      <c r="H7" t="s">
        <v>352</v>
      </c>
      <c r="I7" s="21">
        <f>B9</f>
        <v>4018.44</v>
      </c>
      <c r="J7" s="21">
        <f>C9</f>
        <v>70700</v>
      </c>
    </row>
    <row r="8" spans="1:10" x14ac:dyDescent="0.25">
      <c r="A8" s="3" t="s">
        <v>6</v>
      </c>
      <c r="B8" s="5">
        <f>133750</f>
        <v>133750</v>
      </c>
      <c r="C8" s="5">
        <f>543500</f>
        <v>543500</v>
      </c>
      <c r="D8" s="5">
        <f t="shared" ref="D8:D13" si="0">(B8)-(C8)</f>
        <v>-409750</v>
      </c>
      <c r="E8" s="6">
        <f t="shared" ref="E8:E13" si="1">IF(C8=0,"",(B8)/(C8))</f>
        <v>0.24609015639374426</v>
      </c>
      <c r="H8" t="s">
        <v>351</v>
      </c>
      <c r="I8" s="21">
        <f>B11</f>
        <v>1626.98</v>
      </c>
      <c r="J8" s="21">
        <f>C11</f>
        <v>196881.53</v>
      </c>
    </row>
    <row r="9" spans="1:10" x14ac:dyDescent="0.25">
      <c r="A9" s="3" t="s">
        <v>11</v>
      </c>
      <c r="B9" s="5">
        <f>4018.44</f>
        <v>4018.44</v>
      </c>
      <c r="C9" s="5">
        <f>70700</f>
        <v>70700</v>
      </c>
      <c r="D9" s="5">
        <f t="shared" si="0"/>
        <v>-66681.56</v>
      </c>
      <c r="E9" s="6">
        <f t="shared" si="1"/>
        <v>5.6837906647807641E-2</v>
      </c>
      <c r="H9" t="s">
        <v>350</v>
      </c>
      <c r="I9" s="21">
        <f>B8</f>
        <v>133750</v>
      </c>
      <c r="J9" s="21">
        <f>C8</f>
        <v>543500</v>
      </c>
    </row>
    <row r="10" spans="1:10" x14ac:dyDescent="0.25">
      <c r="A10" s="3" t="s">
        <v>22</v>
      </c>
      <c r="B10" s="4"/>
      <c r="C10" s="5">
        <f>3000</f>
        <v>3000</v>
      </c>
      <c r="D10" s="5">
        <f t="shared" si="0"/>
        <v>-3000</v>
      </c>
      <c r="E10" s="6">
        <f t="shared" si="1"/>
        <v>0</v>
      </c>
    </row>
    <row r="11" spans="1:10" x14ac:dyDescent="0.25">
      <c r="A11" s="3" t="s">
        <v>23</v>
      </c>
      <c r="B11" s="5">
        <f>1626.98</f>
        <v>1626.98</v>
      </c>
      <c r="C11" s="5">
        <f>196881.53</f>
        <v>196881.53</v>
      </c>
      <c r="D11" s="5">
        <f t="shared" si="0"/>
        <v>-195254.55</v>
      </c>
      <c r="E11" s="6">
        <f t="shared" si="1"/>
        <v>8.2637513026234607E-3</v>
      </c>
    </row>
    <row r="12" spans="1:10" x14ac:dyDescent="0.25">
      <c r="A12" s="3" t="s">
        <v>85</v>
      </c>
      <c r="B12" s="4"/>
      <c r="C12" s="5">
        <f>300</f>
        <v>300</v>
      </c>
      <c r="D12" s="5">
        <f t="shared" si="0"/>
        <v>-300</v>
      </c>
      <c r="E12" s="6">
        <f t="shared" si="1"/>
        <v>0</v>
      </c>
    </row>
    <row r="13" spans="1:10" x14ac:dyDescent="0.25">
      <c r="A13" s="3" t="s">
        <v>86</v>
      </c>
      <c r="B13" s="9">
        <f>((((B8)+(B9))+(B10))+(B11))+(B12)</f>
        <v>139395.42000000001</v>
      </c>
      <c r="C13" s="9">
        <f>((((C8)+(C9))+(C10))+(C11))+(C12)</f>
        <v>814381.53</v>
      </c>
      <c r="D13" s="9">
        <f t="shared" si="0"/>
        <v>-674986.11</v>
      </c>
      <c r="E13" s="10">
        <f t="shared" si="1"/>
        <v>0.17116721691858608</v>
      </c>
    </row>
    <row r="14" spans="1:10" x14ac:dyDescent="0.25">
      <c r="A14" s="3" t="s">
        <v>87</v>
      </c>
      <c r="B14" s="4"/>
      <c r="C14" s="4"/>
      <c r="D14" s="4"/>
      <c r="E14" s="4"/>
    </row>
    <row r="15" spans="1:10" x14ac:dyDescent="0.25">
      <c r="A15" s="3" t="s">
        <v>88</v>
      </c>
      <c r="B15" s="5">
        <f>220.75</f>
        <v>220.75</v>
      </c>
      <c r="C15" s="5">
        <f>25000</f>
        <v>25000</v>
      </c>
      <c r="D15" s="5">
        <f>(B15)-(C15)</f>
        <v>-24779.25</v>
      </c>
      <c r="E15" s="6">
        <f>IF(C15=0,"",(B15)/(C15))</f>
        <v>8.8299999999999993E-3</v>
      </c>
    </row>
    <row r="16" spans="1:10" x14ac:dyDescent="0.25">
      <c r="A16" s="3" t="s">
        <v>89</v>
      </c>
      <c r="B16" s="5">
        <f>111.78</f>
        <v>111.78</v>
      </c>
      <c r="C16" s="5">
        <f>5000</f>
        <v>5000</v>
      </c>
      <c r="D16" s="5">
        <f>(B16)-(C16)</f>
        <v>-4888.22</v>
      </c>
      <c r="E16" s="6">
        <f>IF(C16=0,"",(B16)/(C16))</f>
        <v>2.2356000000000001E-2</v>
      </c>
    </row>
    <row r="17" spans="1:10" x14ac:dyDescent="0.25">
      <c r="A17" s="3" t="s">
        <v>90</v>
      </c>
      <c r="B17" s="9">
        <f>(B15)+(B16)</f>
        <v>332.53</v>
      </c>
      <c r="C17" s="9">
        <f>(C15)+(C16)</f>
        <v>30000</v>
      </c>
      <c r="D17" s="9">
        <f>(B17)-(C17)</f>
        <v>-29667.47</v>
      </c>
      <c r="E17" s="10">
        <f>IF(C17=0,"",(B17)/(C17))</f>
        <v>1.1084333333333333E-2</v>
      </c>
    </row>
    <row r="18" spans="1:10" x14ac:dyDescent="0.25">
      <c r="A18" s="3" t="s">
        <v>91</v>
      </c>
      <c r="B18" s="9">
        <f>(B13)-(B17)</f>
        <v>139062.89000000001</v>
      </c>
      <c r="C18" s="9">
        <f>(C13)-(C17)</f>
        <v>784381.53</v>
      </c>
      <c r="D18" s="9">
        <f>(B18)-(C18)</f>
        <v>-645318.64</v>
      </c>
      <c r="E18" s="10">
        <f>IF(C18=0,"",(B18)/(C18))</f>
        <v>0.17728985790881641</v>
      </c>
    </row>
    <row r="19" spans="1:10" x14ac:dyDescent="0.25">
      <c r="A19" s="3" t="s">
        <v>92</v>
      </c>
      <c r="B19" s="4"/>
      <c r="C19" s="4"/>
      <c r="D19" s="4"/>
      <c r="E19" s="4"/>
    </row>
    <row r="20" spans="1:10" x14ac:dyDescent="0.25">
      <c r="A20" s="3" t="s">
        <v>93</v>
      </c>
      <c r="B20" s="5">
        <f>32572</f>
        <v>32572</v>
      </c>
      <c r="C20" s="5">
        <f>33500</f>
        <v>33500</v>
      </c>
      <c r="D20" s="5">
        <f t="shared" ref="D20:D50" si="2">(B20)-(C20)</f>
        <v>-928</v>
      </c>
      <c r="E20" s="25">
        <f t="shared" ref="E20:E50" si="3">IF(C20=0,"",(B20)/(C20))</f>
        <v>0.97229850746268653</v>
      </c>
    </row>
    <row r="21" spans="1:10" x14ac:dyDescent="0.25">
      <c r="A21" s="3" t="s">
        <v>96</v>
      </c>
      <c r="B21" s="5">
        <f>250</f>
        <v>250</v>
      </c>
      <c r="C21" s="5">
        <f>13000</f>
        <v>13000</v>
      </c>
      <c r="D21" s="5">
        <f t="shared" si="2"/>
        <v>-12750</v>
      </c>
      <c r="E21" s="6">
        <f t="shared" si="3"/>
        <v>1.9230769230769232E-2</v>
      </c>
    </row>
    <row r="22" spans="1:10" x14ac:dyDescent="0.25">
      <c r="A22" s="3" t="s">
        <v>97</v>
      </c>
      <c r="B22" s="5">
        <f>551.69</f>
        <v>551.69000000000005</v>
      </c>
      <c r="C22" s="5">
        <f>2500</f>
        <v>2500</v>
      </c>
      <c r="D22" s="5">
        <f t="shared" si="2"/>
        <v>-1948.31</v>
      </c>
      <c r="E22" s="6">
        <f t="shared" si="3"/>
        <v>0.22067600000000001</v>
      </c>
    </row>
    <row r="23" spans="1:10" x14ac:dyDescent="0.25">
      <c r="A23" s="3" t="s">
        <v>98</v>
      </c>
      <c r="B23" s="5">
        <f>1979.5</f>
        <v>1979.5</v>
      </c>
      <c r="C23" s="5">
        <f>15250</f>
        <v>15250</v>
      </c>
      <c r="D23" s="5">
        <f t="shared" si="2"/>
        <v>-13270.5</v>
      </c>
      <c r="E23" s="6">
        <f t="shared" si="3"/>
        <v>0.12980327868852459</v>
      </c>
    </row>
    <row r="24" spans="1:10" x14ac:dyDescent="0.25">
      <c r="A24" s="3" t="s">
        <v>99</v>
      </c>
      <c r="B24" s="5">
        <f>1.98</f>
        <v>1.98</v>
      </c>
      <c r="C24" s="5">
        <f>1500</f>
        <v>1500</v>
      </c>
      <c r="D24" s="5">
        <f t="shared" si="2"/>
        <v>-1498.02</v>
      </c>
      <c r="E24" s="6">
        <f t="shared" si="3"/>
        <v>1.32E-3</v>
      </c>
    </row>
    <row r="25" spans="1:10" x14ac:dyDescent="0.25">
      <c r="A25" s="3" t="s">
        <v>100</v>
      </c>
      <c r="B25" s="4"/>
      <c r="C25" s="5">
        <f>1650</f>
        <v>1650</v>
      </c>
      <c r="D25" s="5">
        <f t="shared" si="2"/>
        <v>-1650</v>
      </c>
      <c r="E25" s="6">
        <f t="shared" si="3"/>
        <v>0</v>
      </c>
    </row>
    <row r="26" spans="1:10" x14ac:dyDescent="0.25">
      <c r="A26" s="3" t="s">
        <v>104</v>
      </c>
      <c r="B26" s="5">
        <f>2535.34</f>
        <v>2535.34</v>
      </c>
      <c r="C26" s="5">
        <f>15250</f>
        <v>15250</v>
      </c>
      <c r="D26" s="5">
        <f t="shared" si="2"/>
        <v>-12714.66</v>
      </c>
      <c r="E26" s="6">
        <f t="shared" si="3"/>
        <v>0.16625180327868855</v>
      </c>
    </row>
    <row r="27" spans="1:10" x14ac:dyDescent="0.25">
      <c r="A27" s="22" t="s">
        <v>107</v>
      </c>
      <c r="B27" s="23">
        <f>15373.43</f>
        <v>15373.43</v>
      </c>
      <c r="C27" s="23">
        <f>64980</f>
        <v>64980</v>
      </c>
      <c r="D27" s="23">
        <f t="shared" si="2"/>
        <v>-49606.57</v>
      </c>
      <c r="E27" s="24">
        <f t="shared" si="3"/>
        <v>0.23658710372422284</v>
      </c>
      <c r="F27" s="26">
        <f>23-16</f>
        <v>7</v>
      </c>
    </row>
    <row r="28" spans="1:10" x14ac:dyDescent="0.25">
      <c r="A28" s="3" t="s">
        <v>112</v>
      </c>
      <c r="B28" s="5">
        <f>2110.51</f>
        <v>2110.5100000000002</v>
      </c>
      <c r="C28" s="5">
        <f>14750</f>
        <v>14750</v>
      </c>
      <c r="D28" s="5">
        <f t="shared" si="2"/>
        <v>-12639.49</v>
      </c>
      <c r="E28" s="6">
        <f t="shared" si="3"/>
        <v>0.14308542372881358</v>
      </c>
    </row>
    <row r="29" spans="1:10" x14ac:dyDescent="0.25">
      <c r="A29" s="3" t="s">
        <v>117</v>
      </c>
      <c r="B29" s="5">
        <f>1222</f>
        <v>1222</v>
      </c>
      <c r="C29" s="5">
        <f>8000</f>
        <v>8000</v>
      </c>
      <c r="D29" s="5">
        <f t="shared" si="2"/>
        <v>-6778</v>
      </c>
      <c r="E29" s="6">
        <f t="shared" si="3"/>
        <v>0.15275</v>
      </c>
      <c r="I29" t="s">
        <v>1</v>
      </c>
      <c r="J29" t="s">
        <v>2</v>
      </c>
    </row>
    <row r="30" spans="1:10" x14ac:dyDescent="0.25">
      <c r="A30" s="3" t="s">
        <v>118</v>
      </c>
      <c r="B30" s="5">
        <f>1657.85</f>
        <v>1657.85</v>
      </c>
      <c r="C30" s="5">
        <f>11500</f>
        <v>11500</v>
      </c>
      <c r="D30" s="5">
        <f t="shared" si="2"/>
        <v>-9842.15</v>
      </c>
      <c r="E30" s="6">
        <f t="shared" si="3"/>
        <v>0.14416086956521737</v>
      </c>
      <c r="H30" t="s">
        <v>356</v>
      </c>
      <c r="I30" s="21">
        <f>B31</f>
        <v>655.45</v>
      </c>
      <c r="J30" s="21">
        <f>C31</f>
        <v>3000</v>
      </c>
    </row>
    <row r="31" spans="1:10" x14ac:dyDescent="0.25">
      <c r="A31" s="22" t="s">
        <v>122</v>
      </c>
      <c r="B31" s="23">
        <f>655.45</f>
        <v>655.45</v>
      </c>
      <c r="C31" s="23">
        <f>3000</f>
        <v>3000</v>
      </c>
      <c r="D31" s="23">
        <f t="shared" si="2"/>
        <v>-2344.5500000000002</v>
      </c>
      <c r="E31" s="24">
        <f t="shared" si="3"/>
        <v>0.21848333333333333</v>
      </c>
      <c r="F31">
        <f>21-16</f>
        <v>5</v>
      </c>
      <c r="H31" t="s">
        <v>355</v>
      </c>
      <c r="I31" s="21">
        <f>B27</f>
        <v>15373.43</v>
      </c>
      <c r="J31" s="21">
        <f>C27</f>
        <v>64980</v>
      </c>
    </row>
    <row r="32" spans="1:10" x14ac:dyDescent="0.25">
      <c r="A32" s="3" t="s">
        <v>123</v>
      </c>
      <c r="B32" s="4"/>
      <c r="C32" s="5">
        <f>841.67</f>
        <v>841.67</v>
      </c>
      <c r="D32" s="5">
        <f t="shared" si="2"/>
        <v>-841.67</v>
      </c>
      <c r="E32" s="6">
        <f t="shared" si="3"/>
        <v>0</v>
      </c>
      <c r="H32" t="s">
        <v>354</v>
      </c>
      <c r="I32" s="21">
        <f>B38</f>
        <v>3504.86</v>
      </c>
      <c r="J32" s="21">
        <f>C38</f>
        <v>11500</v>
      </c>
    </row>
    <row r="33" spans="1:10" x14ac:dyDescent="0.25">
      <c r="A33" s="3" t="s">
        <v>124</v>
      </c>
      <c r="B33" s="5">
        <f>86268.96</f>
        <v>86268.96</v>
      </c>
      <c r="C33" s="5">
        <f>510899.86</f>
        <v>510899.86</v>
      </c>
      <c r="D33" s="5">
        <f t="shared" si="2"/>
        <v>-424630.89999999997</v>
      </c>
      <c r="E33" s="6">
        <f t="shared" si="3"/>
        <v>0.16885688714027053</v>
      </c>
      <c r="H33" t="s">
        <v>353</v>
      </c>
      <c r="I33" s="21">
        <f>B34</f>
        <v>10000</v>
      </c>
      <c r="J33" s="21">
        <f>C34</f>
        <v>18400</v>
      </c>
    </row>
    <row r="34" spans="1:10" x14ac:dyDescent="0.25">
      <c r="A34" s="22" t="s">
        <v>131</v>
      </c>
      <c r="B34" s="23">
        <f>10000</f>
        <v>10000</v>
      </c>
      <c r="C34" s="23">
        <f>18400</f>
        <v>18400</v>
      </c>
      <c r="D34" s="23">
        <f t="shared" si="2"/>
        <v>-8400</v>
      </c>
      <c r="E34" s="24">
        <f t="shared" si="3"/>
        <v>0.54347826086956519</v>
      </c>
    </row>
    <row r="35" spans="1:10" x14ac:dyDescent="0.25">
      <c r="A35" s="3" t="s">
        <v>135</v>
      </c>
      <c r="B35" s="4"/>
      <c r="C35" s="5">
        <f>2500</f>
        <v>2500</v>
      </c>
      <c r="D35" s="5">
        <f t="shared" si="2"/>
        <v>-2500</v>
      </c>
      <c r="E35" s="6">
        <f t="shared" si="3"/>
        <v>0</v>
      </c>
    </row>
    <row r="36" spans="1:10" x14ac:dyDescent="0.25">
      <c r="A36" s="3" t="s">
        <v>136</v>
      </c>
      <c r="B36" s="5">
        <f>1695.15</f>
        <v>1695.15</v>
      </c>
      <c r="C36" s="5">
        <f>7725</f>
        <v>7725</v>
      </c>
      <c r="D36" s="5">
        <f t="shared" si="2"/>
        <v>-6029.85</v>
      </c>
      <c r="E36" s="6">
        <f t="shared" si="3"/>
        <v>0.21943689320388352</v>
      </c>
    </row>
    <row r="37" spans="1:10" x14ac:dyDescent="0.25">
      <c r="A37" s="3" t="s">
        <v>144</v>
      </c>
      <c r="B37" s="5">
        <f>250.92</f>
        <v>250.92</v>
      </c>
      <c r="C37" s="5">
        <f>2250</f>
        <v>2250</v>
      </c>
      <c r="D37" s="5">
        <f t="shared" si="2"/>
        <v>-1999.08</v>
      </c>
      <c r="E37" s="6">
        <f t="shared" si="3"/>
        <v>0.11151999999999999</v>
      </c>
    </row>
    <row r="38" spans="1:10" x14ac:dyDescent="0.25">
      <c r="A38" s="22" t="s">
        <v>145</v>
      </c>
      <c r="B38" s="23">
        <f>3504.86</f>
        <v>3504.86</v>
      </c>
      <c r="C38" s="23">
        <f>11500</f>
        <v>11500</v>
      </c>
      <c r="D38" s="23">
        <f t="shared" si="2"/>
        <v>-7995.1399999999994</v>
      </c>
      <c r="E38" s="24">
        <f t="shared" si="3"/>
        <v>0.30477043478260868</v>
      </c>
    </row>
    <row r="39" spans="1:10" x14ac:dyDescent="0.25">
      <c r="A39" s="3" t="s">
        <v>146</v>
      </c>
      <c r="B39" s="5">
        <f>1643.65</f>
        <v>1643.65</v>
      </c>
      <c r="C39" s="5">
        <f>6000</f>
        <v>6000</v>
      </c>
      <c r="D39" s="5">
        <f t="shared" si="2"/>
        <v>-4356.3500000000004</v>
      </c>
      <c r="E39" s="6">
        <f t="shared" si="3"/>
        <v>0.27394166666666669</v>
      </c>
    </row>
    <row r="40" spans="1:10" x14ac:dyDescent="0.25">
      <c r="A40" s="3" t="s">
        <v>147</v>
      </c>
      <c r="B40" s="5">
        <f>1210</f>
        <v>1210</v>
      </c>
      <c r="C40" s="5">
        <f>1210</f>
        <v>1210</v>
      </c>
      <c r="D40" s="5">
        <f t="shared" si="2"/>
        <v>0</v>
      </c>
      <c r="E40" s="25">
        <f t="shared" si="3"/>
        <v>1</v>
      </c>
    </row>
    <row r="41" spans="1:10" x14ac:dyDescent="0.25">
      <c r="A41" s="3" t="s">
        <v>151</v>
      </c>
      <c r="B41" s="5">
        <f>824.65</f>
        <v>824.65</v>
      </c>
      <c r="C41" s="5">
        <f>6500</f>
        <v>6500</v>
      </c>
      <c r="D41" s="5">
        <f t="shared" si="2"/>
        <v>-5675.35</v>
      </c>
      <c r="E41" s="6">
        <f t="shared" si="3"/>
        <v>0.12686923076923076</v>
      </c>
    </row>
    <row r="42" spans="1:10" x14ac:dyDescent="0.25">
      <c r="A42" s="3" t="s">
        <v>155</v>
      </c>
      <c r="B42" s="5">
        <f>24</f>
        <v>24</v>
      </c>
      <c r="C42" s="5">
        <f>175</f>
        <v>175</v>
      </c>
      <c r="D42" s="5">
        <f t="shared" si="2"/>
        <v>-151</v>
      </c>
      <c r="E42" s="6">
        <f t="shared" si="3"/>
        <v>0.13714285714285715</v>
      </c>
    </row>
    <row r="43" spans="1:10" x14ac:dyDescent="0.25">
      <c r="A43" s="3" t="s">
        <v>156</v>
      </c>
      <c r="B43" s="5">
        <f>250</f>
        <v>250</v>
      </c>
      <c r="C43" s="5">
        <f>7750</f>
        <v>7750</v>
      </c>
      <c r="D43" s="5">
        <f t="shared" si="2"/>
        <v>-7500</v>
      </c>
      <c r="E43" s="6">
        <f t="shared" si="3"/>
        <v>3.2258064516129031E-2</v>
      </c>
    </row>
    <row r="44" spans="1:10" x14ac:dyDescent="0.25">
      <c r="A44" s="3" t="s">
        <v>157</v>
      </c>
      <c r="B44" s="4"/>
      <c r="C44" s="5">
        <f>750</f>
        <v>750</v>
      </c>
      <c r="D44" s="5">
        <f t="shared" si="2"/>
        <v>-750</v>
      </c>
      <c r="E44" s="6">
        <f t="shared" si="3"/>
        <v>0</v>
      </c>
    </row>
    <row r="45" spans="1:10" x14ac:dyDescent="0.25">
      <c r="A45" s="3" t="s">
        <v>158</v>
      </c>
      <c r="B45" s="5">
        <f>100</f>
        <v>100</v>
      </c>
      <c r="C45" s="5">
        <f>13250</f>
        <v>13250</v>
      </c>
      <c r="D45" s="5">
        <f t="shared" si="2"/>
        <v>-13150</v>
      </c>
      <c r="E45" s="6">
        <f t="shared" si="3"/>
        <v>7.5471698113207548E-3</v>
      </c>
    </row>
    <row r="46" spans="1:10" x14ac:dyDescent="0.25">
      <c r="A46" s="3" t="s">
        <v>161</v>
      </c>
      <c r="B46" s="5">
        <f>162.5</f>
        <v>162.5</v>
      </c>
      <c r="C46" s="5">
        <f>3250</f>
        <v>3250</v>
      </c>
      <c r="D46" s="5">
        <f t="shared" si="2"/>
        <v>-3087.5</v>
      </c>
      <c r="E46" s="6">
        <f t="shared" si="3"/>
        <v>0.05</v>
      </c>
    </row>
    <row r="47" spans="1:10" x14ac:dyDescent="0.25">
      <c r="A47" s="3" t="s">
        <v>162</v>
      </c>
      <c r="B47" s="5">
        <f>993.26</f>
        <v>993.26</v>
      </c>
      <c r="C47" s="5">
        <f>6500</f>
        <v>6500</v>
      </c>
      <c r="D47" s="5">
        <f t="shared" si="2"/>
        <v>-5506.74</v>
      </c>
      <c r="E47" s="6">
        <f t="shared" si="3"/>
        <v>0.15280923076923078</v>
      </c>
    </row>
    <row r="48" spans="1:10" x14ac:dyDescent="0.25">
      <c r="A48" s="3" t="s">
        <v>166</v>
      </c>
      <c r="B48" s="9">
        <f>(((((((((((((((((((((((((((B20)+(B21))+(B22))+(B23))+(B24))+(B25))+(B26))+(B27))+(B28))+(B29))+(B30))+(B31))+(B32))+(B33))+(B34))+(B35))+(B36))+(B37))+(B38))+(B39))+(B40))+(B41))+(B42))+(B43))+(B44))+(B45))+(B46))+(B47)</f>
        <v>165837.70000000001</v>
      </c>
      <c r="C48" s="9">
        <f>(((((((((((((((((((((((((((C20)+(C21))+(C22))+(C23))+(C24))+(C25))+(C26))+(C27))+(C28))+(C29))+(C30))+(C31))+(C32))+(C33))+(C34))+(C35))+(C36))+(C37))+(C38))+(C39))+(C40))+(C41))+(C42))+(C43))+(C44))+(C45))+(C46))+(C47)</f>
        <v>784381.53</v>
      </c>
      <c r="D48" s="9">
        <f t="shared" si="2"/>
        <v>-618543.83000000007</v>
      </c>
      <c r="E48" s="10">
        <f t="shared" si="3"/>
        <v>0.21142478966836459</v>
      </c>
    </row>
    <row r="49" spans="1:5" x14ac:dyDescent="0.25">
      <c r="A49" s="3" t="s">
        <v>167</v>
      </c>
      <c r="B49" s="9">
        <f>(B18)-(B48)</f>
        <v>-26774.809999999998</v>
      </c>
      <c r="C49" s="9">
        <f>(C18)-(C48)</f>
        <v>0</v>
      </c>
      <c r="D49" s="9">
        <f t="shared" si="2"/>
        <v>-26774.809999999998</v>
      </c>
      <c r="E49" s="10" t="str">
        <f t="shared" si="3"/>
        <v/>
      </c>
    </row>
    <row r="50" spans="1:5" x14ac:dyDescent="0.25">
      <c r="A50" s="3" t="s">
        <v>168</v>
      </c>
      <c r="B50" s="9">
        <f>(B49)+(0)</f>
        <v>-26774.809999999998</v>
      </c>
      <c r="C50" s="9">
        <f>(C49)+(0)</f>
        <v>0</v>
      </c>
      <c r="D50" s="9">
        <f t="shared" si="2"/>
        <v>-26774.809999999998</v>
      </c>
      <c r="E50" s="10" t="str">
        <f t="shared" si="3"/>
        <v/>
      </c>
    </row>
    <row r="51" spans="1:5" x14ac:dyDescent="0.25">
      <c r="A51" s="3"/>
      <c r="B51" s="4"/>
      <c r="C51" s="4"/>
      <c r="D51" s="4"/>
      <c r="E51" s="4"/>
    </row>
    <row r="54" spans="1:5" x14ac:dyDescent="0.25">
      <c r="A54" s="13" t="s">
        <v>173</v>
      </c>
      <c r="B54" s="14"/>
      <c r="C54" s="14"/>
      <c r="D54" s="14"/>
      <c r="E54" s="14"/>
    </row>
  </sheetData>
  <mergeCells count="5">
    <mergeCell ref="A1:E1"/>
    <mergeCell ref="A2:E2"/>
    <mergeCell ref="A3:E3"/>
    <mergeCell ref="B5:E5"/>
    <mergeCell ref="A54:E5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C1A2-F9EB-4673-87C7-D0B6962E9E79}">
  <dimension ref="A1:E141"/>
  <sheetViews>
    <sheetView workbookViewId="0">
      <selection activeCell="B23" sqref="B23"/>
    </sheetView>
  </sheetViews>
  <sheetFormatPr defaultRowHeight="15" x14ac:dyDescent="0.25"/>
  <cols>
    <col min="1" max="1" width="30.140625" customWidth="1"/>
    <col min="2" max="5" width="18" customWidth="1"/>
  </cols>
  <sheetData>
    <row r="1" spans="1:5" ht="18" x14ac:dyDescent="0.25">
      <c r="A1" s="15" t="s">
        <v>170</v>
      </c>
      <c r="B1" s="14"/>
      <c r="C1" s="14"/>
      <c r="D1" s="14"/>
      <c r="E1" s="14"/>
    </row>
    <row r="2" spans="1:5" ht="18" x14ac:dyDescent="0.25">
      <c r="A2" s="15" t="s">
        <v>174</v>
      </c>
      <c r="B2" s="14"/>
      <c r="C2" s="14"/>
      <c r="D2" s="14"/>
      <c r="E2" s="14"/>
    </row>
    <row r="3" spans="1:5" x14ac:dyDescent="0.25">
      <c r="A3" s="16" t="s">
        <v>175</v>
      </c>
      <c r="B3" s="14"/>
      <c r="C3" s="14"/>
      <c r="D3" s="14"/>
      <c r="E3" s="14"/>
    </row>
    <row r="5" spans="1:5" x14ac:dyDescent="0.25">
      <c r="A5" s="1"/>
      <c r="B5" s="11" t="s">
        <v>0</v>
      </c>
      <c r="C5" s="12"/>
      <c r="D5" s="12"/>
      <c r="E5" s="12"/>
    </row>
    <row r="6" spans="1:5" x14ac:dyDescent="0.25">
      <c r="A6" s="1"/>
      <c r="B6" s="2" t="s">
        <v>176</v>
      </c>
      <c r="C6" s="2" t="s">
        <v>177</v>
      </c>
      <c r="D6" s="2" t="s">
        <v>178</v>
      </c>
      <c r="E6" s="2" t="s">
        <v>179</v>
      </c>
    </row>
    <row r="7" spans="1:5" x14ac:dyDescent="0.25">
      <c r="A7" s="3" t="s">
        <v>5</v>
      </c>
      <c r="B7" s="4"/>
      <c r="C7" s="4"/>
      <c r="D7" s="4"/>
      <c r="E7" s="4"/>
    </row>
    <row r="8" spans="1:5" x14ac:dyDescent="0.25">
      <c r="A8" s="3" t="s">
        <v>6</v>
      </c>
      <c r="B8" s="4"/>
      <c r="C8" s="4"/>
      <c r="D8" s="5">
        <f t="shared" ref="D8:D59" si="0">(B8)-(C8)</f>
        <v>0</v>
      </c>
      <c r="E8" s="6" t="str">
        <f t="shared" ref="E8:E59" si="1">IF(ABS((C8))=0,"",((B8)-(C8))/(ABS((C8))))</f>
        <v/>
      </c>
    </row>
    <row r="9" spans="1:5" x14ac:dyDescent="0.25">
      <c r="A9" s="3" t="s">
        <v>7</v>
      </c>
      <c r="B9" s="4"/>
      <c r="C9" s="5">
        <f>32400</f>
        <v>32400</v>
      </c>
      <c r="D9" s="5">
        <f t="shared" si="0"/>
        <v>-32400</v>
      </c>
      <c r="E9" s="6">
        <f t="shared" si="1"/>
        <v>-1</v>
      </c>
    </row>
    <row r="10" spans="1:5" x14ac:dyDescent="0.25">
      <c r="A10" s="3" t="s">
        <v>8</v>
      </c>
      <c r="B10" s="5">
        <f>133750</f>
        <v>133750</v>
      </c>
      <c r="C10" s="5">
        <f>122500</f>
        <v>122500</v>
      </c>
      <c r="D10" s="5">
        <f t="shared" si="0"/>
        <v>11250</v>
      </c>
      <c r="E10" s="6">
        <f t="shared" si="1"/>
        <v>9.1836734693877556E-2</v>
      </c>
    </row>
    <row r="11" spans="1:5" x14ac:dyDescent="0.25">
      <c r="A11" s="3" t="s">
        <v>10</v>
      </c>
      <c r="B11" s="9">
        <f>((B8)+(B9))+(B10)</f>
        <v>133750</v>
      </c>
      <c r="C11" s="9">
        <f>((C8)+(C9))+(C10)</f>
        <v>154900</v>
      </c>
      <c r="D11" s="9">
        <f t="shared" si="0"/>
        <v>-21150</v>
      </c>
      <c r="E11" s="10">
        <f t="shared" si="1"/>
        <v>-0.13653970303421561</v>
      </c>
    </row>
    <row r="12" spans="1:5" x14ac:dyDescent="0.25">
      <c r="A12" s="3" t="s">
        <v>11</v>
      </c>
      <c r="B12" s="4"/>
      <c r="C12" s="4"/>
      <c r="D12" s="5">
        <f t="shared" si="0"/>
        <v>0</v>
      </c>
      <c r="E12" s="6" t="str">
        <f t="shared" si="1"/>
        <v/>
      </c>
    </row>
    <row r="13" spans="1:5" x14ac:dyDescent="0.25">
      <c r="A13" s="3" t="s">
        <v>12</v>
      </c>
      <c r="B13" s="4"/>
      <c r="C13" s="4"/>
      <c r="D13" s="5">
        <f t="shared" si="0"/>
        <v>0</v>
      </c>
      <c r="E13" s="6" t="str">
        <f t="shared" si="1"/>
        <v/>
      </c>
    </row>
    <row r="14" spans="1:5" x14ac:dyDescent="0.25">
      <c r="A14" s="3" t="s">
        <v>13</v>
      </c>
      <c r="B14" s="5">
        <f>538.44</f>
        <v>538.44000000000005</v>
      </c>
      <c r="C14" s="5">
        <f>1056.01</f>
        <v>1056.01</v>
      </c>
      <c r="D14" s="5">
        <f t="shared" si="0"/>
        <v>-517.56999999999994</v>
      </c>
      <c r="E14" s="6">
        <f t="shared" si="1"/>
        <v>-0.49011846478726523</v>
      </c>
    </row>
    <row r="15" spans="1:5" x14ac:dyDescent="0.25">
      <c r="A15" s="3" t="s">
        <v>14</v>
      </c>
      <c r="B15" s="5">
        <f>100</f>
        <v>100</v>
      </c>
      <c r="C15" s="4"/>
      <c r="D15" s="5">
        <f t="shared" si="0"/>
        <v>100</v>
      </c>
      <c r="E15" s="6" t="str">
        <f t="shared" si="1"/>
        <v/>
      </c>
    </row>
    <row r="16" spans="1:5" x14ac:dyDescent="0.25">
      <c r="A16" s="3" t="s">
        <v>15</v>
      </c>
      <c r="B16" s="9">
        <f>((B13)+(B14))+(B15)</f>
        <v>638.44000000000005</v>
      </c>
      <c r="C16" s="9">
        <f>((C13)+(C14))+(C15)</f>
        <v>1056.01</v>
      </c>
      <c r="D16" s="9">
        <f t="shared" si="0"/>
        <v>-417.56999999999994</v>
      </c>
      <c r="E16" s="10">
        <f t="shared" si="1"/>
        <v>-0.3954223918334106</v>
      </c>
    </row>
    <row r="17" spans="1:5" x14ac:dyDescent="0.25">
      <c r="A17" s="3" t="s">
        <v>20</v>
      </c>
      <c r="B17" s="5">
        <f>1645</f>
        <v>1645</v>
      </c>
      <c r="C17" s="5">
        <f>1970</f>
        <v>1970</v>
      </c>
      <c r="D17" s="5">
        <f t="shared" si="0"/>
        <v>-325</v>
      </c>
      <c r="E17" s="6">
        <f t="shared" si="1"/>
        <v>-0.1649746192893401</v>
      </c>
    </row>
    <row r="18" spans="1:5" x14ac:dyDescent="0.25">
      <c r="A18" s="3" t="s">
        <v>21</v>
      </c>
      <c r="B18" s="9">
        <f>((B12)+(B16))+(B17)</f>
        <v>2283.44</v>
      </c>
      <c r="C18" s="9">
        <f>((C12)+(C16))+(C17)</f>
        <v>3026.01</v>
      </c>
      <c r="D18" s="9">
        <f t="shared" si="0"/>
        <v>-742.57000000000016</v>
      </c>
      <c r="E18" s="10">
        <f t="shared" si="1"/>
        <v>-0.24539575216208806</v>
      </c>
    </row>
    <row r="19" spans="1:5" x14ac:dyDescent="0.25">
      <c r="A19" s="3" t="s">
        <v>22</v>
      </c>
      <c r="B19" s="4"/>
      <c r="C19" s="5">
        <f>1435.91</f>
        <v>1435.91</v>
      </c>
      <c r="D19" s="5">
        <f t="shared" si="0"/>
        <v>-1435.91</v>
      </c>
      <c r="E19" s="6">
        <f t="shared" si="1"/>
        <v>-1</v>
      </c>
    </row>
    <row r="20" spans="1:5" x14ac:dyDescent="0.25">
      <c r="A20" s="3" t="s">
        <v>23</v>
      </c>
      <c r="B20" s="4"/>
      <c r="C20" s="4"/>
      <c r="D20" s="5">
        <f t="shared" si="0"/>
        <v>0</v>
      </c>
      <c r="E20" s="6" t="str">
        <f t="shared" si="1"/>
        <v/>
      </c>
    </row>
    <row r="21" spans="1:5" x14ac:dyDescent="0.25">
      <c r="A21" s="3" t="s">
        <v>25</v>
      </c>
      <c r="B21" s="4"/>
      <c r="C21" s="4"/>
      <c r="D21" s="5">
        <f t="shared" si="0"/>
        <v>0</v>
      </c>
      <c r="E21" s="6" t="str">
        <f t="shared" si="1"/>
        <v/>
      </c>
    </row>
    <row r="22" spans="1:5" x14ac:dyDescent="0.25">
      <c r="A22" s="3" t="s">
        <v>29</v>
      </c>
      <c r="B22" s="5">
        <f>356</f>
        <v>356</v>
      </c>
      <c r="C22" s="5">
        <f>274</f>
        <v>274</v>
      </c>
      <c r="D22" s="5">
        <f t="shared" si="0"/>
        <v>82</v>
      </c>
      <c r="E22" s="6">
        <f t="shared" si="1"/>
        <v>0.29927007299270075</v>
      </c>
    </row>
    <row r="23" spans="1:5" x14ac:dyDescent="0.25">
      <c r="A23" s="3" t="s">
        <v>31</v>
      </c>
      <c r="B23" s="9">
        <f>(B21)+(B22)</f>
        <v>356</v>
      </c>
      <c r="C23" s="9">
        <f>(C21)+(C22)</f>
        <v>274</v>
      </c>
      <c r="D23" s="9">
        <f t="shared" si="0"/>
        <v>82</v>
      </c>
      <c r="E23" s="10">
        <f t="shared" si="1"/>
        <v>0.29927007299270075</v>
      </c>
    </row>
    <row r="24" spans="1:5" x14ac:dyDescent="0.25">
      <c r="A24" s="3" t="s">
        <v>32</v>
      </c>
      <c r="B24" s="4"/>
      <c r="C24" s="4"/>
      <c r="D24" s="5">
        <f t="shared" si="0"/>
        <v>0</v>
      </c>
      <c r="E24" s="6" t="str">
        <f t="shared" si="1"/>
        <v/>
      </c>
    </row>
    <row r="25" spans="1:5" x14ac:dyDescent="0.25">
      <c r="A25" s="3" t="s">
        <v>33</v>
      </c>
      <c r="B25" s="5">
        <f>10</f>
        <v>10</v>
      </c>
      <c r="C25" s="4"/>
      <c r="D25" s="5">
        <f t="shared" si="0"/>
        <v>10</v>
      </c>
      <c r="E25" s="6" t="str">
        <f t="shared" si="1"/>
        <v/>
      </c>
    </row>
    <row r="26" spans="1:5" x14ac:dyDescent="0.25">
      <c r="A26" s="3" t="s">
        <v>34</v>
      </c>
      <c r="B26" s="5">
        <f>0</f>
        <v>0</v>
      </c>
      <c r="C26" s="4"/>
      <c r="D26" s="5">
        <f t="shared" si="0"/>
        <v>0</v>
      </c>
      <c r="E26" s="6" t="str">
        <f t="shared" si="1"/>
        <v/>
      </c>
    </row>
    <row r="27" spans="1:5" x14ac:dyDescent="0.25">
      <c r="A27" s="3" t="s">
        <v>35</v>
      </c>
      <c r="B27" s="9">
        <f>((B24)+(B25))+(B26)</f>
        <v>10</v>
      </c>
      <c r="C27" s="9">
        <f>((C24)+(C25))+(C26)</f>
        <v>0</v>
      </c>
      <c r="D27" s="9">
        <f t="shared" si="0"/>
        <v>10</v>
      </c>
      <c r="E27" s="10" t="str">
        <f t="shared" si="1"/>
        <v/>
      </c>
    </row>
    <row r="28" spans="1:5" x14ac:dyDescent="0.25">
      <c r="A28" s="3" t="s">
        <v>36</v>
      </c>
      <c r="B28" s="5">
        <f>19</f>
        <v>19</v>
      </c>
      <c r="C28" s="5">
        <f>70</f>
        <v>70</v>
      </c>
      <c r="D28" s="5">
        <f t="shared" si="0"/>
        <v>-51</v>
      </c>
      <c r="E28" s="6">
        <f t="shared" si="1"/>
        <v>-0.72857142857142854</v>
      </c>
    </row>
    <row r="29" spans="1:5" x14ac:dyDescent="0.25">
      <c r="A29" s="3" t="s">
        <v>37</v>
      </c>
      <c r="B29" s="5">
        <f>180</f>
        <v>180</v>
      </c>
      <c r="C29" s="5">
        <f>40</f>
        <v>40</v>
      </c>
      <c r="D29" s="5">
        <f t="shared" si="0"/>
        <v>140</v>
      </c>
      <c r="E29" s="6">
        <f t="shared" si="1"/>
        <v>3.5</v>
      </c>
    </row>
    <row r="30" spans="1:5" x14ac:dyDescent="0.25">
      <c r="A30" s="3" t="s">
        <v>38</v>
      </c>
      <c r="B30" s="9">
        <f>(B28)+(B29)</f>
        <v>199</v>
      </c>
      <c r="C30" s="9">
        <f>(C28)+(C29)</f>
        <v>110</v>
      </c>
      <c r="D30" s="9">
        <f t="shared" si="0"/>
        <v>89</v>
      </c>
      <c r="E30" s="10">
        <f t="shared" si="1"/>
        <v>0.80909090909090908</v>
      </c>
    </row>
    <row r="31" spans="1:5" x14ac:dyDescent="0.25">
      <c r="A31" s="3" t="s">
        <v>39</v>
      </c>
      <c r="B31" s="4"/>
      <c r="C31" s="4"/>
      <c r="D31" s="5">
        <f t="shared" si="0"/>
        <v>0</v>
      </c>
      <c r="E31" s="6" t="str">
        <f t="shared" si="1"/>
        <v/>
      </c>
    </row>
    <row r="32" spans="1:5" x14ac:dyDescent="0.25">
      <c r="A32" s="3" t="s">
        <v>40</v>
      </c>
      <c r="B32" s="4"/>
      <c r="C32" s="5">
        <f>1.5</f>
        <v>1.5</v>
      </c>
      <c r="D32" s="5">
        <f t="shared" si="0"/>
        <v>-1.5</v>
      </c>
      <c r="E32" s="6">
        <f t="shared" si="1"/>
        <v>-1</v>
      </c>
    </row>
    <row r="33" spans="1:5" x14ac:dyDescent="0.25">
      <c r="A33" s="3" t="s">
        <v>41</v>
      </c>
      <c r="B33" s="5">
        <f>245.66</f>
        <v>245.66</v>
      </c>
      <c r="C33" s="5">
        <f>215.73</f>
        <v>215.73</v>
      </c>
      <c r="D33" s="5">
        <f t="shared" si="0"/>
        <v>29.930000000000007</v>
      </c>
      <c r="E33" s="6">
        <f t="shared" si="1"/>
        <v>0.13873823761182963</v>
      </c>
    </row>
    <row r="34" spans="1:5" x14ac:dyDescent="0.25">
      <c r="A34" s="3" t="s">
        <v>42</v>
      </c>
      <c r="B34" s="5">
        <f>19.98</f>
        <v>19.98</v>
      </c>
      <c r="C34" s="5">
        <f>52.96</f>
        <v>52.96</v>
      </c>
      <c r="D34" s="5">
        <f t="shared" si="0"/>
        <v>-32.980000000000004</v>
      </c>
      <c r="E34" s="6">
        <f t="shared" si="1"/>
        <v>-0.62273413897280971</v>
      </c>
    </row>
    <row r="35" spans="1:5" x14ac:dyDescent="0.25">
      <c r="A35" s="3" t="s">
        <v>43</v>
      </c>
      <c r="B35" s="5">
        <f>105.24</f>
        <v>105.24</v>
      </c>
      <c r="C35" s="5">
        <f>210.6</f>
        <v>210.6</v>
      </c>
      <c r="D35" s="5">
        <f t="shared" si="0"/>
        <v>-105.36</v>
      </c>
      <c r="E35" s="6">
        <f t="shared" si="1"/>
        <v>-0.50028490028490025</v>
      </c>
    </row>
    <row r="36" spans="1:5" x14ac:dyDescent="0.25">
      <c r="A36" s="3" t="s">
        <v>44</v>
      </c>
      <c r="B36" s="4"/>
      <c r="C36" s="5">
        <f>10.5</f>
        <v>10.5</v>
      </c>
      <c r="D36" s="5">
        <f t="shared" si="0"/>
        <v>-10.5</v>
      </c>
      <c r="E36" s="6">
        <f t="shared" si="1"/>
        <v>-1</v>
      </c>
    </row>
    <row r="37" spans="1:5" x14ac:dyDescent="0.25">
      <c r="A37" s="3" t="s">
        <v>47</v>
      </c>
      <c r="B37" s="4"/>
      <c r="C37" s="5">
        <f>8</f>
        <v>8</v>
      </c>
      <c r="D37" s="5">
        <f t="shared" si="0"/>
        <v>-8</v>
      </c>
      <c r="E37" s="6">
        <f t="shared" si="1"/>
        <v>-1</v>
      </c>
    </row>
    <row r="38" spans="1:5" x14ac:dyDescent="0.25">
      <c r="A38" s="3" t="s">
        <v>48</v>
      </c>
      <c r="B38" s="5">
        <f>33.9</f>
        <v>33.9</v>
      </c>
      <c r="C38" s="5">
        <f>10</f>
        <v>10</v>
      </c>
      <c r="D38" s="5">
        <f t="shared" si="0"/>
        <v>23.9</v>
      </c>
      <c r="E38" s="6">
        <f t="shared" si="1"/>
        <v>2.3899999999999997</v>
      </c>
    </row>
    <row r="39" spans="1:5" x14ac:dyDescent="0.25">
      <c r="A39" s="3" t="s">
        <v>49</v>
      </c>
      <c r="B39" s="5">
        <f>2.5</f>
        <v>2.5</v>
      </c>
      <c r="C39" s="5">
        <f>1</f>
        <v>1</v>
      </c>
      <c r="D39" s="5">
        <f t="shared" si="0"/>
        <v>1.5</v>
      </c>
      <c r="E39" s="6">
        <f t="shared" si="1"/>
        <v>1.5</v>
      </c>
    </row>
    <row r="40" spans="1:5" x14ac:dyDescent="0.25">
      <c r="A40" s="3" t="s">
        <v>50</v>
      </c>
      <c r="B40" s="5">
        <f>49</f>
        <v>49</v>
      </c>
      <c r="C40" s="5">
        <f>75</f>
        <v>75</v>
      </c>
      <c r="D40" s="5">
        <f t="shared" si="0"/>
        <v>-26</v>
      </c>
      <c r="E40" s="6">
        <f t="shared" si="1"/>
        <v>-0.34666666666666668</v>
      </c>
    </row>
    <row r="41" spans="1:5" x14ac:dyDescent="0.25">
      <c r="A41" s="3" t="s">
        <v>51</v>
      </c>
      <c r="B41" s="4"/>
      <c r="C41" s="5">
        <f>12</f>
        <v>12</v>
      </c>
      <c r="D41" s="5">
        <f t="shared" si="0"/>
        <v>-12</v>
      </c>
      <c r="E41" s="6">
        <f t="shared" si="1"/>
        <v>-1</v>
      </c>
    </row>
    <row r="42" spans="1:5" x14ac:dyDescent="0.25">
      <c r="A42" s="3" t="s">
        <v>52</v>
      </c>
      <c r="B42" s="5">
        <f>15.65</f>
        <v>15.65</v>
      </c>
      <c r="C42" s="5">
        <f>63.5</f>
        <v>63.5</v>
      </c>
      <c r="D42" s="5">
        <f t="shared" si="0"/>
        <v>-47.85</v>
      </c>
      <c r="E42" s="6">
        <f t="shared" si="1"/>
        <v>-0.75354330708661421</v>
      </c>
    </row>
    <row r="43" spans="1:5" x14ac:dyDescent="0.25">
      <c r="A43" s="3" t="s">
        <v>53</v>
      </c>
      <c r="B43" s="5">
        <f>30.5</f>
        <v>30.5</v>
      </c>
      <c r="C43" s="4"/>
      <c r="D43" s="5">
        <f t="shared" si="0"/>
        <v>30.5</v>
      </c>
      <c r="E43" s="6" t="str">
        <f t="shared" si="1"/>
        <v/>
      </c>
    </row>
    <row r="44" spans="1:5" x14ac:dyDescent="0.25">
      <c r="A44" s="3" t="s">
        <v>55</v>
      </c>
      <c r="B44" s="5">
        <f>12.95</f>
        <v>12.95</v>
      </c>
      <c r="C44" s="5">
        <f>24.75</f>
        <v>24.75</v>
      </c>
      <c r="D44" s="5">
        <f t="shared" si="0"/>
        <v>-11.8</v>
      </c>
      <c r="E44" s="6">
        <f t="shared" si="1"/>
        <v>-0.47676767676767678</v>
      </c>
    </row>
    <row r="45" spans="1:5" x14ac:dyDescent="0.25">
      <c r="A45" s="3" t="s">
        <v>56</v>
      </c>
      <c r="B45" s="5">
        <f>72</f>
        <v>72</v>
      </c>
      <c r="C45" s="5">
        <f>20</f>
        <v>20</v>
      </c>
      <c r="D45" s="5">
        <f t="shared" si="0"/>
        <v>52</v>
      </c>
      <c r="E45" s="6">
        <f t="shared" si="1"/>
        <v>2.6</v>
      </c>
    </row>
    <row r="46" spans="1:5" x14ac:dyDescent="0.25">
      <c r="A46" s="3" t="s">
        <v>57</v>
      </c>
      <c r="B46" s="4"/>
      <c r="C46" s="5">
        <f>10</f>
        <v>10</v>
      </c>
      <c r="D46" s="5">
        <f t="shared" si="0"/>
        <v>-10</v>
      </c>
      <c r="E46" s="6">
        <f t="shared" si="1"/>
        <v>-1</v>
      </c>
    </row>
    <row r="47" spans="1:5" x14ac:dyDescent="0.25">
      <c r="A47" s="3" t="s">
        <v>58</v>
      </c>
      <c r="B47" s="5">
        <f>-4.4</f>
        <v>-4.4000000000000004</v>
      </c>
      <c r="C47" s="5">
        <f>-66.65</f>
        <v>-66.650000000000006</v>
      </c>
      <c r="D47" s="5">
        <f t="shared" si="0"/>
        <v>62.250000000000007</v>
      </c>
      <c r="E47" s="6">
        <f t="shared" si="1"/>
        <v>0.93398349587396856</v>
      </c>
    </row>
    <row r="48" spans="1:5" x14ac:dyDescent="0.25">
      <c r="A48" s="3" t="s">
        <v>59</v>
      </c>
      <c r="B48" s="4"/>
      <c r="C48" s="5">
        <f>9</f>
        <v>9</v>
      </c>
      <c r="D48" s="5">
        <f t="shared" si="0"/>
        <v>-9</v>
      </c>
      <c r="E48" s="6">
        <f t="shared" si="1"/>
        <v>-1</v>
      </c>
    </row>
    <row r="49" spans="1:5" x14ac:dyDescent="0.25">
      <c r="A49" s="3" t="s">
        <v>61</v>
      </c>
      <c r="B49" s="4"/>
      <c r="C49" s="5">
        <f>86</f>
        <v>86</v>
      </c>
      <c r="D49" s="5">
        <f t="shared" si="0"/>
        <v>-86</v>
      </c>
      <c r="E49" s="6">
        <f t="shared" si="1"/>
        <v>-1</v>
      </c>
    </row>
    <row r="50" spans="1:5" x14ac:dyDescent="0.25">
      <c r="A50" s="3" t="s">
        <v>63</v>
      </c>
      <c r="B50" s="5">
        <f>24.5</f>
        <v>24.5</v>
      </c>
      <c r="C50" s="5">
        <f>122</f>
        <v>122</v>
      </c>
      <c r="D50" s="5">
        <f t="shared" si="0"/>
        <v>-97.5</v>
      </c>
      <c r="E50" s="6">
        <f t="shared" si="1"/>
        <v>-0.79918032786885251</v>
      </c>
    </row>
    <row r="51" spans="1:5" x14ac:dyDescent="0.25">
      <c r="A51" s="3" t="s">
        <v>66</v>
      </c>
      <c r="B51" s="5">
        <f>2</f>
        <v>2</v>
      </c>
      <c r="C51" s="4"/>
      <c r="D51" s="5">
        <f t="shared" si="0"/>
        <v>2</v>
      </c>
      <c r="E51" s="6" t="str">
        <f t="shared" si="1"/>
        <v/>
      </c>
    </row>
    <row r="52" spans="1:5" x14ac:dyDescent="0.25">
      <c r="A52" s="3" t="s">
        <v>68</v>
      </c>
      <c r="B52" s="5">
        <f>40</f>
        <v>40</v>
      </c>
      <c r="C52" s="5">
        <f>24</f>
        <v>24</v>
      </c>
      <c r="D52" s="5">
        <f t="shared" si="0"/>
        <v>16</v>
      </c>
      <c r="E52" s="6">
        <f t="shared" si="1"/>
        <v>0.66666666666666663</v>
      </c>
    </row>
    <row r="53" spans="1:5" x14ac:dyDescent="0.25">
      <c r="A53" s="3" t="s">
        <v>72</v>
      </c>
      <c r="B53" s="4"/>
      <c r="C53" s="5">
        <f>80</f>
        <v>80</v>
      </c>
      <c r="D53" s="5">
        <f t="shared" si="0"/>
        <v>-80</v>
      </c>
      <c r="E53" s="6">
        <f t="shared" si="1"/>
        <v>-1</v>
      </c>
    </row>
    <row r="54" spans="1:5" x14ac:dyDescent="0.25">
      <c r="A54" s="3" t="s">
        <v>74</v>
      </c>
      <c r="B54" s="4"/>
      <c r="C54" s="5">
        <f>13</f>
        <v>13</v>
      </c>
      <c r="D54" s="5">
        <f t="shared" si="0"/>
        <v>-13</v>
      </c>
      <c r="E54" s="6">
        <f t="shared" si="1"/>
        <v>-1</v>
      </c>
    </row>
    <row r="55" spans="1:5" x14ac:dyDescent="0.25">
      <c r="A55" s="3" t="s">
        <v>77</v>
      </c>
      <c r="B55" s="5">
        <f>15</f>
        <v>15</v>
      </c>
      <c r="C55" s="4"/>
      <c r="D55" s="5">
        <f t="shared" si="0"/>
        <v>15</v>
      </c>
      <c r="E55" s="6" t="str">
        <f t="shared" si="1"/>
        <v/>
      </c>
    </row>
    <row r="56" spans="1:5" x14ac:dyDescent="0.25">
      <c r="A56" s="3" t="s">
        <v>82</v>
      </c>
      <c r="B56" s="5">
        <f>40</f>
        <v>40</v>
      </c>
      <c r="C56" s="5">
        <f>66</f>
        <v>66</v>
      </c>
      <c r="D56" s="5">
        <f t="shared" si="0"/>
        <v>-26</v>
      </c>
      <c r="E56" s="6">
        <f t="shared" si="1"/>
        <v>-0.39393939393939392</v>
      </c>
    </row>
    <row r="57" spans="1:5" x14ac:dyDescent="0.25">
      <c r="A57" s="3" t="s">
        <v>83</v>
      </c>
      <c r="B57" s="9">
        <f>(((((((((((((((((((((((((B31)+(B32))+(B33))+(B34))+(B35))+(B36))+(B37))+(B38))+(B39))+(B40))+(B41))+(B42))+(B43))+(B44))+(B45))+(B46))+(B47))+(B48))+(B49))+(B50))+(B51))+(B52))+(B53))+(B54))+(B55))+(B56)</f>
        <v>704.48</v>
      </c>
      <c r="C57" s="9">
        <f>(((((((((((((((((((((((((C31)+(C32))+(C33))+(C34))+(C35))+(C36))+(C37))+(C38))+(C39))+(C40))+(C41))+(C42))+(C43))+(C44))+(C45))+(C46))+(C47))+(C48))+(C49))+(C50))+(C51))+(C52))+(C53))+(C54))+(C55))+(C56)</f>
        <v>1048.8899999999999</v>
      </c>
      <c r="D57" s="9">
        <f t="shared" si="0"/>
        <v>-344.40999999999985</v>
      </c>
      <c r="E57" s="10">
        <f t="shared" si="1"/>
        <v>-0.32835664368999601</v>
      </c>
    </row>
    <row r="58" spans="1:5" x14ac:dyDescent="0.25">
      <c r="A58" s="3" t="s">
        <v>84</v>
      </c>
      <c r="B58" s="9">
        <f>((((B20)+(B23))+(B27))+(B30))+(B57)</f>
        <v>1269.48</v>
      </c>
      <c r="C58" s="9">
        <f>((((C20)+(C23))+(C27))+(C30))+(C57)</f>
        <v>1432.8899999999999</v>
      </c>
      <c r="D58" s="9">
        <f t="shared" si="0"/>
        <v>-163.40999999999985</v>
      </c>
      <c r="E58" s="10">
        <f t="shared" si="1"/>
        <v>-0.1140422502774113</v>
      </c>
    </row>
    <row r="59" spans="1:5" x14ac:dyDescent="0.25">
      <c r="A59" s="3" t="s">
        <v>86</v>
      </c>
      <c r="B59" s="9">
        <f>(((B11)+(B18))+(B19))+(B58)</f>
        <v>137302.92000000001</v>
      </c>
      <c r="C59" s="9">
        <f>(((C11)+(C18))+(C19))+(C58)</f>
        <v>160794.81000000003</v>
      </c>
      <c r="D59" s="9">
        <f t="shared" si="0"/>
        <v>-23491.890000000014</v>
      </c>
      <c r="E59" s="10">
        <f t="shared" si="1"/>
        <v>-0.14609855877810987</v>
      </c>
    </row>
    <row r="60" spans="1:5" x14ac:dyDescent="0.25">
      <c r="A60" s="3" t="s">
        <v>87</v>
      </c>
      <c r="B60" s="4"/>
      <c r="C60" s="4"/>
      <c r="D60" s="4"/>
      <c r="E60" s="4"/>
    </row>
    <row r="61" spans="1:5" x14ac:dyDescent="0.25">
      <c r="A61" s="3" t="s">
        <v>88</v>
      </c>
      <c r="B61" s="5">
        <f>0</f>
        <v>0</v>
      </c>
      <c r="C61" s="5">
        <f>672.24</f>
        <v>672.24</v>
      </c>
      <c r="D61" s="5">
        <f>(B61)-(C61)</f>
        <v>-672.24</v>
      </c>
      <c r="E61" s="6">
        <f>IF(ABS((C61))=0,"",((B61)-(C61))/(ABS((C61))))</f>
        <v>-1</v>
      </c>
    </row>
    <row r="62" spans="1:5" x14ac:dyDescent="0.25">
      <c r="A62" s="3" t="s">
        <v>89</v>
      </c>
      <c r="B62" s="5">
        <f>102.14</f>
        <v>102.14</v>
      </c>
      <c r="C62" s="5">
        <f>23.33</f>
        <v>23.33</v>
      </c>
      <c r="D62" s="5">
        <f>(B62)-(C62)</f>
        <v>78.81</v>
      </c>
      <c r="E62" s="6">
        <f>IF(ABS((C62))=0,"",((B62)-(C62))/(ABS((C62))))</f>
        <v>3.3780540077153884</v>
      </c>
    </row>
    <row r="63" spans="1:5" x14ac:dyDescent="0.25">
      <c r="A63" s="3" t="s">
        <v>90</v>
      </c>
      <c r="B63" s="9">
        <f>(B61)+(B62)</f>
        <v>102.14</v>
      </c>
      <c r="C63" s="9">
        <f>(C61)+(C62)</f>
        <v>695.57</v>
      </c>
      <c r="D63" s="9">
        <f>(B63)-(C63)</f>
        <v>-593.43000000000006</v>
      </c>
      <c r="E63" s="10">
        <f>IF(ABS((C63))=0,"",((B63)-(C63))/(ABS((C63))))</f>
        <v>-0.85315640410023441</v>
      </c>
    </row>
    <row r="64" spans="1:5" x14ac:dyDescent="0.25">
      <c r="A64" s="3" t="s">
        <v>91</v>
      </c>
      <c r="B64" s="9">
        <f>(B59)-(B63)</f>
        <v>137200.78</v>
      </c>
      <c r="C64" s="9">
        <f>(C59)-(C63)</f>
        <v>160099.24000000002</v>
      </c>
      <c r="D64" s="9">
        <f>(B64)-(C64)</f>
        <v>-22898.460000000021</v>
      </c>
      <c r="E64" s="10">
        <f>IF(ABS((C64))=0,"",((B64)-(C64))/(ABS((C64))))</f>
        <v>-0.14302666271245271</v>
      </c>
    </row>
    <row r="65" spans="1:5" x14ac:dyDescent="0.25">
      <c r="A65" s="3" t="s">
        <v>92</v>
      </c>
      <c r="B65" s="4"/>
      <c r="C65" s="4"/>
      <c r="D65" s="4"/>
      <c r="E65" s="4"/>
    </row>
    <row r="66" spans="1:5" x14ac:dyDescent="0.25">
      <c r="A66" s="3" t="s">
        <v>93</v>
      </c>
      <c r="B66" s="4"/>
      <c r="C66" s="4"/>
      <c r="D66" s="5">
        <f t="shared" ref="D66:D129" si="2">(B66)-(C66)</f>
        <v>0</v>
      </c>
      <c r="E66" s="6" t="str">
        <f t="shared" ref="E66:E129" si="3">IF(ABS((C66))=0,"",((B66)-(C66))/(ABS((C66))))</f>
        <v/>
      </c>
    </row>
    <row r="67" spans="1:5" x14ac:dyDescent="0.25">
      <c r="A67" s="3" t="s">
        <v>94</v>
      </c>
      <c r="B67" s="5">
        <f>32572</f>
        <v>32572</v>
      </c>
      <c r="C67" s="5">
        <f>26378</f>
        <v>26378</v>
      </c>
      <c r="D67" s="5">
        <f t="shared" si="2"/>
        <v>6194</v>
      </c>
      <c r="E67" s="6">
        <f t="shared" si="3"/>
        <v>0.2348168928652665</v>
      </c>
    </row>
    <row r="68" spans="1:5" x14ac:dyDescent="0.25">
      <c r="A68" s="3" t="s">
        <v>95</v>
      </c>
      <c r="B68" s="9">
        <f>(B66)+(B67)</f>
        <v>32572</v>
      </c>
      <c r="C68" s="9">
        <f>(C66)+(C67)</f>
        <v>26378</v>
      </c>
      <c r="D68" s="9">
        <f t="shared" si="2"/>
        <v>6194</v>
      </c>
      <c r="E68" s="10">
        <f t="shared" si="3"/>
        <v>0.2348168928652665</v>
      </c>
    </row>
    <row r="69" spans="1:5" x14ac:dyDescent="0.25">
      <c r="A69" s="3" t="s">
        <v>96</v>
      </c>
      <c r="B69" s="5">
        <f>250</f>
        <v>250</v>
      </c>
      <c r="C69" s="5">
        <f>528.95</f>
        <v>528.95000000000005</v>
      </c>
      <c r="D69" s="5">
        <f t="shared" si="2"/>
        <v>-278.95000000000005</v>
      </c>
      <c r="E69" s="6">
        <f t="shared" si="3"/>
        <v>-0.52736553549484833</v>
      </c>
    </row>
    <row r="70" spans="1:5" x14ac:dyDescent="0.25">
      <c r="A70" s="3" t="s">
        <v>97</v>
      </c>
      <c r="B70" s="5">
        <f>237.47</f>
        <v>237.47</v>
      </c>
      <c r="C70" s="5">
        <f>316.57</f>
        <v>316.57</v>
      </c>
      <c r="D70" s="5">
        <f t="shared" si="2"/>
        <v>-79.099999999999994</v>
      </c>
      <c r="E70" s="6">
        <f t="shared" si="3"/>
        <v>-0.24986574849164481</v>
      </c>
    </row>
    <row r="71" spans="1:5" x14ac:dyDescent="0.25">
      <c r="A71" s="3" t="s">
        <v>98</v>
      </c>
      <c r="B71" s="5">
        <f>1970.5</f>
        <v>1970.5</v>
      </c>
      <c r="C71" s="5">
        <f>3068.9</f>
        <v>3068.9</v>
      </c>
      <c r="D71" s="5">
        <f t="shared" si="2"/>
        <v>-1098.4000000000001</v>
      </c>
      <c r="E71" s="6">
        <f t="shared" si="3"/>
        <v>-0.3579132588223794</v>
      </c>
    </row>
    <row r="72" spans="1:5" x14ac:dyDescent="0.25">
      <c r="A72" s="3" t="s">
        <v>99</v>
      </c>
      <c r="B72" s="5">
        <f>1.98</f>
        <v>1.98</v>
      </c>
      <c r="C72" s="5">
        <f>228.72</f>
        <v>228.72</v>
      </c>
      <c r="D72" s="5">
        <f t="shared" si="2"/>
        <v>-226.74</v>
      </c>
      <c r="E72" s="6">
        <f t="shared" si="3"/>
        <v>-0.99134312696747118</v>
      </c>
    </row>
    <row r="73" spans="1:5" x14ac:dyDescent="0.25">
      <c r="A73" s="3" t="s">
        <v>100</v>
      </c>
      <c r="B73" s="4"/>
      <c r="C73" s="4"/>
      <c r="D73" s="5">
        <f t="shared" si="2"/>
        <v>0</v>
      </c>
      <c r="E73" s="6" t="str">
        <f t="shared" si="3"/>
        <v/>
      </c>
    </row>
    <row r="74" spans="1:5" x14ac:dyDescent="0.25">
      <c r="A74" s="3" t="s">
        <v>180</v>
      </c>
      <c r="B74" s="4"/>
      <c r="C74" s="5">
        <f>1600</f>
        <v>1600</v>
      </c>
      <c r="D74" s="5">
        <f t="shared" si="2"/>
        <v>-1600</v>
      </c>
      <c r="E74" s="6">
        <f t="shared" si="3"/>
        <v>-1</v>
      </c>
    </row>
    <row r="75" spans="1:5" x14ac:dyDescent="0.25">
      <c r="A75" s="3" t="s">
        <v>103</v>
      </c>
      <c r="B75" s="9">
        <f>(B73)+(B74)</f>
        <v>0</v>
      </c>
      <c r="C75" s="9">
        <f>(C73)+(C74)</f>
        <v>1600</v>
      </c>
      <c r="D75" s="9">
        <f t="shared" si="2"/>
        <v>-1600</v>
      </c>
      <c r="E75" s="10">
        <f t="shared" si="3"/>
        <v>-1</v>
      </c>
    </row>
    <row r="76" spans="1:5" x14ac:dyDescent="0.25">
      <c r="A76" s="3" t="s">
        <v>104</v>
      </c>
      <c r="B76" s="4"/>
      <c r="C76" s="4"/>
      <c r="D76" s="5">
        <f t="shared" si="2"/>
        <v>0</v>
      </c>
      <c r="E76" s="6" t="str">
        <f t="shared" si="3"/>
        <v/>
      </c>
    </row>
    <row r="77" spans="1:5" x14ac:dyDescent="0.25">
      <c r="A77" s="3" t="s">
        <v>105</v>
      </c>
      <c r="B77" s="5">
        <f>1267.67</f>
        <v>1267.67</v>
      </c>
      <c r="C77" s="5">
        <f>2250</f>
        <v>2250</v>
      </c>
      <c r="D77" s="5">
        <f t="shared" si="2"/>
        <v>-982.32999999999993</v>
      </c>
      <c r="E77" s="6">
        <f t="shared" si="3"/>
        <v>-0.4365911111111111</v>
      </c>
    </row>
    <row r="78" spans="1:5" x14ac:dyDescent="0.25">
      <c r="A78" s="3" t="s">
        <v>106</v>
      </c>
      <c r="B78" s="9">
        <f>(B76)+(B77)</f>
        <v>1267.67</v>
      </c>
      <c r="C78" s="9">
        <f>(C76)+(C77)</f>
        <v>2250</v>
      </c>
      <c r="D78" s="9">
        <f t="shared" si="2"/>
        <v>-982.32999999999993</v>
      </c>
      <c r="E78" s="10">
        <f t="shared" si="3"/>
        <v>-0.4365911111111111</v>
      </c>
    </row>
    <row r="79" spans="1:5" x14ac:dyDescent="0.25">
      <c r="A79" s="3" t="s">
        <v>107</v>
      </c>
      <c r="B79" s="4"/>
      <c r="C79" s="4"/>
      <c r="D79" s="5">
        <f t="shared" si="2"/>
        <v>0</v>
      </c>
      <c r="E79" s="6" t="str">
        <f t="shared" si="3"/>
        <v/>
      </c>
    </row>
    <row r="80" spans="1:5" x14ac:dyDescent="0.25">
      <c r="A80" s="3" t="s">
        <v>108</v>
      </c>
      <c r="B80" s="5">
        <f>7246.5</f>
        <v>7246.5</v>
      </c>
      <c r="C80" s="5">
        <f>12351.38</f>
        <v>12351.38</v>
      </c>
      <c r="D80" s="5">
        <f t="shared" si="2"/>
        <v>-5104.8799999999992</v>
      </c>
      <c r="E80" s="6">
        <f t="shared" si="3"/>
        <v>-0.41330442428295455</v>
      </c>
    </row>
    <row r="81" spans="1:5" x14ac:dyDescent="0.25">
      <c r="A81" s="3" t="s">
        <v>109</v>
      </c>
      <c r="B81" s="5">
        <f>7275.78</f>
        <v>7275.78</v>
      </c>
      <c r="C81" s="5">
        <f>5278.85</f>
        <v>5278.85</v>
      </c>
      <c r="D81" s="5">
        <f t="shared" si="2"/>
        <v>1996.9299999999994</v>
      </c>
      <c r="E81" s="6">
        <f t="shared" si="3"/>
        <v>0.37828883184784551</v>
      </c>
    </row>
    <row r="82" spans="1:5" x14ac:dyDescent="0.25">
      <c r="A82" s="3" t="s">
        <v>110</v>
      </c>
      <c r="B82" s="5">
        <f>69.36</f>
        <v>69.36</v>
      </c>
      <c r="C82" s="5">
        <f>69.36</f>
        <v>69.36</v>
      </c>
      <c r="D82" s="5">
        <f t="shared" si="2"/>
        <v>0</v>
      </c>
      <c r="E82" s="6">
        <f t="shared" si="3"/>
        <v>0</v>
      </c>
    </row>
    <row r="83" spans="1:5" x14ac:dyDescent="0.25">
      <c r="A83" s="3" t="s">
        <v>111</v>
      </c>
      <c r="B83" s="9">
        <f>(((B79)+(B80))+(B81))+(B82)</f>
        <v>14591.64</v>
      </c>
      <c r="C83" s="9">
        <f>(((C79)+(C80))+(C81))+(C82)</f>
        <v>17699.59</v>
      </c>
      <c r="D83" s="9">
        <f t="shared" si="2"/>
        <v>-3107.9500000000007</v>
      </c>
      <c r="E83" s="10">
        <f t="shared" si="3"/>
        <v>-0.17559446292258751</v>
      </c>
    </row>
    <row r="84" spans="1:5" x14ac:dyDescent="0.25">
      <c r="A84" s="3" t="s">
        <v>112</v>
      </c>
      <c r="B84" s="4"/>
      <c r="C84" s="4"/>
      <c r="D84" s="5">
        <f t="shared" si="2"/>
        <v>0</v>
      </c>
      <c r="E84" s="6" t="str">
        <f t="shared" si="3"/>
        <v/>
      </c>
    </row>
    <row r="85" spans="1:5" x14ac:dyDescent="0.25">
      <c r="A85" s="3" t="s">
        <v>114</v>
      </c>
      <c r="B85" s="5">
        <f>538.37</f>
        <v>538.37</v>
      </c>
      <c r="C85" s="5">
        <f>718.39</f>
        <v>718.39</v>
      </c>
      <c r="D85" s="5">
        <f t="shared" si="2"/>
        <v>-180.01999999999998</v>
      </c>
      <c r="E85" s="6">
        <f t="shared" si="3"/>
        <v>-0.25058812065869512</v>
      </c>
    </row>
    <row r="86" spans="1:5" x14ac:dyDescent="0.25">
      <c r="A86" s="3" t="s">
        <v>115</v>
      </c>
      <c r="B86" s="5">
        <f>1539.9</f>
        <v>1539.9</v>
      </c>
      <c r="C86" s="5">
        <f>492.26</f>
        <v>492.26</v>
      </c>
      <c r="D86" s="5">
        <f t="shared" si="2"/>
        <v>1047.6400000000001</v>
      </c>
      <c r="E86" s="6">
        <f t="shared" si="3"/>
        <v>2.1282249217892986</v>
      </c>
    </row>
    <row r="87" spans="1:5" x14ac:dyDescent="0.25">
      <c r="A87" s="3" t="s">
        <v>116</v>
      </c>
      <c r="B87" s="9">
        <f>((B84)+(B85))+(B86)</f>
        <v>2078.27</v>
      </c>
      <c r="C87" s="9">
        <f>((C84)+(C85))+(C86)</f>
        <v>1210.6500000000001</v>
      </c>
      <c r="D87" s="9">
        <f t="shared" si="2"/>
        <v>867.61999999999989</v>
      </c>
      <c r="E87" s="10">
        <f t="shared" si="3"/>
        <v>0.71665634163465897</v>
      </c>
    </row>
    <row r="88" spans="1:5" x14ac:dyDescent="0.25">
      <c r="A88" s="3" t="s">
        <v>117</v>
      </c>
      <c r="B88" s="5">
        <f>1052</f>
        <v>1052</v>
      </c>
      <c r="C88" s="5">
        <f>890</f>
        <v>890</v>
      </c>
      <c r="D88" s="5">
        <f t="shared" si="2"/>
        <v>162</v>
      </c>
      <c r="E88" s="6">
        <f t="shared" si="3"/>
        <v>0.18202247191011237</v>
      </c>
    </row>
    <row r="89" spans="1:5" x14ac:dyDescent="0.25">
      <c r="A89" s="3" t="s">
        <v>118</v>
      </c>
      <c r="B89" s="4"/>
      <c r="C89" s="4"/>
      <c r="D89" s="5">
        <f t="shared" si="2"/>
        <v>0</v>
      </c>
      <c r="E89" s="6" t="str">
        <f t="shared" si="3"/>
        <v/>
      </c>
    </row>
    <row r="90" spans="1:5" x14ac:dyDescent="0.25">
      <c r="A90" s="3" t="s">
        <v>119</v>
      </c>
      <c r="B90" s="5">
        <f>87.13</f>
        <v>87.13</v>
      </c>
      <c r="C90" s="4"/>
      <c r="D90" s="5">
        <f t="shared" si="2"/>
        <v>87.13</v>
      </c>
      <c r="E90" s="6" t="str">
        <f t="shared" si="3"/>
        <v/>
      </c>
    </row>
    <row r="91" spans="1:5" x14ac:dyDescent="0.25">
      <c r="A91" s="3" t="s">
        <v>120</v>
      </c>
      <c r="B91" s="5">
        <f>159.15</f>
        <v>159.15</v>
      </c>
      <c r="C91" s="4"/>
      <c r="D91" s="5">
        <f t="shared" si="2"/>
        <v>159.15</v>
      </c>
      <c r="E91" s="6" t="str">
        <f t="shared" si="3"/>
        <v/>
      </c>
    </row>
    <row r="92" spans="1:5" x14ac:dyDescent="0.25">
      <c r="A92" s="3" t="s">
        <v>121</v>
      </c>
      <c r="B92" s="9">
        <f>((B89)+(B90))+(B91)</f>
        <v>246.28</v>
      </c>
      <c r="C92" s="9">
        <f>((C89)+(C90))+(C91)</f>
        <v>0</v>
      </c>
      <c r="D92" s="9">
        <f t="shared" si="2"/>
        <v>246.28</v>
      </c>
      <c r="E92" s="10" t="str">
        <f t="shared" si="3"/>
        <v/>
      </c>
    </row>
    <row r="93" spans="1:5" x14ac:dyDescent="0.25">
      <c r="A93" s="3" t="s">
        <v>122</v>
      </c>
      <c r="B93" s="5">
        <f>655.45</f>
        <v>655.45</v>
      </c>
      <c r="C93" s="5">
        <f>35.96</f>
        <v>35.96</v>
      </c>
      <c r="D93" s="5">
        <f t="shared" si="2"/>
        <v>619.49</v>
      </c>
      <c r="E93" s="6">
        <f t="shared" si="3"/>
        <v>17.227196885428253</v>
      </c>
    </row>
    <row r="94" spans="1:5" x14ac:dyDescent="0.25">
      <c r="A94" s="3" t="s">
        <v>124</v>
      </c>
      <c r="B94" s="4"/>
      <c r="C94" s="4"/>
      <c r="D94" s="5">
        <f t="shared" si="2"/>
        <v>0</v>
      </c>
      <c r="E94" s="6" t="str">
        <f t="shared" si="3"/>
        <v/>
      </c>
    </row>
    <row r="95" spans="1:5" x14ac:dyDescent="0.25">
      <c r="A95" s="3" t="s">
        <v>125</v>
      </c>
      <c r="B95" s="5">
        <f>48744.02</f>
        <v>48744.02</v>
      </c>
      <c r="C95" s="5">
        <f>50555.03</f>
        <v>50555.03</v>
      </c>
      <c r="D95" s="5">
        <f t="shared" si="2"/>
        <v>-1811.010000000002</v>
      </c>
      <c r="E95" s="6">
        <f t="shared" si="3"/>
        <v>-3.5822548221215618E-2</v>
      </c>
    </row>
    <row r="96" spans="1:5" x14ac:dyDescent="0.25">
      <c r="A96" s="3" t="s">
        <v>127</v>
      </c>
      <c r="B96" s="5">
        <f>4439.68</f>
        <v>4439.68</v>
      </c>
      <c r="C96" s="5">
        <f>4788.5</f>
        <v>4788.5</v>
      </c>
      <c r="D96" s="5">
        <f t="shared" si="2"/>
        <v>-348.81999999999971</v>
      </c>
      <c r="E96" s="6">
        <f t="shared" si="3"/>
        <v>-7.2845358671817836E-2</v>
      </c>
    </row>
    <row r="97" spans="1:5" x14ac:dyDescent="0.25">
      <c r="A97" s="3" t="s">
        <v>128</v>
      </c>
      <c r="B97" s="5">
        <f>1339.08</f>
        <v>1339.08</v>
      </c>
      <c r="C97" s="5">
        <f>2331.84</f>
        <v>2331.84</v>
      </c>
      <c r="D97" s="5">
        <f t="shared" si="2"/>
        <v>-992.76000000000022</v>
      </c>
      <c r="E97" s="6">
        <f t="shared" si="3"/>
        <v>-0.42574104569781812</v>
      </c>
    </row>
    <row r="98" spans="1:5" x14ac:dyDescent="0.25">
      <c r="A98" s="3" t="s">
        <v>129</v>
      </c>
      <c r="B98" s="5">
        <f>18808.8</f>
        <v>18808.8</v>
      </c>
      <c r="C98" s="5">
        <f>18623.6</f>
        <v>18623.599999999999</v>
      </c>
      <c r="D98" s="5">
        <f t="shared" si="2"/>
        <v>185.20000000000073</v>
      </c>
      <c r="E98" s="6">
        <f t="shared" si="3"/>
        <v>9.9443716574669095E-3</v>
      </c>
    </row>
    <row r="99" spans="1:5" x14ac:dyDescent="0.25">
      <c r="A99" s="3" t="s">
        <v>130</v>
      </c>
      <c r="B99" s="9">
        <f>((((B94)+(B95))+(B96))+(B97))+(B98)</f>
        <v>73331.58</v>
      </c>
      <c r="C99" s="9">
        <f>((((C94)+(C95))+(C96))+(C97))+(C98)</f>
        <v>76298.97</v>
      </c>
      <c r="D99" s="9">
        <f t="shared" si="2"/>
        <v>-2967.3899999999994</v>
      </c>
      <c r="E99" s="10">
        <f t="shared" si="3"/>
        <v>-3.8891612822558409E-2</v>
      </c>
    </row>
    <row r="100" spans="1:5" x14ac:dyDescent="0.25">
      <c r="A100" s="3" t="s">
        <v>131</v>
      </c>
      <c r="B100" s="4"/>
      <c r="C100" s="4"/>
      <c r="D100" s="5">
        <f t="shared" si="2"/>
        <v>0</v>
      </c>
      <c r="E100" s="6" t="str">
        <f t="shared" si="3"/>
        <v/>
      </c>
    </row>
    <row r="101" spans="1:5" x14ac:dyDescent="0.25">
      <c r="A101" s="3" t="s">
        <v>132</v>
      </c>
      <c r="B101" s="5">
        <f>10000</f>
        <v>10000</v>
      </c>
      <c r="C101" s="4"/>
      <c r="D101" s="5">
        <f t="shared" si="2"/>
        <v>10000</v>
      </c>
      <c r="E101" s="6" t="str">
        <f t="shared" si="3"/>
        <v/>
      </c>
    </row>
    <row r="102" spans="1:5" x14ac:dyDescent="0.25">
      <c r="A102" s="3" t="s">
        <v>134</v>
      </c>
      <c r="B102" s="9">
        <f>(B100)+(B101)</f>
        <v>10000</v>
      </c>
      <c r="C102" s="9">
        <f>(C100)+(C101)</f>
        <v>0</v>
      </c>
      <c r="D102" s="9">
        <f t="shared" si="2"/>
        <v>10000</v>
      </c>
      <c r="E102" s="10" t="str">
        <f t="shared" si="3"/>
        <v/>
      </c>
    </row>
    <row r="103" spans="1:5" x14ac:dyDescent="0.25">
      <c r="A103" s="3" t="s">
        <v>136</v>
      </c>
      <c r="B103" s="4"/>
      <c r="C103" s="4"/>
      <c r="D103" s="5">
        <f t="shared" si="2"/>
        <v>0</v>
      </c>
      <c r="E103" s="6" t="str">
        <f t="shared" si="3"/>
        <v/>
      </c>
    </row>
    <row r="104" spans="1:5" x14ac:dyDescent="0.25">
      <c r="A104" s="3" t="s">
        <v>137</v>
      </c>
      <c r="B104" s="4"/>
      <c r="C104" s="5">
        <f>39.5</f>
        <v>39.5</v>
      </c>
      <c r="D104" s="5">
        <f t="shared" si="2"/>
        <v>-39.5</v>
      </c>
      <c r="E104" s="6">
        <f t="shared" si="3"/>
        <v>-1</v>
      </c>
    </row>
    <row r="105" spans="1:5" x14ac:dyDescent="0.25">
      <c r="A105" s="3" t="s">
        <v>138</v>
      </c>
      <c r="B105" s="5">
        <f>429.24</f>
        <v>429.24</v>
      </c>
      <c r="C105" s="5">
        <f>468.74</f>
        <v>468.74</v>
      </c>
      <c r="D105" s="5">
        <f t="shared" si="2"/>
        <v>-39.5</v>
      </c>
      <c r="E105" s="6">
        <f t="shared" si="3"/>
        <v>-8.4268464393907075E-2</v>
      </c>
    </row>
    <row r="106" spans="1:5" x14ac:dyDescent="0.25">
      <c r="A106" s="3" t="s">
        <v>139</v>
      </c>
      <c r="B106" s="5">
        <f>568.26</f>
        <v>568.26</v>
      </c>
      <c r="C106" s="5">
        <f>487.34</f>
        <v>487.34</v>
      </c>
      <c r="D106" s="5">
        <f t="shared" si="2"/>
        <v>80.920000000000016</v>
      </c>
      <c r="E106" s="6">
        <f t="shared" si="3"/>
        <v>0.16604424016087335</v>
      </c>
    </row>
    <row r="107" spans="1:5" x14ac:dyDescent="0.25">
      <c r="A107" s="3" t="s">
        <v>140</v>
      </c>
      <c r="B107" s="5">
        <f>0</f>
        <v>0</v>
      </c>
      <c r="C107" s="4"/>
      <c r="D107" s="5">
        <f t="shared" si="2"/>
        <v>0</v>
      </c>
      <c r="E107" s="6" t="str">
        <f t="shared" si="3"/>
        <v/>
      </c>
    </row>
    <row r="108" spans="1:5" x14ac:dyDescent="0.25">
      <c r="A108" s="3" t="s">
        <v>142</v>
      </c>
      <c r="B108" s="5">
        <f>198.9</f>
        <v>198.9</v>
      </c>
      <c r="C108" s="5">
        <f>194.98</f>
        <v>194.98</v>
      </c>
      <c r="D108" s="5">
        <f t="shared" si="2"/>
        <v>3.9200000000000159</v>
      </c>
      <c r="E108" s="6">
        <f t="shared" si="3"/>
        <v>2.0104626115499107E-2</v>
      </c>
    </row>
    <row r="109" spans="1:5" x14ac:dyDescent="0.25">
      <c r="A109" s="3" t="s">
        <v>143</v>
      </c>
      <c r="B109" s="9">
        <f>(((((B103)+(B104))+(B105))+(B106))+(B107))+(B108)</f>
        <v>1196.4000000000001</v>
      </c>
      <c r="C109" s="9">
        <f>(((((C103)+(C104))+(C105))+(C106))+(C107))+(C108)</f>
        <v>1190.56</v>
      </c>
      <c r="D109" s="9">
        <f t="shared" si="2"/>
        <v>5.8400000000001455</v>
      </c>
      <c r="E109" s="10">
        <f t="shared" si="3"/>
        <v>4.9052546700713495E-3</v>
      </c>
    </row>
    <row r="110" spans="1:5" x14ac:dyDescent="0.25">
      <c r="A110" s="3" t="s">
        <v>144</v>
      </c>
      <c r="B110" s="5">
        <f>245.9</f>
        <v>245.9</v>
      </c>
      <c r="C110" s="5">
        <f>0</f>
        <v>0</v>
      </c>
      <c r="D110" s="5">
        <f t="shared" si="2"/>
        <v>245.9</v>
      </c>
      <c r="E110" s="6" t="str">
        <f t="shared" si="3"/>
        <v/>
      </c>
    </row>
    <row r="111" spans="1:5" x14ac:dyDescent="0.25">
      <c r="A111" s="3" t="s">
        <v>145</v>
      </c>
      <c r="B111" s="5">
        <f>3369.87</f>
        <v>3369.87</v>
      </c>
      <c r="C111" s="5">
        <f>2918.39</f>
        <v>2918.39</v>
      </c>
      <c r="D111" s="5">
        <f t="shared" si="2"/>
        <v>451.48</v>
      </c>
      <c r="E111" s="6">
        <f t="shared" si="3"/>
        <v>0.15470173623127823</v>
      </c>
    </row>
    <row r="112" spans="1:5" x14ac:dyDescent="0.25">
      <c r="A112" s="3" t="s">
        <v>146</v>
      </c>
      <c r="B112" s="5">
        <f>1181.88</f>
        <v>1181.8800000000001</v>
      </c>
      <c r="C112" s="5">
        <f>1191.24</f>
        <v>1191.24</v>
      </c>
      <c r="D112" s="5">
        <f t="shared" si="2"/>
        <v>-9.3599999999999</v>
      </c>
      <c r="E112" s="6">
        <f t="shared" si="3"/>
        <v>-7.8573587186460334E-3</v>
      </c>
    </row>
    <row r="113" spans="1:5" x14ac:dyDescent="0.25">
      <c r="A113" s="3" t="s">
        <v>147</v>
      </c>
      <c r="B113" s="4"/>
      <c r="C113" s="4"/>
      <c r="D113" s="5">
        <f t="shared" si="2"/>
        <v>0</v>
      </c>
      <c r="E113" s="6" t="str">
        <f t="shared" si="3"/>
        <v/>
      </c>
    </row>
    <row r="114" spans="1:5" x14ac:dyDescent="0.25">
      <c r="A114" s="3" t="s">
        <v>148</v>
      </c>
      <c r="B114" s="5">
        <f>10</f>
        <v>10</v>
      </c>
      <c r="C114" s="5">
        <f>10</f>
        <v>10</v>
      </c>
      <c r="D114" s="5">
        <f t="shared" si="2"/>
        <v>0</v>
      </c>
      <c r="E114" s="6">
        <f t="shared" si="3"/>
        <v>0</v>
      </c>
    </row>
    <row r="115" spans="1:5" x14ac:dyDescent="0.25">
      <c r="A115" s="3" t="s">
        <v>149</v>
      </c>
      <c r="B115" s="5">
        <f>1200</f>
        <v>1200</v>
      </c>
      <c r="C115" s="5">
        <f>1200</f>
        <v>1200</v>
      </c>
      <c r="D115" s="5">
        <f t="shared" si="2"/>
        <v>0</v>
      </c>
      <c r="E115" s="6">
        <f t="shared" si="3"/>
        <v>0</v>
      </c>
    </row>
    <row r="116" spans="1:5" x14ac:dyDescent="0.25">
      <c r="A116" s="3" t="s">
        <v>150</v>
      </c>
      <c r="B116" s="9">
        <f>((B113)+(B114))+(B115)</f>
        <v>1210</v>
      </c>
      <c r="C116" s="9">
        <f>((C113)+(C114))+(C115)</f>
        <v>1210</v>
      </c>
      <c r="D116" s="9">
        <f t="shared" si="2"/>
        <v>0</v>
      </c>
      <c r="E116" s="10">
        <f t="shared" si="3"/>
        <v>0</v>
      </c>
    </row>
    <row r="117" spans="1:5" x14ac:dyDescent="0.25">
      <c r="A117" s="3" t="s">
        <v>151</v>
      </c>
      <c r="B117" s="5">
        <f>465.18</f>
        <v>465.18</v>
      </c>
      <c r="C117" s="5">
        <f>491.81</f>
        <v>491.81</v>
      </c>
      <c r="D117" s="5">
        <f t="shared" si="2"/>
        <v>-26.629999999999995</v>
      </c>
      <c r="E117" s="6">
        <f t="shared" si="3"/>
        <v>-5.4146926658668985E-2</v>
      </c>
    </row>
    <row r="118" spans="1:5" x14ac:dyDescent="0.25">
      <c r="A118" s="3" t="s">
        <v>152</v>
      </c>
      <c r="B118" s="5">
        <f>13.49</f>
        <v>13.49</v>
      </c>
      <c r="C118" s="4"/>
      <c r="D118" s="5">
        <f t="shared" si="2"/>
        <v>13.49</v>
      </c>
      <c r="E118" s="6" t="str">
        <f t="shared" si="3"/>
        <v/>
      </c>
    </row>
    <row r="119" spans="1:5" x14ac:dyDescent="0.25">
      <c r="A119" s="3" t="s">
        <v>153</v>
      </c>
      <c r="B119" s="5">
        <f>29.91</f>
        <v>29.91</v>
      </c>
      <c r="C119" s="5">
        <f>44.37</f>
        <v>44.37</v>
      </c>
      <c r="D119" s="5">
        <f t="shared" si="2"/>
        <v>-14.459999999999997</v>
      </c>
      <c r="E119" s="6">
        <f t="shared" si="3"/>
        <v>-0.32589587559161592</v>
      </c>
    </row>
    <row r="120" spans="1:5" x14ac:dyDescent="0.25">
      <c r="A120" s="3" t="s">
        <v>154</v>
      </c>
      <c r="B120" s="9">
        <f>((B117)+(B118))+(B119)</f>
        <v>508.58000000000004</v>
      </c>
      <c r="C120" s="9">
        <f>((C117)+(C118))+(C119)</f>
        <v>536.17999999999995</v>
      </c>
      <c r="D120" s="9">
        <f t="shared" si="2"/>
        <v>-27.599999999999909</v>
      </c>
      <c r="E120" s="10">
        <f t="shared" si="3"/>
        <v>-5.1475250848595458E-2</v>
      </c>
    </row>
    <row r="121" spans="1:5" x14ac:dyDescent="0.25">
      <c r="A121" s="3" t="s">
        <v>155</v>
      </c>
      <c r="B121" s="5">
        <f>24</f>
        <v>24</v>
      </c>
      <c r="C121" s="5">
        <f>14</f>
        <v>14</v>
      </c>
      <c r="D121" s="5">
        <f t="shared" si="2"/>
        <v>10</v>
      </c>
      <c r="E121" s="6">
        <f t="shared" si="3"/>
        <v>0.7142857142857143</v>
      </c>
    </row>
    <row r="122" spans="1:5" x14ac:dyDescent="0.25">
      <c r="A122" s="3" t="s">
        <v>156</v>
      </c>
      <c r="B122" s="5">
        <f>100</f>
        <v>100</v>
      </c>
      <c r="C122" s="4"/>
      <c r="D122" s="5">
        <f t="shared" si="2"/>
        <v>100</v>
      </c>
      <c r="E122" s="6" t="str">
        <f t="shared" si="3"/>
        <v/>
      </c>
    </row>
    <row r="123" spans="1:5" x14ac:dyDescent="0.25">
      <c r="A123" s="3" t="s">
        <v>158</v>
      </c>
      <c r="B123" s="4"/>
      <c r="C123" s="4"/>
      <c r="D123" s="5">
        <f t="shared" si="2"/>
        <v>0</v>
      </c>
      <c r="E123" s="6" t="str">
        <f t="shared" si="3"/>
        <v/>
      </c>
    </row>
    <row r="124" spans="1:5" x14ac:dyDescent="0.25">
      <c r="A124" s="3" t="s">
        <v>159</v>
      </c>
      <c r="B124" s="5">
        <f>100</f>
        <v>100</v>
      </c>
      <c r="C124" s="4"/>
      <c r="D124" s="5">
        <f t="shared" si="2"/>
        <v>100</v>
      </c>
      <c r="E124" s="6" t="str">
        <f t="shared" si="3"/>
        <v/>
      </c>
    </row>
    <row r="125" spans="1:5" x14ac:dyDescent="0.25">
      <c r="A125" s="3" t="s">
        <v>160</v>
      </c>
      <c r="B125" s="9">
        <f>(B123)+(B124)</f>
        <v>100</v>
      </c>
      <c r="C125" s="9">
        <f>(C123)+(C124)</f>
        <v>0</v>
      </c>
      <c r="D125" s="9">
        <f t="shared" si="2"/>
        <v>100</v>
      </c>
      <c r="E125" s="10" t="str">
        <f t="shared" si="3"/>
        <v/>
      </c>
    </row>
    <row r="126" spans="1:5" x14ac:dyDescent="0.25">
      <c r="A126" s="3" t="s">
        <v>161</v>
      </c>
      <c r="B126" s="5">
        <f>90.1</f>
        <v>90.1</v>
      </c>
      <c r="C126" s="5">
        <f>155.35</f>
        <v>155.35</v>
      </c>
      <c r="D126" s="5">
        <f t="shared" si="2"/>
        <v>-65.25</v>
      </c>
      <c r="E126" s="6">
        <f t="shared" si="3"/>
        <v>-0.42001931123270037</v>
      </c>
    </row>
    <row r="127" spans="1:5" x14ac:dyDescent="0.25">
      <c r="A127" s="3" t="s">
        <v>162</v>
      </c>
      <c r="B127" s="4"/>
      <c r="C127" s="4"/>
      <c r="D127" s="5">
        <f t="shared" si="2"/>
        <v>0</v>
      </c>
      <c r="E127" s="6" t="str">
        <f t="shared" si="3"/>
        <v/>
      </c>
    </row>
    <row r="128" spans="1:5" x14ac:dyDescent="0.25">
      <c r="A128" s="3" t="s">
        <v>163</v>
      </c>
      <c r="B128" s="4"/>
      <c r="C128" s="5">
        <f>163.26</f>
        <v>163.26</v>
      </c>
      <c r="D128" s="5">
        <f t="shared" si="2"/>
        <v>-163.26</v>
      </c>
      <c r="E128" s="6">
        <f t="shared" si="3"/>
        <v>-1</v>
      </c>
    </row>
    <row r="129" spans="1:5" x14ac:dyDescent="0.25">
      <c r="A129" s="3" t="s">
        <v>164</v>
      </c>
      <c r="B129" s="5">
        <f>993.26</f>
        <v>993.26</v>
      </c>
      <c r="C129" s="5">
        <f>2408.89</f>
        <v>2408.89</v>
      </c>
      <c r="D129" s="5">
        <f t="shared" si="2"/>
        <v>-1415.6299999999999</v>
      </c>
      <c r="E129" s="6">
        <f t="shared" si="3"/>
        <v>-0.58766900937776323</v>
      </c>
    </row>
    <row r="130" spans="1:5" x14ac:dyDescent="0.25">
      <c r="A130" s="3" t="s">
        <v>165</v>
      </c>
      <c r="B130" s="9">
        <f>((B127)+(B128))+(B129)</f>
        <v>993.26</v>
      </c>
      <c r="C130" s="9">
        <f>((C127)+(C128))+(C129)</f>
        <v>2572.1499999999996</v>
      </c>
      <c r="D130" s="9">
        <f t="shared" ref="D130:D132" si="4">(B130)-(C130)</f>
        <v>-1578.8899999999996</v>
      </c>
      <c r="E130" s="10">
        <f t="shared" ref="E130:E141" si="5">IF(ABS((C130))=0,"",((B130)-(C130))/(ABS((C130))))</f>
        <v>-0.61384056139805221</v>
      </c>
    </row>
    <row r="131" spans="1:5" x14ac:dyDescent="0.25">
      <c r="A131" s="3" t="s">
        <v>166</v>
      </c>
      <c r="B131" s="9">
        <f>((((((((((((((((((((((((B68)+(B69))+(B70))+(B71))+(B72))+(B75))+(B78))+(B83))+(B87))+(B88))+(B92))+(B93))+(B99))+(B102))+(B109))+(B110))+(B111))+(B112))+(B116))+(B120))+(B121))+(B122))+(B125))+(B126))+(B130)</f>
        <v>147274.82999999999</v>
      </c>
      <c r="C131" s="9">
        <f>((((((((((((((((((((((((C68)+(C69))+(C70))+(C71))+(C72))+(C75))+(C78))+(C83))+(C87))+(C88))+(C92))+(C93))+(C99))+(C102))+(C109))+(C110))+(C111))+(C112))+(C116))+(C120))+(C121))+(C122))+(C125))+(C126))+(C130)</f>
        <v>140294.18</v>
      </c>
      <c r="D131" s="9">
        <f t="shared" si="4"/>
        <v>6980.6499999999942</v>
      </c>
      <c r="E131" s="10">
        <f t="shared" si="5"/>
        <v>4.9757231554437925E-2</v>
      </c>
    </row>
    <row r="132" spans="1:5" x14ac:dyDescent="0.25">
      <c r="A132" s="3" t="s">
        <v>167</v>
      </c>
      <c r="B132" s="9">
        <f>(B64)-(B131)</f>
        <v>-10074.049999999988</v>
      </c>
      <c r="C132" s="9">
        <f>(C64)-(C131)</f>
        <v>19805.060000000027</v>
      </c>
      <c r="D132" s="9">
        <f t="shared" si="4"/>
        <v>-29879.110000000015</v>
      </c>
      <c r="E132" s="10">
        <f t="shared" si="5"/>
        <v>-1.5086604130459578</v>
      </c>
    </row>
    <row r="133" spans="1:5" x14ac:dyDescent="0.25">
      <c r="A133" s="3" t="s">
        <v>181</v>
      </c>
      <c r="B133" s="4"/>
      <c r="C133" s="4"/>
      <c r="D133" s="4"/>
      <c r="E133" s="4"/>
    </row>
    <row r="134" spans="1:5" x14ac:dyDescent="0.25">
      <c r="A134" s="3" t="s">
        <v>182</v>
      </c>
      <c r="B134" s="4"/>
      <c r="C134" s="5">
        <f>0</f>
        <v>0</v>
      </c>
      <c r="D134" s="5">
        <f>(B134)-(C134)</f>
        <v>0</v>
      </c>
      <c r="E134" s="6" t="str">
        <f>IF(ABS((C134))=0,"",((B134)-(C134))/(ABS((C134))))</f>
        <v/>
      </c>
    </row>
    <row r="135" spans="1:5" x14ac:dyDescent="0.25">
      <c r="A135" s="3" t="s">
        <v>183</v>
      </c>
      <c r="B135" s="9">
        <f>B134</f>
        <v>0</v>
      </c>
      <c r="C135" s="9">
        <f>C134</f>
        <v>0</v>
      </c>
      <c r="D135" s="9">
        <f>(B135)-(C135)</f>
        <v>0</v>
      </c>
      <c r="E135" s="10" t="str">
        <f>IF(ABS((C135))=0,"",((B135)-(C135))/(ABS((C135))))</f>
        <v/>
      </c>
    </row>
    <row r="136" spans="1:5" x14ac:dyDescent="0.25">
      <c r="A136" s="3" t="s">
        <v>184</v>
      </c>
      <c r="B136" s="9">
        <f>(0)-(B135)</f>
        <v>0</v>
      </c>
      <c r="C136" s="9">
        <f>(0)-(C135)</f>
        <v>0</v>
      </c>
      <c r="D136" s="9">
        <f>(B136)-(C136)</f>
        <v>0</v>
      </c>
      <c r="E136" s="10" t="str">
        <f>IF(ABS((C136))=0,"",((B136)-(C136))/(ABS((C136))))</f>
        <v/>
      </c>
    </row>
    <row r="137" spans="1:5" x14ac:dyDescent="0.25">
      <c r="A137" s="3" t="s">
        <v>168</v>
      </c>
      <c r="B137" s="9">
        <f>(B132)+(B136)</f>
        <v>-10074.049999999988</v>
      </c>
      <c r="C137" s="9">
        <f>(C132)+(C136)</f>
        <v>19805.060000000027</v>
      </c>
      <c r="D137" s="9">
        <f>(B137)-(C137)</f>
        <v>-29879.110000000015</v>
      </c>
      <c r="E137" s="10">
        <f>IF(ABS((C137))=0,"",((B137)-(C137))/(ABS((C137))))</f>
        <v>-1.5086604130459578</v>
      </c>
    </row>
    <row r="138" spans="1:5" x14ac:dyDescent="0.25">
      <c r="A138" s="3"/>
      <c r="B138" s="4"/>
      <c r="C138" s="4"/>
      <c r="D138" s="4"/>
      <c r="E138" s="4"/>
    </row>
    <row r="141" spans="1:5" x14ac:dyDescent="0.25">
      <c r="A141" s="13" t="s">
        <v>185</v>
      </c>
      <c r="B141" s="14"/>
      <c r="C141" s="14"/>
      <c r="D141" s="14"/>
      <c r="E141" s="14"/>
    </row>
  </sheetData>
  <mergeCells count="5">
    <mergeCell ref="A1:E1"/>
    <mergeCell ref="A2:E2"/>
    <mergeCell ref="A3:E3"/>
    <mergeCell ref="B5:E5"/>
    <mergeCell ref="A141:E1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05DD2-9E46-44D8-89DC-4EE2B2F3C740}">
  <sheetPr>
    <tabColor rgb="FFFF0000"/>
  </sheetPr>
  <dimension ref="A1:K54"/>
  <sheetViews>
    <sheetView topLeftCell="A9" workbookViewId="0">
      <selection activeCell="K33" sqref="I30:K33"/>
    </sheetView>
  </sheetViews>
  <sheetFormatPr defaultRowHeight="15" x14ac:dyDescent="0.25"/>
  <cols>
    <col min="1" max="1" width="30.140625" customWidth="1"/>
    <col min="2" max="5" width="18" customWidth="1"/>
    <col min="9" max="9" width="18.28515625" bestFit="1" customWidth="1"/>
    <col min="10" max="11" width="11.5703125" bestFit="1" customWidth="1"/>
  </cols>
  <sheetData>
    <row r="1" spans="1:11" ht="18" x14ac:dyDescent="0.25">
      <c r="A1" s="15" t="s">
        <v>170</v>
      </c>
      <c r="B1" s="14"/>
      <c r="C1" s="14"/>
      <c r="D1" s="14"/>
      <c r="E1" s="14"/>
    </row>
    <row r="2" spans="1:11" ht="18" x14ac:dyDescent="0.25">
      <c r="A2" s="15" t="s">
        <v>174</v>
      </c>
      <c r="B2" s="14"/>
      <c r="C2" s="14"/>
      <c r="D2" s="14"/>
      <c r="E2" s="14"/>
    </row>
    <row r="3" spans="1:11" x14ac:dyDescent="0.25">
      <c r="A3" s="16" t="s">
        <v>175</v>
      </c>
      <c r="B3" s="14"/>
      <c r="C3" s="14"/>
      <c r="D3" s="14"/>
      <c r="E3" s="14"/>
    </row>
    <row r="5" spans="1:11" x14ac:dyDescent="0.25">
      <c r="A5" s="1"/>
      <c r="B5" s="11" t="s">
        <v>0</v>
      </c>
      <c r="C5" s="12"/>
      <c r="D5" s="12"/>
      <c r="E5" s="12"/>
    </row>
    <row r="6" spans="1:11" x14ac:dyDescent="0.25">
      <c r="A6" s="1"/>
      <c r="B6" s="2" t="s">
        <v>176</v>
      </c>
      <c r="C6" s="2" t="s">
        <v>177</v>
      </c>
      <c r="D6" s="2" t="s">
        <v>178</v>
      </c>
      <c r="E6" s="2" t="s">
        <v>179</v>
      </c>
      <c r="J6">
        <v>2023</v>
      </c>
      <c r="K6">
        <v>2022</v>
      </c>
    </row>
    <row r="7" spans="1:11" x14ac:dyDescent="0.25">
      <c r="A7" s="3" t="s">
        <v>5</v>
      </c>
      <c r="B7" s="4"/>
      <c r="C7" s="4"/>
      <c r="D7" s="4"/>
      <c r="E7" s="4"/>
      <c r="I7" t="s">
        <v>351</v>
      </c>
      <c r="J7" s="21">
        <f>B11</f>
        <v>1269.48</v>
      </c>
      <c r="K7" s="21">
        <f>C11</f>
        <v>1432.89</v>
      </c>
    </row>
    <row r="8" spans="1:11" x14ac:dyDescent="0.25">
      <c r="A8" s="3" t="s">
        <v>6</v>
      </c>
      <c r="B8" s="5">
        <f>133750</f>
        <v>133750</v>
      </c>
      <c r="C8" s="5">
        <f>154900</f>
        <v>154900</v>
      </c>
      <c r="D8" s="5">
        <f>(B8)-(C8)</f>
        <v>-21150</v>
      </c>
      <c r="E8" s="6">
        <f>IF(ABS((C8))=0,"",((B8)-(C8))/(ABS((C8))))</f>
        <v>-0.13653970303421561</v>
      </c>
      <c r="I8" t="s">
        <v>352</v>
      </c>
      <c r="J8" s="21">
        <f>B9</f>
        <v>2283.44</v>
      </c>
      <c r="K8" s="21">
        <f>C9</f>
        <v>3026.01</v>
      </c>
    </row>
    <row r="9" spans="1:11" x14ac:dyDescent="0.25">
      <c r="A9" s="3" t="s">
        <v>11</v>
      </c>
      <c r="B9" s="5">
        <f>2283.44</f>
        <v>2283.44</v>
      </c>
      <c r="C9" s="5">
        <f>3026.01</f>
        <v>3026.01</v>
      </c>
      <c r="D9" s="5">
        <f>(B9)-(C9)</f>
        <v>-742.57000000000016</v>
      </c>
      <c r="E9" s="6">
        <f>IF(ABS((C9))=0,"",((B9)-(C9))/(ABS((C9))))</f>
        <v>-0.24539575216208806</v>
      </c>
      <c r="I9" t="s">
        <v>350</v>
      </c>
      <c r="J9" s="21">
        <f>B8</f>
        <v>133750</v>
      </c>
      <c r="K9" s="21">
        <f>C8</f>
        <v>154900</v>
      </c>
    </row>
    <row r="10" spans="1:11" x14ac:dyDescent="0.25">
      <c r="A10" s="3" t="s">
        <v>22</v>
      </c>
      <c r="B10" s="4"/>
      <c r="C10" s="5">
        <f>1435.91</f>
        <v>1435.91</v>
      </c>
      <c r="D10" s="5">
        <f>(B10)-(C10)</f>
        <v>-1435.91</v>
      </c>
      <c r="E10" s="6">
        <f>IF(ABS((C10))=0,"",((B10)-(C10))/(ABS((C10))))</f>
        <v>-1</v>
      </c>
    </row>
    <row r="11" spans="1:11" x14ac:dyDescent="0.25">
      <c r="A11" s="3" t="s">
        <v>23</v>
      </c>
      <c r="B11" s="5">
        <f>1269.48</f>
        <v>1269.48</v>
      </c>
      <c r="C11" s="5">
        <f>1432.89</f>
        <v>1432.89</v>
      </c>
      <c r="D11" s="5">
        <f>(B11)-(C11)</f>
        <v>-163.41000000000008</v>
      </c>
      <c r="E11" s="6">
        <f>IF(ABS((C11))=0,"",((B11)-(C11))/(ABS((C11))))</f>
        <v>-0.11404225027741144</v>
      </c>
    </row>
    <row r="12" spans="1:11" x14ac:dyDescent="0.25">
      <c r="A12" s="3" t="s">
        <v>86</v>
      </c>
      <c r="B12" s="9">
        <f>(((B8)+(B9))+(B10))+(B11)</f>
        <v>137302.92000000001</v>
      </c>
      <c r="C12" s="9">
        <f>(((C8)+(C9))+(C10))+(C11)</f>
        <v>160794.81000000003</v>
      </c>
      <c r="D12" s="9">
        <f>(B12)-(C12)</f>
        <v>-23491.890000000014</v>
      </c>
      <c r="E12" s="10">
        <f>IF(ABS((C12))=0,"",((B12)-(C12))/(ABS((C12))))</f>
        <v>-0.14609855877810987</v>
      </c>
    </row>
    <row r="13" spans="1:11" x14ac:dyDescent="0.25">
      <c r="A13" s="3" t="s">
        <v>87</v>
      </c>
      <c r="B13" s="4"/>
      <c r="C13" s="4"/>
      <c r="D13" s="4"/>
      <c r="E13" s="4"/>
    </row>
    <row r="14" spans="1:11" x14ac:dyDescent="0.25">
      <c r="A14" s="3" t="s">
        <v>88</v>
      </c>
      <c r="B14" s="5">
        <f>0</f>
        <v>0</v>
      </c>
      <c r="C14" s="5">
        <f>672.24</f>
        <v>672.24</v>
      </c>
      <c r="D14" s="5">
        <f>(B14)-(C14)</f>
        <v>-672.24</v>
      </c>
      <c r="E14" s="6">
        <f>IF(ABS((C14))=0,"",((B14)-(C14))/(ABS((C14))))</f>
        <v>-1</v>
      </c>
    </row>
    <row r="15" spans="1:11" x14ac:dyDescent="0.25">
      <c r="A15" s="3" t="s">
        <v>89</v>
      </c>
      <c r="B15" s="5">
        <f>102.14</f>
        <v>102.14</v>
      </c>
      <c r="C15" s="5">
        <f>23.33</f>
        <v>23.33</v>
      </c>
      <c r="D15" s="5">
        <f>(B15)-(C15)</f>
        <v>78.81</v>
      </c>
      <c r="E15" s="6">
        <f>IF(ABS((C15))=0,"",((B15)-(C15))/(ABS((C15))))</f>
        <v>3.3780540077153884</v>
      </c>
    </row>
    <row r="16" spans="1:11" x14ac:dyDescent="0.25">
      <c r="A16" s="3" t="s">
        <v>90</v>
      </c>
      <c r="B16" s="9">
        <f>(B14)+(B15)</f>
        <v>102.14</v>
      </c>
      <c r="C16" s="9">
        <f>(C14)+(C15)</f>
        <v>695.57</v>
      </c>
      <c r="D16" s="9">
        <f>(B16)-(C16)</f>
        <v>-593.43000000000006</v>
      </c>
      <c r="E16" s="10">
        <f>IF(ABS((C16))=0,"",((B16)-(C16))/(ABS((C16))))</f>
        <v>-0.85315640410023441</v>
      </c>
    </row>
    <row r="17" spans="1:11" x14ac:dyDescent="0.25">
      <c r="A17" s="3" t="s">
        <v>91</v>
      </c>
      <c r="B17" s="9">
        <f>(B12)-(B16)</f>
        <v>137200.78</v>
      </c>
      <c r="C17" s="9">
        <f>(C12)-(C16)</f>
        <v>160099.24000000002</v>
      </c>
      <c r="D17" s="9">
        <f>(B17)-(C17)</f>
        <v>-22898.460000000021</v>
      </c>
      <c r="E17" s="10">
        <f>IF(ABS((C17))=0,"",((B17)-(C17))/(ABS((C17))))</f>
        <v>-0.14302666271245271</v>
      </c>
    </row>
    <row r="18" spans="1:11" x14ac:dyDescent="0.25">
      <c r="A18" s="3" t="s">
        <v>92</v>
      </c>
      <c r="B18" s="4"/>
      <c r="C18" s="4"/>
      <c r="D18" s="4"/>
      <c r="E18" s="4"/>
    </row>
    <row r="19" spans="1:11" x14ac:dyDescent="0.25">
      <c r="A19" s="3" t="s">
        <v>93</v>
      </c>
      <c r="B19" s="5">
        <f>32572</f>
        <v>32572</v>
      </c>
      <c r="C19" s="5">
        <f>26378</f>
        <v>26378</v>
      </c>
      <c r="D19" s="5">
        <f t="shared" ref="D19:D45" si="0">(B19)-(C19)</f>
        <v>6194</v>
      </c>
      <c r="E19" s="6">
        <f t="shared" ref="E19:E45" si="1">IF(ABS((C19))=0,"",((B19)-(C19))/(ABS((C19))))</f>
        <v>0.2348168928652665</v>
      </c>
    </row>
    <row r="20" spans="1:11" x14ac:dyDescent="0.25">
      <c r="A20" s="3" t="s">
        <v>96</v>
      </c>
      <c r="B20" s="5">
        <f>250</f>
        <v>250</v>
      </c>
      <c r="C20" s="5">
        <f>528.95</f>
        <v>528.95000000000005</v>
      </c>
      <c r="D20" s="5">
        <f t="shared" si="0"/>
        <v>-278.95000000000005</v>
      </c>
      <c r="E20" s="6">
        <f t="shared" si="1"/>
        <v>-0.52736553549484833</v>
      </c>
    </row>
    <row r="21" spans="1:11" x14ac:dyDescent="0.25">
      <c r="A21" s="3" t="s">
        <v>97</v>
      </c>
      <c r="B21" s="5">
        <f>237.47</f>
        <v>237.47</v>
      </c>
      <c r="C21" s="5">
        <f>316.57</f>
        <v>316.57</v>
      </c>
      <c r="D21" s="5">
        <f t="shared" si="0"/>
        <v>-79.099999999999994</v>
      </c>
      <c r="E21" s="6">
        <f t="shared" si="1"/>
        <v>-0.24986574849164481</v>
      </c>
    </row>
    <row r="22" spans="1:11" x14ac:dyDescent="0.25">
      <c r="A22" s="3" t="s">
        <v>98</v>
      </c>
      <c r="B22" s="5">
        <f>1970.5</f>
        <v>1970.5</v>
      </c>
      <c r="C22" s="5">
        <f>3068.9</f>
        <v>3068.9</v>
      </c>
      <c r="D22" s="5">
        <f t="shared" si="0"/>
        <v>-1098.4000000000001</v>
      </c>
      <c r="E22" s="6">
        <f t="shared" si="1"/>
        <v>-0.3579132588223794</v>
      </c>
    </row>
    <row r="23" spans="1:11" x14ac:dyDescent="0.25">
      <c r="A23" s="3" t="s">
        <v>99</v>
      </c>
      <c r="B23" s="5">
        <f>1.98</f>
        <v>1.98</v>
      </c>
      <c r="C23" s="5">
        <f>228.72</f>
        <v>228.72</v>
      </c>
      <c r="D23" s="5">
        <f t="shared" si="0"/>
        <v>-226.74</v>
      </c>
      <c r="E23" s="6">
        <f t="shared" si="1"/>
        <v>-0.99134312696747118</v>
      </c>
    </row>
    <row r="24" spans="1:11" x14ac:dyDescent="0.25">
      <c r="A24" s="3" t="s">
        <v>100</v>
      </c>
      <c r="B24" s="4"/>
      <c r="C24" s="5">
        <f>1600</f>
        <v>1600</v>
      </c>
      <c r="D24" s="5">
        <f t="shared" si="0"/>
        <v>-1600</v>
      </c>
      <c r="E24" s="6">
        <f t="shared" si="1"/>
        <v>-1</v>
      </c>
    </row>
    <row r="25" spans="1:11" x14ac:dyDescent="0.25">
      <c r="A25" s="3" t="s">
        <v>104</v>
      </c>
      <c r="B25" s="5">
        <f>1267.67</f>
        <v>1267.67</v>
      </c>
      <c r="C25" s="5">
        <f>2250</f>
        <v>2250</v>
      </c>
      <c r="D25" s="5">
        <f t="shared" si="0"/>
        <v>-982.32999999999993</v>
      </c>
      <c r="E25" s="6">
        <f t="shared" si="1"/>
        <v>-0.4365911111111111</v>
      </c>
    </row>
    <row r="26" spans="1:11" x14ac:dyDescent="0.25">
      <c r="A26" s="3" t="s">
        <v>107</v>
      </c>
      <c r="B26" s="5">
        <f>14591.64</f>
        <v>14591.64</v>
      </c>
      <c r="C26" s="5">
        <f>17699.59</f>
        <v>17699.59</v>
      </c>
      <c r="D26" s="5">
        <f t="shared" si="0"/>
        <v>-3107.9500000000007</v>
      </c>
      <c r="E26" s="6">
        <f t="shared" si="1"/>
        <v>-0.17559446292258751</v>
      </c>
    </row>
    <row r="27" spans="1:11" x14ac:dyDescent="0.25">
      <c r="A27" s="22" t="s">
        <v>112</v>
      </c>
      <c r="B27" s="23">
        <f>2078.27</f>
        <v>2078.27</v>
      </c>
      <c r="C27" s="23">
        <f>1210.65</f>
        <v>1210.6500000000001</v>
      </c>
      <c r="D27" s="23">
        <f t="shared" si="0"/>
        <v>867.61999999999989</v>
      </c>
      <c r="E27" s="24">
        <f t="shared" si="1"/>
        <v>0.71665634163465897</v>
      </c>
    </row>
    <row r="28" spans="1:11" x14ac:dyDescent="0.25">
      <c r="A28" s="3" t="s">
        <v>117</v>
      </c>
      <c r="B28" s="5">
        <f>1052</f>
        <v>1052</v>
      </c>
      <c r="C28" s="5">
        <f>890</f>
        <v>890</v>
      </c>
      <c r="D28" s="5">
        <f t="shared" si="0"/>
        <v>162</v>
      </c>
      <c r="E28" s="6">
        <f t="shared" si="1"/>
        <v>0.18202247191011237</v>
      </c>
    </row>
    <row r="29" spans="1:11" x14ac:dyDescent="0.25">
      <c r="A29" s="3" t="s">
        <v>118</v>
      </c>
      <c r="B29" s="5">
        <f>246.28</f>
        <v>246.28</v>
      </c>
      <c r="C29" s="4"/>
      <c r="D29" s="5">
        <f t="shared" si="0"/>
        <v>246.28</v>
      </c>
      <c r="E29" s="6" t="str">
        <f t="shared" si="1"/>
        <v/>
      </c>
    </row>
    <row r="30" spans="1:11" x14ac:dyDescent="0.25">
      <c r="A30" s="22" t="s">
        <v>122</v>
      </c>
      <c r="B30" s="23">
        <f>655.45</f>
        <v>655.45</v>
      </c>
      <c r="C30" s="23">
        <f>35.96</f>
        <v>35.96</v>
      </c>
      <c r="D30" s="23">
        <f t="shared" si="0"/>
        <v>619.49</v>
      </c>
      <c r="E30" s="24">
        <f t="shared" si="1"/>
        <v>17.227196885428253</v>
      </c>
      <c r="J30">
        <v>2023</v>
      </c>
      <c r="K30">
        <v>2022</v>
      </c>
    </row>
    <row r="31" spans="1:11" x14ac:dyDescent="0.25">
      <c r="A31" s="3" t="s">
        <v>124</v>
      </c>
      <c r="B31" s="5">
        <f>73331.58</f>
        <v>73331.58</v>
      </c>
      <c r="C31" s="5">
        <f>76298.97</f>
        <v>76298.97</v>
      </c>
      <c r="D31" s="5">
        <f t="shared" si="0"/>
        <v>-2967.3899999999994</v>
      </c>
      <c r="E31" s="6">
        <f t="shared" si="1"/>
        <v>-3.8891612822558409E-2</v>
      </c>
      <c r="I31" t="s">
        <v>353</v>
      </c>
      <c r="J31" s="21">
        <f>B32</f>
        <v>10000</v>
      </c>
      <c r="K31" s="21">
        <f>C32</f>
        <v>0</v>
      </c>
    </row>
    <row r="32" spans="1:11" x14ac:dyDescent="0.25">
      <c r="A32" s="22" t="s">
        <v>131</v>
      </c>
      <c r="B32" s="23">
        <f>10000</f>
        <v>10000</v>
      </c>
      <c r="C32" s="27"/>
      <c r="D32" s="23">
        <f t="shared" si="0"/>
        <v>10000</v>
      </c>
      <c r="E32" s="24" t="str">
        <f t="shared" si="1"/>
        <v/>
      </c>
      <c r="I32" t="s">
        <v>358</v>
      </c>
      <c r="J32" s="21">
        <f>B30</f>
        <v>655.45</v>
      </c>
      <c r="K32" s="21">
        <f>C30</f>
        <v>35.96</v>
      </c>
    </row>
    <row r="33" spans="1:11" x14ac:dyDescent="0.25">
      <c r="A33" s="3" t="s">
        <v>136</v>
      </c>
      <c r="B33" s="5">
        <f>1196.4</f>
        <v>1196.4000000000001</v>
      </c>
      <c r="C33" s="5">
        <f>1190.56</f>
        <v>1190.56</v>
      </c>
      <c r="D33" s="5">
        <f t="shared" si="0"/>
        <v>5.8400000000001455</v>
      </c>
      <c r="E33" s="6">
        <f t="shared" si="1"/>
        <v>4.9052546700713495E-3</v>
      </c>
      <c r="I33" t="s">
        <v>357</v>
      </c>
      <c r="J33" s="21">
        <f>B27</f>
        <v>2078.27</v>
      </c>
      <c r="K33" s="21">
        <f>C27</f>
        <v>1210.6500000000001</v>
      </c>
    </row>
    <row r="34" spans="1:11" x14ac:dyDescent="0.25">
      <c r="A34" s="3" t="s">
        <v>144</v>
      </c>
      <c r="B34" s="5">
        <f>245.9</f>
        <v>245.9</v>
      </c>
      <c r="C34" s="5">
        <f>0</f>
        <v>0</v>
      </c>
      <c r="D34" s="5">
        <f t="shared" si="0"/>
        <v>245.9</v>
      </c>
      <c r="E34" s="6" t="str">
        <f t="shared" si="1"/>
        <v/>
      </c>
    </row>
    <row r="35" spans="1:11" x14ac:dyDescent="0.25">
      <c r="A35" s="3" t="s">
        <v>145</v>
      </c>
      <c r="B35" s="5">
        <f>3369.87</f>
        <v>3369.87</v>
      </c>
      <c r="C35" s="5">
        <f>2918.39</f>
        <v>2918.39</v>
      </c>
      <c r="D35" s="5">
        <f t="shared" si="0"/>
        <v>451.48</v>
      </c>
      <c r="E35" s="6">
        <f t="shared" si="1"/>
        <v>0.15470173623127823</v>
      </c>
    </row>
    <row r="36" spans="1:11" x14ac:dyDescent="0.25">
      <c r="A36" s="3" t="s">
        <v>146</v>
      </c>
      <c r="B36" s="5">
        <f>1181.88</f>
        <v>1181.8800000000001</v>
      </c>
      <c r="C36" s="5">
        <f>1191.24</f>
        <v>1191.24</v>
      </c>
      <c r="D36" s="5">
        <f t="shared" si="0"/>
        <v>-9.3599999999999</v>
      </c>
      <c r="E36" s="6">
        <f t="shared" si="1"/>
        <v>-7.8573587186460334E-3</v>
      </c>
    </row>
    <row r="37" spans="1:11" x14ac:dyDescent="0.25">
      <c r="A37" s="3" t="s">
        <v>147</v>
      </c>
      <c r="B37" s="5">
        <f>1210</f>
        <v>1210</v>
      </c>
      <c r="C37" s="5">
        <f>1210</f>
        <v>1210</v>
      </c>
      <c r="D37" s="5">
        <f t="shared" si="0"/>
        <v>0</v>
      </c>
      <c r="E37" s="6">
        <f t="shared" si="1"/>
        <v>0</v>
      </c>
    </row>
    <row r="38" spans="1:11" x14ac:dyDescent="0.25">
      <c r="A38" s="3" t="s">
        <v>151</v>
      </c>
      <c r="B38" s="5">
        <f>508.58</f>
        <v>508.58</v>
      </c>
      <c r="C38" s="5">
        <f>536.18</f>
        <v>536.17999999999995</v>
      </c>
      <c r="D38" s="5">
        <f t="shared" si="0"/>
        <v>-27.599999999999966</v>
      </c>
      <c r="E38" s="6">
        <f t="shared" si="1"/>
        <v>-5.1475250848595562E-2</v>
      </c>
    </row>
    <row r="39" spans="1:11" x14ac:dyDescent="0.25">
      <c r="A39" s="3" t="s">
        <v>155</v>
      </c>
      <c r="B39" s="5">
        <f>24</f>
        <v>24</v>
      </c>
      <c r="C39" s="5">
        <f>14</f>
        <v>14</v>
      </c>
      <c r="D39" s="5">
        <f t="shared" si="0"/>
        <v>10</v>
      </c>
      <c r="E39" s="6">
        <f t="shared" si="1"/>
        <v>0.7142857142857143</v>
      </c>
    </row>
    <row r="40" spans="1:11" x14ac:dyDescent="0.25">
      <c r="A40" s="3" t="s">
        <v>156</v>
      </c>
      <c r="B40" s="5">
        <f>100</f>
        <v>100</v>
      </c>
      <c r="C40" s="4"/>
      <c r="D40" s="5">
        <f t="shared" si="0"/>
        <v>100</v>
      </c>
      <c r="E40" s="6" t="str">
        <f t="shared" si="1"/>
        <v/>
      </c>
    </row>
    <row r="41" spans="1:11" x14ac:dyDescent="0.25">
      <c r="A41" s="3" t="s">
        <v>158</v>
      </c>
      <c r="B41" s="5">
        <f>100</f>
        <v>100</v>
      </c>
      <c r="C41" s="4"/>
      <c r="D41" s="5">
        <f t="shared" si="0"/>
        <v>100</v>
      </c>
      <c r="E41" s="6" t="str">
        <f t="shared" si="1"/>
        <v/>
      </c>
    </row>
    <row r="42" spans="1:11" x14ac:dyDescent="0.25">
      <c r="A42" s="3" t="s">
        <v>161</v>
      </c>
      <c r="B42" s="5">
        <f>90.1</f>
        <v>90.1</v>
      </c>
      <c r="C42" s="5">
        <f>155.35</f>
        <v>155.35</v>
      </c>
      <c r="D42" s="5">
        <f t="shared" si="0"/>
        <v>-65.25</v>
      </c>
      <c r="E42" s="6">
        <f t="shared" si="1"/>
        <v>-0.42001931123270037</v>
      </c>
    </row>
    <row r="43" spans="1:11" x14ac:dyDescent="0.25">
      <c r="A43" s="3" t="s">
        <v>162</v>
      </c>
      <c r="B43" s="5">
        <f>993.26</f>
        <v>993.26</v>
      </c>
      <c r="C43" s="5">
        <f>2572.15</f>
        <v>2572.15</v>
      </c>
      <c r="D43" s="5">
        <f t="shared" si="0"/>
        <v>-1578.89</v>
      </c>
      <c r="E43" s="6">
        <f t="shared" si="1"/>
        <v>-0.61384056139805221</v>
      </c>
    </row>
    <row r="44" spans="1:11" x14ac:dyDescent="0.25">
      <c r="A44" s="3" t="s">
        <v>166</v>
      </c>
      <c r="B44" s="9">
        <f>((((((((((((((((((((((((B19)+(B20))+(B21))+(B22))+(B23))+(B24))+(B25))+(B26))+(B27))+(B28))+(B29))+(B30))+(B31))+(B32))+(B33))+(B34))+(B35))+(B36))+(B37))+(B38))+(B39))+(B40))+(B41))+(B42))+(B43)</f>
        <v>147274.82999999999</v>
      </c>
      <c r="C44" s="9">
        <f>((((((((((((((((((((((((C19)+(C20))+(C21))+(C22))+(C23))+(C24))+(C25))+(C26))+(C27))+(C28))+(C29))+(C30))+(C31))+(C32))+(C33))+(C34))+(C35))+(C36))+(C37))+(C38))+(C39))+(C40))+(C41))+(C42))+(C43)</f>
        <v>140294.18</v>
      </c>
      <c r="D44" s="9">
        <f t="shared" si="0"/>
        <v>6980.6499999999942</v>
      </c>
      <c r="E44" s="10">
        <f t="shared" si="1"/>
        <v>4.9757231554437925E-2</v>
      </c>
    </row>
    <row r="45" spans="1:11" x14ac:dyDescent="0.25">
      <c r="A45" s="3" t="s">
        <v>167</v>
      </c>
      <c r="B45" s="9">
        <f>(B17)-(B44)</f>
        <v>-10074.049999999988</v>
      </c>
      <c r="C45" s="9">
        <f>(C17)-(C44)</f>
        <v>19805.060000000027</v>
      </c>
      <c r="D45" s="9">
        <f t="shared" si="0"/>
        <v>-29879.110000000015</v>
      </c>
      <c r="E45" s="10">
        <f t="shared" si="1"/>
        <v>-1.5086604130459578</v>
      </c>
    </row>
    <row r="46" spans="1:11" x14ac:dyDescent="0.25">
      <c r="A46" s="3" t="s">
        <v>181</v>
      </c>
      <c r="B46" s="4"/>
      <c r="C46" s="4"/>
      <c r="D46" s="4"/>
      <c r="E46" s="4"/>
    </row>
    <row r="47" spans="1:11" x14ac:dyDescent="0.25">
      <c r="A47" s="3" t="s">
        <v>182</v>
      </c>
      <c r="B47" s="4"/>
      <c r="C47" s="5">
        <f>0</f>
        <v>0</v>
      </c>
      <c r="D47" s="5">
        <f>(B47)-(C47)</f>
        <v>0</v>
      </c>
      <c r="E47" s="6" t="str">
        <f>IF(ABS((C47))=0,"",((B47)-(C47))/(ABS((C47))))</f>
        <v/>
      </c>
    </row>
    <row r="48" spans="1:11" x14ac:dyDescent="0.25">
      <c r="A48" s="3" t="s">
        <v>183</v>
      </c>
      <c r="B48" s="9">
        <f>B47</f>
        <v>0</v>
      </c>
      <c r="C48" s="9">
        <f>C47</f>
        <v>0</v>
      </c>
      <c r="D48" s="9">
        <f>(B48)-(C48)</f>
        <v>0</v>
      </c>
      <c r="E48" s="10" t="str">
        <f>IF(ABS((C48))=0,"",((B48)-(C48))/(ABS((C48))))</f>
        <v/>
      </c>
    </row>
    <row r="49" spans="1:5" x14ac:dyDescent="0.25">
      <c r="A49" s="3" t="s">
        <v>184</v>
      </c>
      <c r="B49" s="9">
        <f>(0)-(B48)</f>
        <v>0</v>
      </c>
      <c r="C49" s="9">
        <f>(0)-(C48)</f>
        <v>0</v>
      </c>
      <c r="D49" s="9">
        <f>(B49)-(C49)</f>
        <v>0</v>
      </c>
      <c r="E49" s="10" t="str">
        <f>IF(ABS((C49))=0,"",((B49)-(C49))/(ABS((C49))))</f>
        <v/>
      </c>
    </row>
    <row r="50" spans="1:5" x14ac:dyDescent="0.25">
      <c r="A50" s="3" t="s">
        <v>168</v>
      </c>
      <c r="B50" s="9">
        <f>(B45)+(B49)</f>
        <v>-10074.049999999988</v>
      </c>
      <c r="C50" s="9">
        <f>(C45)+(C49)</f>
        <v>19805.060000000027</v>
      </c>
      <c r="D50" s="9">
        <f>(B50)-(C50)</f>
        <v>-29879.110000000015</v>
      </c>
      <c r="E50" s="10">
        <f>IF(ABS((C50))=0,"",((B50)-(C50))/(ABS((C50))))</f>
        <v>-1.5086604130459578</v>
      </c>
    </row>
    <row r="51" spans="1:5" x14ac:dyDescent="0.25">
      <c r="A51" s="3"/>
      <c r="B51" s="4"/>
      <c r="C51" s="4"/>
      <c r="D51" s="4"/>
      <c r="E51" s="4"/>
    </row>
    <row r="54" spans="1:5" x14ac:dyDescent="0.25">
      <c r="A54" s="13" t="s">
        <v>186</v>
      </c>
      <c r="B54" s="14"/>
      <c r="C54" s="14"/>
      <c r="D54" s="14"/>
      <c r="E54" s="14"/>
    </row>
  </sheetData>
  <mergeCells count="5">
    <mergeCell ref="A1:E1"/>
    <mergeCell ref="A2:E2"/>
    <mergeCell ref="A3:E3"/>
    <mergeCell ref="B5:E5"/>
    <mergeCell ref="A54:E5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86B17-8879-45CB-97B2-60C0084A4D72}">
  <sheetPr>
    <tabColor rgb="FFFF0000"/>
  </sheetPr>
  <dimension ref="A1:L72"/>
  <sheetViews>
    <sheetView tabSelected="1" topLeftCell="A35" workbookViewId="0">
      <selection activeCell="L38" sqref="J35:L38"/>
    </sheetView>
  </sheetViews>
  <sheetFormatPr defaultRowHeight="15" x14ac:dyDescent="0.25"/>
  <cols>
    <col min="1" max="1" width="41.28515625" customWidth="1"/>
    <col min="2" max="5" width="18" customWidth="1"/>
    <col min="9" max="9" width="20.140625" bestFit="1" customWidth="1"/>
    <col min="10" max="10" width="16.5703125" bestFit="1" customWidth="1"/>
    <col min="11" max="11" width="13.28515625" bestFit="1" customWidth="1"/>
    <col min="12" max="12" width="10.5703125" bestFit="1" customWidth="1"/>
  </cols>
  <sheetData>
    <row r="1" spans="1:11" ht="18" x14ac:dyDescent="0.25">
      <c r="A1" s="15" t="s">
        <v>170</v>
      </c>
      <c r="B1" s="14"/>
      <c r="C1" s="14"/>
      <c r="D1" s="14"/>
      <c r="E1" s="14"/>
    </row>
    <row r="2" spans="1:11" ht="18" x14ac:dyDescent="0.25">
      <c r="A2" s="15" t="s">
        <v>187</v>
      </c>
      <c r="B2" s="14"/>
      <c r="C2" s="14"/>
      <c r="D2" s="14"/>
      <c r="E2" s="14"/>
    </row>
    <row r="3" spans="1:11" x14ac:dyDescent="0.25">
      <c r="A3" s="16" t="s">
        <v>188</v>
      </c>
      <c r="B3" s="14"/>
      <c r="C3" s="14"/>
      <c r="D3" s="14"/>
      <c r="E3" s="14"/>
    </row>
    <row r="5" spans="1:11" x14ac:dyDescent="0.25">
      <c r="A5" s="1"/>
      <c r="B5" s="11" t="s">
        <v>0</v>
      </c>
      <c r="C5" s="12"/>
      <c r="D5" s="12"/>
      <c r="E5" s="12"/>
    </row>
    <row r="6" spans="1:11" ht="24.75" x14ac:dyDescent="0.25">
      <c r="A6" s="1"/>
      <c r="B6" s="2" t="s">
        <v>189</v>
      </c>
      <c r="C6" s="2" t="s">
        <v>190</v>
      </c>
      <c r="D6" s="2" t="s">
        <v>178</v>
      </c>
      <c r="E6" s="2" t="s">
        <v>179</v>
      </c>
    </row>
    <row r="7" spans="1:11" x14ac:dyDescent="0.25">
      <c r="A7" s="3" t="s">
        <v>191</v>
      </c>
      <c r="B7" s="4"/>
      <c r="C7" s="4"/>
      <c r="D7" s="4"/>
      <c r="E7" s="4"/>
    </row>
    <row r="8" spans="1:11" x14ac:dyDescent="0.25">
      <c r="A8" s="3" t="s">
        <v>192</v>
      </c>
      <c r="B8" s="4"/>
      <c r="C8" s="4"/>
      <c r="D8" s="4"/>
      <c r="E8" s="4"/>
      <c r="J8">
        <v>2023</v>
      </c>
      <c r="K8">
        <v>2022</v>
      </c>
    </row>
    <row r="9" spans="1:11" x14ac:dyDescent="0.25">
      <c r="A9" s="3" t="s">
        <v>193</v>
      </c>
      <c r="B9" s="4"/>
      <c r="C9" s="4"/>
      <c r="D9" s="4"/>
      <c r="E9" s="4"/>
      <c r="I9" t="s">
        <v>361</v>
      </c>
      <c r="J9" s="21">
        <f>B23</f>
        <v>1131740</v>
      </c>
      <c r="K9" s="21">
        <f>C23</f>
        <v>1391721</v>
      </c>
    </row>
    <row r="10" spans="1:11" x14ac:dyDescent="0.25">
      <c r="A10" s="3" t="s">
        <v>194</v>
      </c>
      <c r="B10" s="5">
        <f>26847.69</f>
        <v>26847.69</v>
      </c>
      <c r="C10" s="5">
        <f>46275.97</f>
        <v>46275.97</v>
      </c>
      <c r="D10" s="5">
        <f t="shared" ref="D10:D16" si="0">(B10)-(C10)</f>
        <v>-19428.280000000002</v>
      </c>
      <c r="E10" s="6">
        <f t="shared" ref="E10:E16" si="1">IF(ABS((C10))=0,"",((B10)-(C10))/(ABS((C10))))</f>
        <v>-0.41983517579426216</v>
      </c>
      <c r="I10" t="s">
        <v>360</v>
      </c>
      <c r="J10" s="28">
        <f>B20</f>
        <v>101.25</v>
      </c>
      <c r="K10" s="28">
        <f>C20</f>
        <v>7400</v>
      </c>
    </row>
    <row r="11" spans="1:11" x14ac:dyDescent="0.25">
      <c r="A11" s="3" t="s">
        <v>195</v>
      </c>
      <c r="B11" s="5">
        <f>68729.68</f>
        <v>68729.679999999993</v>
      </c>
      <c r="C11" s="5">
        <f>68455.86</f>
        <v>68455.86</v>
      </c>
      <c r="D11" s="5">
        <f t="shared" si="0"/>
        <v>273.81999999999243</v>
      </c>
      <c r="E11" s="6">
        <f t="shared" si="1"/>
        <v>3.9999497486408386E-3</v>
      </c>
      <c r="I11" t="s">
        <v>359</v>
      </c>
      <c r="J11" s="28">
        <f>B16</f>
        <v>300002.02</v>
      </c>
      <c r="K11" s="28">
        <f>C16</f>
        <v>305961.14</v>
      </c>
    </row>
    <row r="12" spans="1:11" x14ac:dyDescent="0.25">
      <c r="A12" s="3" t="s">
        <v>196</v>
      </c>
      <c r="B12" s="5">
        <f>793.87</f>
        <v>793.87</v>
      </c>
      <c r="C12" s="5">
        <f>793.87</f>
        <v>793.87</v>
      </c>
      <c r="D12" s="5">
        <f t="shared" si="0"/>
        <v>0</v>
      </c>
      <c r="E12" s="6">
        <f t="shared" si="1"/>
        <v>0</v>
      </c>
    </row>
    <row r="13" spans="1:11" x14ac:dyDescent="0.25">
      <c r="A13" s="3" t="s">
        <v>197</v>
      </c>
      <c r="B13" s="5">
        <f>42659.06</f>
        <v>42659.06</v>
      </c>
      <c r="C13" s="5">
        <f>37632.91</f>
        <v>37632.910000000003</v>
      </c>
      <c r="D13" s="5">
        <f t="shared" si="0"/>
        <v>5026.1499999999942</v>
      </c>
      <c r="E13" s="6">
        <f t="shared" si="1"/>
        <v>0.13355730396612947</v>
      </c>
    </row>
    <row r="14" spans="1:11" x14ac:dyDescent="0.25">
      <c r="A14" s="3" t="s">
        <v>198</v>
      </c>
      <c r="B14" s="5">
        <f>160792.69</f>
        <v>160792.69</v>
      </c>
      <c r="C14" s="5">
        <f>152610.5</f>
        <v>152610.5</v>
      </c>
      <c r="D14" s="5">
        <f t="shared" si="0"/>
        <v>8182.1900000000023</v>
      </c>
      <c r="E14" s="6">
        <f t="shared" si="1"/>
        <v>5.3614856120647023E-2</v>
      </c>
    </row>
    <row r="15" spans="1:11" x14ac:dyDescent="0.25">
      <c r="A15" s="3" t="s">
        <v>199</v>
      </c>
      <c r="B15" s="5">
        <f>179.03</f>
        <v>179.03</v>
      </c>
      <c r="C15" s="5">
        <f>192.03</f>
        <v>192.03</v>
      </c>
      <c r="D15" s="5">
        <f t="shared" si="0"/>
        <v>-13</v>
      </c>
      <c r="E15" s="6">
        <f t="shared" si="1"/>
        <v>-6.769775555902724E-2</v>
      </c>
    </row>
    <row r="16" spans="1:11" x14ac:dyDescent="0.25">
      <c r="A16" s="3" t="s">
        <v>200</v>
      </c>
      <c r="B16" s="9">
        <f>(((((B10)+(B11))+(B12))+(B13))+(B14))+(B15)</f>
        <v>300002.02</v>
      </c>
      <c r="C16" s="9">
        <f>(((((C10)+(C11))+(C12))+(C13))+(C14))+(C15)</f>
        <v>305961.14</v>
      </c>
      <c r="D16" s="9">
        <f t="shared" si="0"/>
        <v>-5959.1199999999953</v>
      </c>
      <c r="E16" s="10">
        <f t="shared" si="1"/>
        <v>-1.9476721782380583E-2</v>
      </c>
    </row>
    <row r="17" spans="1:5" x14ac:dyDescent="0.25">
      <c r="A17" s="3" t="s">
        <v>201</v>
      </c>
      <c r="B17" s="4"/>
      <c r="C17" s="4"/>
      <c r="D17" s="4"/>
      <c r="E17" s="4"/>
    </row>
    <row r="18" spans="1:5" x14ac:dyDescent="0.25">
      <c r="A18" s="3" t="s">
        <v>202</v>
      </c>
      <c r="B18" s="5">
        <f>101.25</f>
        <v>101.25</v>
      </c>
      <c r="C18" s="5">
        <f>7400</f>
        <v>7400</v>
      </c>
      <c r="D18" s="5">
        <f>(B18)-(C18)</f>
        <v>-7298.75</v>
      </c>
      <c r="E18" s="6">
        <f>IF(ABS((C18))=0,"",((B18)-(C18))/(ABS((C18))))</f>
        <v>-0.98631756756756761</v>
      </c>
    </row>
    <row r="19" spans="1:5" x14ac:dyDescent="0.25">
      <c r="A19" s="3" t="s">
        <v>203</v>
      </c>
      <c r="B19" s="5">
        <f>0</f>
        <v>0</v>
      </c>
      <c r="C19" s="5">
        <f>0</f>
        <v>0</v>
      </c>
      <c r="D19" s="5">
        <f>(B19)-(C19)</f>
        <v>0</v>
      </c>
      <c r="E19" s="6" t="str">
        <f>IF(ABS((C19))=0,"",((B19)-(C19))/(ABS((C19))))</f>
        <v/>
      </c>
    </row>
    <row r="20" spans="1:5" x14ac:dyDescent="0.25">
      <c r="A20" s="3" t="s">
        <v>204</v>
      </c>
      <c r="B20" s="9">
        <f>(B18)+(B19)</f>
        <v>101.25</v>
      </c>
      <c r="C20" s="9">
        <f>(C18)+(C19)</f>
        <v>7400</v>
      </c>
      <c r="D20" s="9">
        <f>(B20)-(C20)</f>
        <v>-7298.75</v>
      </c>
      <c r="E20" s="10">
        <f>IF(ABS((C20))=0,"",((B20)-(C20))/(ABS((C20))))</f>
        <v>-0.98631756756756761</v>
      </c>
    </row>
    <row r="21" spans="1:5" x14ac:dyDescent="0.25">
      <c r="A21" s="3" t="s">
        <v>205</v>
      </c>
      <c r="B21" s="4"/>
      <c r="C21" s="4"/>
      <c r="D21" s="4"/>
      <c r="E21" s="4"/>
    </row>
    <row r="22" spans="1:5" x14ac:dyDescent="0.25">
      <c r="A22" s="3" t="s">
        <v>206</v>
      </c>
      <c r="B22" s="5">
        <f>2915.27</f>
        <v>2915.27</v>
      </c>
      <c r="C22" s="5">
        <f>2154.83</f>
        <v>2154.83</v>
      </c>
      <c r="D22" s="5">
        <f t="shared" ref="D22:D30" si="2">(B22)-(C22)</f>
        <v>760.44</v>
      </c>
      <c r="E22" s="6">
        <f t="shared" ref="E22:E30" si="3">IF(ABS((C22))=0,"",((B22)-(C22))/(ABS((C22))))</f>
        <v>0.35290022878834992</v>
      </c>
    </row>
    <row r="23" spans="1:5" x14ac:dyDescent="0.25">
      <c r="A23" s="3" t="s">
        <v>207</v>
      </c>
      <c r="B23" s="5">
        <f>1131740</f>
        <v>1131740</v>
      </c>
      <c r="C23" s="5">
        <f>1391721</f>
        <v>1391721</v>
      </c>
      <c r="D23" s="5">
        <f t="shared" si="2"/>
        <v>-259981</v>
      </c>
      <c r="E23" s="6">
        <f t="shared" si="3"/>
        <v>-0.18680540136995849</v>
      </c>
    </row>
    <row r="24" spans="1:5" x14ac:dyDescent="0.25">
      <c r="A24" s="3" t="s">
        <v>208</v>
      </c>
      <c r="B24" s="5">
        <f>19637.42</f>
        <v>19637.419999999998</v>
      </c>
      <c r="C24" s="5">
        <f>19423.42</f>
        <v>19423.419999999998</v>
      </c>
      <c r="D24" s="5">
        <f t="shared" si="2"/>
        <v>214</v>
      </c>
      <c r="E24" s="6">
        <f t="shared" si="3"/>
        <v>1.1017627173793287E-2</v>
      </c>
    </row>
    <row r="25" spans="1:5" x14ac:dyDescent="0.25">
      <c r="A25" s="3" t="s">
        <v>209</v>
      </c>
      <c r="B25" s="5">
        <f>0</f>
        <v>0</v>
      </c>
      <c r="C25" s="5">
        <f>0</f>
        <v>0</v>
      </c>
      <c r="D25" s="5">
        <f t="shared" si="2"/>
        <v>0</v>
      </c>
      <c r="E25" s="6" t="str">
        <f t="shared" si="3"/>
        <v/>
      </c>
    </row>
    <row r="26" spans="1:5" x14ac:dyDescent="0.25">
      <c r="A26" s="3" t="s">
        <v>210</v>
      </c>
      <c r="B26" s="5">
        <f>600</f>
        <v>600</v>
      </c>
      <c r="C26" s="5">
        <f>600</f>
        <v>600</v>
      </c>
      <c r="D26" s="5">
        <f t="shared" si="2"/>
        <v>0</v>
      </c>
      <c r="E26" s="6">
        <f t="shared" si="3"/>
        <v>0</v>
      </c>
    </row>
    <row r="27" spans="1:5" x14ac:dyDescent="0.25">
      <c r="A27" s="3" t="s">
        <v>211</v>
      </c>
      <c r="B27" s="5">
        <f>9.31</f>
        <v>9.31</v>
      </c>
      <c r="C27" s="5">
        <f>9.31</f>
        <v>9.31</v>
      </c>
      <c r="D27" s="5">
        <f t="shared" si="2"/>
        <v>0</v>
      </c>
      <c r="E27" s="6">
        <f t="shared" si="3"/>
        <v>0</v>
      </c>
    </row>
    <row r="28" spans="1:5" x14ac:dyDescent="0.25">
      <c r="A28" s="3" t="s">
        <v>212</v>
      </c>
      <c r="B28" s="5">
        <f>0</f>
        <v>0</v>
      </c>
      <c r="C28" s="5">
        <f>0</f>
        <v>0</v>
      </c>
      <c r="D28" s="5">
        <f t="shared" si="2"/>
        <v>0</v>
      </c>
      <c r="E28" s="6" t="str">
        <f t="shared" si="3"/>
        <v/>
      </c>
    </row>
    <row r="29" spans="1:5" x14ac:dyDescent="0.25">
      <c r="A29" s="3" t="s">
        <v>213</v>
      </c>
      <c r="B29" s="9">
        <f>((((((B22)+(B23))+(B24))+(B25))+(B26))+(B27))+(B28)</f>
        <v>1154902</v>
      </c>
      <c r="C29" s="9">
        <f>((((((C22)+(C23))+(C24))+(C25))+(C26))+(C27))+(C28)</f>
        <v>1413908.56</v>
      </c>
      <c r="D29" s="9">
        <f t="shared" si="2"/>
        <v>-259006.56000000006</v>
      </c>
      <c r="E29" s="10">
        <f t="shared" si="3"/>
        <v>-0.18318480227603973</v>
      </c>
    </row>
    <row r="30" spans="1:5" x14ac:dyDescent="0.25">
      <c r="A30" s="3" t="s">
        <v>214</v>
      </c>
      <c r="B30" s="9">
        <f>((B16)+(B20))+(B29)</f>
        <v>1455005.27</v>
      </c>
      <c r="C30" s="9">
        <f>((C16)+(C20))+(C29)</f>
        <v>1727269.7000000002</v>
      </c>
      <c r="D30" s="9">
        <f t="shared" si="2"/>
        <v>-272264.43000000017</v>
      </c>
      <c r="E30" s="10">
        <f t="shared" si="3"/>
        <v>-0.15762705152530618</v>
      </c>
    </row>
    <row r="31" spans="1:5" x14ac:dyDescent="0.25">
      <c r="A31" s="3" t="s">
        <v>215</v>
      </c>
      <c r="B31" s="4"/>
      <c r="C31" s="4"/>
      <c r="D31" s="4"/>
      <c r="E31" s="4"/>
    </row>
    <row r="32" spans="1:5" x14ac:dyDescent="0.25">
      <c r="A32" s="3" t="s">
        <v>216</v>
      </c>
      <c r="B32" s="5">
        <f>74227</f>
        <v>74227</v>
      </c>
      <c r="C32" s="5">
        <f>74227</f>
        <v>74227</v>
      </c>
      <c r="D32" s="5">
        <f>(B32)-(C32)</f>
        <v>0</v>
      </c>
      <c r="E32" s="6">
        <f>IF(ABS((C32))=0,"",((B32)-(C32))/(ABS((C32))))</f>
        <v>0</v>
      </c>
    </row>
    <row r="33" spans="1:12" x14ac:dyDescent="0.25">
      <c r="A33" s="3" t="s">
        <v>217</v>
      </c>
      <c r="B33" s="5">
        <f>6873.07</f>
        <v>6873.07</v>
      </c>
      <c r="C33" s="5">
        <f>6873.07</f>
        <v>6873.07</v>
      </c>
      <c r="D33" s="5">
        <f>(B33)-(C33)</f>
        <v>0</v>
      </c>
      <c r="E33" s="6">
        <f>IF(ABS((C33))=0,"",((B33)-(C33))/(ABS((C33))))</f>
        <v>0</v>
      </c>
    </row>
    <row r="34" spans="1:12" x14ac:dyDescent="0.25">
      <c r="A34" s="3" t="s">
        <v>218</v>
      </c>
      <c r="B34" s="5">
        <f>22684.64</f>
        <v>22684.639999999999</v>
      </c>
      <c r="C34" s="5">
        <f>22684.64</f>
        <v>22684.639999999999</v>
      </c>
      <c r="D34" s="5">
        <f>(B34)-(C34)</f>
        <v>0</v>
      </c>
      <c r="E34" s="6">
        <f>IF(ABS((C34))=0,"",((B34)-(C34))/(ABS((C34))))</f>
        <v>0</v>
      </c>
    </row>
    <row r="35" spans="1:12" x14ac:dyDescent="0.25">
      <c r="A35" s="3" t="s">
        <v>219</v>
      </c>
      <c r="B35" s="9">
        <f>((B32)+(B33))+(B34)</f>
        <v>103784.71</v>
      </c>
      <c r="C35" s="9">
        <f>((C32)+(C33))+(C34)</f>
        <v>103784.71</v>
      </c>
      <c r="D35" s="9">
        <f>(B35)-(C35)</f>
        <v>0</v>
      </c>
      <c r="E35" s="10">
        <f>IF(ABS((C35))=0,"",((B35)-(C35))/(ABS((C35))))</f>
        <v>0</v>
      </c>
      <c r="K35">
        <v>2023</v>
      </c>
      <c r="L35">
        <v>2022</v>
      </c>
    </row>
    <row r="36" spans="1:12" x14ac:dyDescent="0.25">
      <c r="A36" s="3" t="s">
        <v>220</v>
      </c>
      <c r="B36" s="4"/>
      <c r="C36" s="4"/>
      <c r="D36" s="4"/>
      <c r="E36" s="4"/>
      <c r="J36" t="s">
        <v>364</v>
      </c>
      <c r="K36" s="28">
        <f>B48</f>
        <v>1068.42</v>
      </c>
      <c r="L36" s="28">
        <f>C48</f>
        <v>3945.08</v>
      </c>
    </row>
    <row r="37" spans="1:12" x14ac:dyDescent="0.25">
      <c r="A37" s="3" t="s">
        <v>221</v>
      </c>
      <c r="B37" s="5">
        <f>1283.09</f>
        <v>1283.0899999999999</v>
      </c>
      <c r="C37" s="5">
        <f>1283.09</f>
        <v>1283.0899999999999</v>
      </c>
      <c r="D37" s="5">
        <f>(B37)-(C37)</f>
        <v>0</v>
      </c>
      <c r="E37" s="6">
        <f>IF(ABS((C37))=0,"",((B37)-(C37))/(ABS((C37))))</f>
        <v>0</v>
      </c>
      <c r="J37" t="s">
        <v>363</v>
      </c>
      <c r="K37" s="28">
        <f>B45</f>
        <v>6823.37</v>
      </c>
      <c r="L37" s="28">
        <f>C45</f>
        <v>7299.87</v>
      </c>
    </row>
    <row r="38" spans="1:12" x14ac:dyDescent="0.25">
      <c r="A38" s="3" t="s">
        <v>222</v>
      </c>
      <c r="B38" s="9">
        <f>B37</f>
        <v>1283.0899999999999</v>
      </c>
      <c r="C38" s="9">
        <f>C37</f>
        <v>1283.0899999999999</v>
      </c>
      <c r="D38" s="9">
        <f>(B38)-(C38)</f>
        <v>0</v>
      </c>
      <c r="E38" s="10">
        <f>IF(ABS((C38))=0,"",((B38)-(C38))/(ABS((C38))))</f>
        <v>0</v>
      </c>
      <c r="J38" t="s">
        <v>362</v>
      </c>
      <c r="K38" s="21">
        <f>B66</f>
        <v>-10074.049999999999</v>
      </c>
      <c r="L38" s="21">
        <f>C66</f>
        <v>19805.060000000001</v>
      </c>
    </row>
    <row r="39" spans="1:12" x14ac:dyDescent="0.25">
      <c r="A39" s="3" t="s">
        <v>223</v>
      </c>
      <c r="B39" s="9">
        <f>((B30)+(B35))+(B38)</f>
        <v>1560073.07</v>
      </c>
      <c r="C39" s="9">
        <f>((C30)+(C35))+(C38)</f>
        <v>1832337.5000000002</v>
      </c>
      <c r="D39" s="9">
        <f>(B39)-(C39)</f>
        <v>-272264.43000000017</v>
      </c>
      <c r="E39" s="10">
        <f>IF(ABS((C39))=0,"",((B39)-(C39))/(ABS((C39))))</f>
        <v>-0.14858858152496476</v>
      </c>
    </row>
    <row r="40" spans="1:12" x14ac:dyDescent="0.25">
      <c r="A40" s="3" t="s">
        <v>224</v>
      </c>
      <c r="B40" s="4"/>
      <c r="C40" s="4"/>
      <c r="D40" s="4"/>
      <c r="E40" s="4"/>
    </row>
    <row r="41" spans="1:12" x14ac:dyDescent="0.25">
      <c r="A41" s="3" t="s">
        <v>225</v>
      </c>
      <c r="B41" s="4"/>
      <c r="C41" s="4"/>
      <c r="D41" s="4"/>
      <c r="E41" s="4"/>
    </row>
    <row r="42" spans="1:12" x14ac:dyDescent="0.25">
      <c r="A42" s="3" t="s">
        <v>226</v>
      </c>
      <c r="B42" s="4"/>
      <c r="C42" s="4"/>
      <c r="D42" s="4"/>
      <c r="E42" s="4"/>
    </row>
    <row r="43" spans="1:12" x14ac:dyDescent="0.25">
      <c r="A43" s="3" t="s">
        <v>227</v>
      </c>
      <c r="B43" s="4"/>
      <c r="C43" s="4"/>
      <c r="D43" s="4"/>
      <c r="E43" s="4"/>
    </row>
    <row r="44" spans="1:12" x14ac:dyDescent="0.25">
      <c r="A44" s="3" t="s">
        <v>228</v>
      </c>
      <c r="B44" s="5">
        <f>6823.37</f>
        <v>6823.37</v>
      </c>
      <c r="C44" s="5">
        <f>7299.87</f>
        <v>7299.87</v>
      </c>
      <c r="D44" s="5">
        <f>(B44)-(C44)</f>
        <v>-476.5</v>
      </c>
      <c r="E44" s="6">
        <f>IF(ABS((C44))=0,"",((B44)-(C44))/(ABS((C44))))</f>
        <v>-6.5275135036651333E-2</v>
      </c>
    </row>
    <row r="45" spans="1:12" x14ac:dyDescent="0.25">
      <c r="A45" s="3" t="s">
        <v>229</v>
      </c>
      <c r="B45" s="9">
        <f>B44</f>
        <v>6823.37</v>
      </c>
      <c r="C45" s="9">
        <f>C44</f>
        <v>7299.87</v>
      </c>
      <c r="D45" s="9">
        <f>(B45)-(C45)</f>
        <v>-476.5</v>
      </c>
      <c r="E45" s="10">
        <f>IF(ABS((C45))=0,"",((B45)-(C45))/(ABS((C45))))</f>
        <v>-6.5275135036651333E-2</v>
      </c>
    </row>
    <row r="46" spans="1:12" x14ac:dyDescent="0.25">
      <c r="A46" s="3" t="s">
        <v>230</v>
      </c>
      <c r="B46" s="4"/>
      <c r="C46" s="4"/>
      <c r="D46" s="4"/>
      <c r="E46" s="4"/>
    </row>
    <row r="47" spans="1:12" x14ac:dyDescent="0.25">
      <c r="A47" s="3" t="s">
        <v>231</v>
      </c>
      <c r="B47" s="5">
        <f>1068.42</f>
        <v>1068.42</v>
      </c>
      <c r="C47" s="5">
        <f>3945.08</f>
        <v>3945.08</v>
      </c>
      <c r="D47" s="5">
        <f>(B47)-(C47)</f>
        <v>-2876.66</v>
      </c>
      <c r="E47" s="6">
        <f>IF(ABS((C47))=0,"",((B47)-(C47))/(ABS((C47))))</f>
        <v>-0.72917659464446849</v>
      </c>
    </row>
    <row r="48" spans="1:12" x14ac:dyDescent="0.25">
      <c r="A48" s="3" t="s">
        <v>232</v>
      </c>
      <c r="B48" s="9">
        <f>B47</f>
        <v>1068.42</v>
      </c>
      <c r="C48" s="9">
        <f>C47</f>
        <v>3945.08</v>
      </c>
      <c r="D48" s="9">
        <f>(B48)-(C48)</f>
        <v>-2876.66</v>
      </c>
      <c r="E48" s="10">
        <f>IF(ABS((C48))=0,"",((B48)-(C48))/(ABS((C48))))</f>
        <v>-0.72917659464446849</v>
      </c>
    </row>
    <row r="49" spans="1:5" x14ac:dyDescent="0.25">
      <c r="A49" s="3" t="s">
        <v>233</v>
      </c>
      <c r="B49" s="4"/>
      <c r="C49" s="4"/>
      <c r="D49" s="4"/>
      <c r="E49" s="4"/>
    </row>
    <row r="50" spans="1:5" x14ac:dyDescent="0.25">
      <c r="A50" s="3" t="s">
        <v>234</v>
      </c>
      <c r="B50" s="5">
        <f>13.5</f>
        <v>13.5</v>
      </c>
      <c r="C50" s="5">
        <f>13.5</f>
        <v>13.5</v>
      </c>
      <c r="D50" s="5">
        <f t="shared" ref="D50:D60" si="4">(B50)-(C50)</f>
        <v>0</v>
      </c>
      <c r="E50" s="6">
        <f t="shared" ref="E50:E60" si="5">IF(ABS((C50))=0,"",((B50)-(C50))/(ABS((C50))))</f>
        <v>0</v>
      </c>
    </row>
    <row r="51" spans="1:5" x14ac:dyDescent="0.25">
      <c r="A51" s="3" t="s">
        <v>235</v>
      </c>
      <c r="B51" s="5">
        <f>0</f>
        <v>0</v>
      </c>
      <c r="C51" s="5">
        <f>0</f>
        <v>0</v>
      </c>
      <c r="D51" s="5">
        <f t="shared" si="4"/>
        <v>0</v>
      </c>
      <c r="E51" s="6" t="str">
        <f t="shared" si="5"/>
        <v/>
      </c>
    </row>
    <row r="52" spans="1:5" x14ac:dyDescent="0.25">
      <c r="A52" s="3" t="s">
        <v>236</v>
      </c>
      <c r="B52" s="5">
        <f>34</f>
        <v>34</v>
      </c>
      <c r="C52" s="5">
        <f>34</f>
        <v>34</v>
      </c>
      <c r="D52" s="5">
        <f t="shared" si="4"/>
        <v>0</v>
      </c>
      <c r="E52" s="6">
        <f t="shared" si="5"/>
        <v>0</v>
      </c>
    </row>
    <row r="53" spans="1:5" x14ac:dyDescent="0.25">
      <c r="A53" s="3" t="s">
        <v>237</v>
      </c>
      <c r="B53" s="5">
        <f>23924.25</f>
        <v>23924.25</v>
      </c>
      <c r="C53" s="5">
        <f>23924.25</f>
        <v>23924.25</v>
      </c>
      <c r="D53" s="5">
        <f t="shared" si="4"/>
        <v>0</v>
      </c>
      <c r="E53" s="6">
        <f t="shared" si="5"/>
        <v>0</v>
      </c>
    </row>
    <row r="54" spans="1:5" x14ac:dyDescent="0.25">
      <c r="A54" s="3" t="s">
        <v>238</v>
      </c>
      <c r="B54" s="5">
        <f>-71994.62</f>
        <v>-71994.62</v>
      </c>
      <c r="C54" s="5">
        <f>-69048.57</f>
        <v>-69048.570000000007</v>
      </c>
      <c r="D54" s="5">
        <f t="shared" si="4"/>
        <v>-2946.0499999999884</v>
      </c>
      <c r="E54" s="6">
        <f t="shared" si="5"/>
        <v>-4.2666343415946023E-2</v>
      </c>
    </row>
    <row r="55" spans="1:5" x14ac:dyDescent="0.25">
      <c r="A55" s="3" t="s">
        <v>239</v>
      </c>
      <c r="B55" s="5">
        <f>24114</f>
        <v>24114</v>
      </c>
      <c r="C55" s="5">
        <f>24114</f>
        <v>24114</v>
      </c>
      <c r="D55" s="5">
        <f t="shared" si="4"/>
        <v>0</v>
      </c>
      <c r="E55" s="6">
        <f t="shared" si="5"/>
        <v>0</v>
      </c>
    </row>
    <row r="56" spans="1:5" x14ac:dyDescent="0.25">
      <c r="A56" s="3" t="s">
        <v>240</v>
      </c>
      <c r="B56" s="5">
        <f>0</f>
        <v>0</v>
      </c>
      <c r="C56" s="5">
        <f>0</f>
        <v>0</v>
      </c>
      <c r="D56" s="5">
        <f t="shared" si="4"/>
        <v>0</v>
      </c>
      <c r="E56" s="6" t="str">
        <f t="shared" si="5"/>
        <v/>
      </c>
    </row>
    <row r="57" spans="1:5" x14ac:dyDescent="0.25">
      <c r="A57" s="3" t="s">
        <v>241</v>
      </c>
      <c r="B57" s="5">
        <f>82537.68</f>
        <v>82537.679999999993</v>
      </c>
      <c r="C57" s="5">
        <f>75546.15</f>
        <v>75546.149999999994</v>
      </c>
      <c r="D57" s="5">
        <f t="shared" si="4"/>
        <v>6991.5299999999988</v>
      </c>
      <c r="E57" s="6">
        <f t="shared" si="5"/>
        <v>9.2546476557706772E-2</v>
      </c>
    </row>
    <row r="58" spans="1:5" x14ac:dyDescent="0.25">
      <c r="A58" s="3" t="s">
        <v>242</v>
      </c>
      <c r="B58" s="9">
        <f>(((((((B50)+(B51))+(B52))+(B53))+(B54))+(B55))+(B56))+(B57)</f>
        <v>58628.81</v>
      </c>
      <c r="C58" s="9">
        <f>(((((((C50)+(C51))+(C52))+(C53))+(C54))+(C55))+(C56))+(C57)</f>
        <v>54583.329999999987</v>
      </c>
      <c r="D58" s="9">
        <f t="shared" si="4"/>
        <v>4045.4800000000105</v>
      </c>
      <c r="E58" s="10">
        <f t="shared" si="5"/>
        <v>7.4115668648285324E-2</v>
      </c>
    </row>
    <row r="59" spans="1:5" x14ac:dyDescent="0.25">
      <c r="A59" s="3" t="s">
        <v>243</v>
      </c>
      <c r="B59" s="9">
        <f>((B45)+(B48))+(B58)</f>
        <v>66520.599999999991</v>
      </c>
      <c r="C59" s="9">
        <f>((C45)+(C48))+(C58)</f>
        <v>65828.279999999984</v>
      </c>
      <c r="D59" s="9">
        <f t="shared" si="4"/>
        <v>692.32000000000698</v>
      </c>
      <c r="E59" s="10">
        <f t="shared" si="5"/>
        <v>1.0517060448792026E-2</v>
      </c>
    </row>
    <row r="60" spans="1:5" x14ac:dyDescent="0.25">
      <c r="A60" s="3" t="s">
        <v>244</v>
      </c>
      <c r="B60" s="9">
        <f>B59</f>
        <v>66520.599999999991</v>
      </c>
      <c r="C60" s="9">
        <f>C59</f>
        <v>65828.279999999984</v>
      </c>
      <c r="D60" s="9">
        <f t="shared" si="4"/>
        <v>692.32000000000698</v>
      </c>
      <c r="E60" s="10">
        <f t="shared" si="5"/>
        <v>1.0517060448792026E-2</v>
      </c>
    </row>
    <row r="61" spans="1:5" x14ac:dyDescent="0.25">
      <c r="A61" s="3" t="s">
        <v>245</v>
      </c>
      <c r="B61" s="4"/>
      <c r="C61" s="4"/>
      <c r="D61" s="4"/>
      <c r="E61" s="4"/>
    </row>
    <row r="62" spans="1:5" x14ac:dyDescent="0.25">
      <c r="A62" s="3" t="s">
        <v>246</v>
      </c>
      <c r="B62" s="5">
        <f>11429.62</f>
        <v>11429.62</v>
      </c>
      <c r="C62" s="5">
        <f>11429.62</f>
        <v>11429.62</v>
      </c>
      <c r="D62" s="5">
        <f t="shared" ref="D62:D68" si="6">(B62)-(C62)</f>
        <v>0</v>
      </c>
      <c r="E62" s="6">
        <f t="shared" ref="E62:E68" si="7">IF(ABS((C62))=0,"",((B62)-(C62))/(ABS((C62))))</f>
        <v>0</v>
      </c>
    </row>
    <row r="63" spans="1:5" x14ac:dyDescent="0.25">
      <c r="A63" s="3" t="s">
        <v>247</v>
      </c>
      <c r="B63" s="5">
        <f>268820.72</f>
        <v>268820.71999999997</v>
      </c>
      <c r="C63" s="5">
        <f>251917.36</f>
        <v>251917.36</v>
      </c>
      <c r="D63" s="5">
        <f t="shared" si="6"/>
        <v>16903.359999999986</v>
      </c>
      <c r="E63" s="6">
        <f t="shared" si="7"/>
        <v>6.7098829552675474E-2</v>
      </c>
    </row>
    <row r="64" spans="1:5" x14ac:dyDescent="0.25">
      <c r="A64" s="3" t="s">
        <v>248</v>
      </c>
      <c r="B64" s="5">
        <f>1131740</f>
        <v>1131740</v>
      </c>
      <c r="C64" s="5">
        <f>1391721</f>
        <v>1391721</v>
      </c>
      <c r="D64" s="5">
        <f t="shared" si="6"/>
        <v>-259981</v>
      </c>
      <c r="E64" s="6">
        <f t="shared" si="7"/>
        <v>-0.18680540136995849</v>
      </c>
    </row>
    <row r="65" spans="1:5" x14ac:dyDescent="0.25">
      <c r="A65" s="3" t="s">
        <v>249</v>
      </c>
      <c r="B65" s="5">
        <f>91636.18</f>
        <v>91636.18</v>
      </c>
      <c r="C65" s="5">
        <f>91636.18</f>
        <v>91636.18</v>
      </c>
      <c r="D65" s="5">
        <f t="shared" si="6"/>
        <v>0</v>
      </c>
      <c r="E65" s="6">
        <f t="shared" si="7"/>
        <v>0</v>
      </c>
    </row>
    <row r="66" spans="1:5" x14ac:dyDescent="0.25">
      <c r="A66" s="3" t="s">
        <v>250</v>
      </c>
      <c r="B66" s="5">
        <f>-10074.05</f>
        <v>-10074.049999999999</v>
      </c>
      <c r="C66" s="5">
        <f>19805.06</f>
        <v>19805.060000000001</v>
      </c>
      <c r="D66" s="5">
        <f t="shared" si="6"/>
        <v>-29879.11</v>
      </c>
      <c r="E66" s="6">
        <f t="shared" si="7"/>
        <v>-1.5086604130459589</v>
      </c>
    </row>
    <row r="67" spans="1:5" x14ac:dyDescent="0.25">
      <c r="A67" s="3" t="s">
        <v>251</v>
      </c>
      <c r="B67" s="9">
        <f>((((B62)+(B63))+(B64))+(B65))+(B66)</f>
        <v>1493552.4699999997</v>
      </c>
      <c r="C67" s="9">
        <f>((((C62)+(C63))+(C64))+(C65))+(C66)</f>
        <v>1766509.22</v>
      </c>
      <c r="D67" s="9">
        <f t="shared" si="6"/>
        <v>-272956.75000000023</v>
      </c>
      <c r="E67" s="10">
        <f t="shared" si="7"/>
        <v>-0.15451759147908678</v>
      </c>
    </row>
    <row r="68" spans="1:5" x14ac:dyDescent="0.25">
      <c r="A68" s="3" t="s">
        <v>252</v>
      </c>
      <c r="B68" s="9">
        <f>(B60)+(B67)</f>
        <v>1560073.0699999998</v>
      </c>
      <c r="C68" s="9">
        <f>(C60)+(C67)</f>
        <v>1832337.5</v>
      </c>
      <c r="D68" s="9">
        <f t="shared" si="6"/>
        <v>-272264.43000000017</v>
      </c>
      <c r="E68" s="10">
        <f t="shared" si="7"/>
        <v>-0.14858858152496479</v>
      </c>
    </row>
    <row r="69" spans="1:5" x14ac:dyDescent="0.25">
      <c r="A69" s="3"/>
      <c r="B69" s="4"/>
      <c r="C69" s="4"/>
      <c r="D69" s="4"/>
      <c r="E69" s="4"/>
    </row>
    <row r="72" spans="1:5" x14ac:dyDescent="0.25">
      <c r="A72" s="13" t="s">
        <v>253</v>
      </c>
      <c r="B72" s="14"/>
      <c r="C72" s="14"/>
      <c r="D72" s="14"/>
      <c r="E72" s="14"/>
    </row>
  </sheetData>
  <mergeCells count="5">
    <mergeCell ref="A1:E1"/>
    <mergeCell ref="A2:E2"/>
    <mergeCell ref="A3:E3"/>
    <mergeCell ref="B5:E5"/>
    <mergeCell ref="A72:E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47B3-2E69-4F15-992B-1BF90D226C3E}">
  <dimension ref="A1:G18"/>
  <sheetViews>
    <sheetView workbookViewId="0">
      <selection sqref="A1:G18"/>
    </sheetView>
  </sheetViews>
  <sheetFormatPr defaultRowHeight="15" x14ac:dyDescent="0.25"/>
  <cols>
    <col min="1" max="1" width="25.7109375" customWidth="1"/>
    <col min="2" max="7" width="12.85546875" customWidth="1"/>
  </cols>
  <sheetData>
    <row r="1" spans="1:7" ht="18" x14ac:dyDescent="0.25">
      <c r="A1" s="15" t="s">
        <v>170</v>
      </c>
      <c r="B1" s="14"/>
      <c r="C1" s="14"/>
      <c r="D1" s="14"/>
      <c r="E1" s="14"/>
      <c r="F1" s="14"/>
      <c r="G1" s="14"/>
    </row>
    <row r="2" spans="1:7" ht="18" x14ac:dyDescent="0.25">
      <c r="A2" s="15" t="s">
        <v>254</v>
      </c>
      <c r="B2" s="14"/>
      <c r="C2" s="14"/>
      <c r="D2" s="14"/>
      <c r="E2" s="14"/>
      <c r="F2" s="14"/>
      <c r="G2" s="14"/>
    </row>
    <row r="3" spans="1:7" x14ac:dyDescent="0.25">
      <c r="A3" s="16" t="s">
        <v>188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255</v>
      </c>
      <c r="C5" s="2" t="s">
        <v>256</v>
      </c>
      <c r="D5" s="2" t="s">
        <v>257</v>
      </c>
      <c r="E5" s="2" t="s">
        <v>258</v>
      </c>
      <c r="F5" s="2" t="s">
        <v>259</v>
      </c>
      <c r="G5" s="2" t="s">
        <v>0</v>
      </c>
    </row>
    <row r="6" spans="1:7" x14ac:dyDescent="0.25">
      <c r="A6" s="3" t="s">
        <v>260</v>
      </c>
      <c r="B6" s="4"/>
      <c r="C6" s="4"/>
      <c r="D6" s="4"/>
      <c r="E6" s="4"/>
      <c r="F6" s="5">
        <f>0</f>
        <v>0</v>
      </c>
      <c r="G6" s="5">
        <f t="shared" ref="G6:G14" si="0">((((B6)+(C6))+(D6))+(E6))+(F6)</f>
        <v>0</v>
      </c>
    </row>
    <row r="7" spans="1:7" x14ac:dyDescent="0.25">
      <c r="A7" s="3" t="s">
        <v>261</v>
      </c>
      <c r="B7" s="4"/>
      <c r="C7" s="4"/>
      <c r="D7" s="4"/>
      <c r="E7" s="4"/>
      <c r="F7" s="5">
        <f>0</f>
        <v>0</v>
      </c>
      <c r="G7" s="5">
        <f t="shared" si="0"/>
        <v>0</v>
      </c>
    </row>
    <row r="8" spans="1:7" x14ac:dyDescent="0.25">
      <c r="A8" s="3" t="s">
        <v>262</v>
      </c>
      <c r="B8" s="4"/>
      <c r="C8" s="4"/>
      <c r="D8" s="4"/>
      <c r="E8" s="4"/>
      <c r="F8" s="5">
        <f>0</f>
        <v>0</v>
      </c>
      <c r="G8" s="5">
        <f t="shared" si="0"/>
        <v>0</v>
      </c>
    </row>
    <row r="9" spans="1:7" x14ac:dyDescent="0.25">
      <c r="A9" s="3" t="s">
        <v>263</v>
      </c>
      <c r="B9" s="4"/>
      <c r="C9" s="4"/>
      <c r="D9" s="4"/>
      <c r="E9" s="4"/>
      <c r="F9" s="5">
        <f>13.1</f>
        <v>13.1</v>
      </c>
      <c r="G9" s="5">
        <f t="shared" si="0"/>
        <v>13.1</v>
      </c>
    </row>
    <row r="10" spans="1:7" x14ac:dyDescent="0.25">
      <c r="A10" s="3" t="s">
        <v>264</v>
      </c>
      <c r="B10" s="4"/>
      <c r="C10" s="4"/>
      <c r="D10" s="4"/>
      <c r="E10" s="4"/>
      <c r="F10" s="5">
        <f>0</f>
        <v>0</v>
      </c>
      <c r="G10" s="5">
        <f t="shared" si="0"/>
        <v>0</v>
      </c>
    </row>
    <row r="11" spans="1:7" x14ac:dyDescent="0.25">
      <c r="A11" s="3" t="s">
        <v>265</v>
      </c>
      <c r="B11" s="4"/>
      <c r="C11" s="4"/>
      <c r="D11" s="4"/>
      <c r="E11" s="4"/>
      <c r="F11" s="5">
        <f>0</f>
        <v>0</v>
      </c>
      <c r="G11" s="5">
        <f t="shared" si="0"/>
        <v>0</v>
      </c>
    </row>
    <row r="12" spans="1:7" x14ac:dyDescent="0.25">
      <c r="A12" s="3" t="s">
        <v>266</v>
      </c>
      <c r="B12" s="4"/>
      <c r="C12" s="4"/>
      <c r="D12" s="4"/>
      <c r="E12" s="4"/>
      <c r="F12" s="5">
        <f>88.15</f>
        <v>88.15</v>
      </c>
      <c r="G12" s="5">
        <f t="shared" si="0"/>
        <v>88.15</v>
      </c>
    </row>
    <row r="13" spans="1:7" x14ac:dyDescent="0.25">
      <c r="A13" s="3" t="s">
        <v>267</v>
      </c>
      <c r="B13" s="4"/>
      <c r="C13" s="4"/>
      <c r="D13" s="4"/>
      <c r="E13" s="4"/>
      <c r="F13" s="5">
        <f>0</f>
        <v>0</v>
      </c>
      <c r="G13" s="5">
        <f t="shared" si="0"/>
        <v>0</v>
      </c>
    </row>
    <row r="14" spans="1:7" x14ac:dyDescent="0.25">
      <c r="A14" s="3" t="s">
        <v>268</v>
      </c>
      <c r="B14" s="9">
        <f>(((((((B6)+(B7))+(B8))+(B9))+(B10))+(B11))+(B12))+(B13)</f>
        <v>0</v>
      </c>
      <c r="C14" s="9">
        <f>(((((((C6)+(C7))+(C8))+(C9))+(C10))+(C11))+(C12))+(C13)</f>
        <v>0</v>
      </c>
      <c r="D14" s="9">
        <f>(((((((D6)+(D7))+(D8))+(D9))+(D10))+(D11))+(D12))+(D13)</f>
        <v>0</v>
      </c>
      <c r="E14" s="9">
        <f>(((((((E6)+(E7))+(E8))+(E9))+(E10))+(E11))+(E12))+(E13)</f>
        <v>0</v>
      </c>
      <c r="F14" s="9">
        <f>(((((((F6)+(F7))+(F8))+(F9))+(F10))+(F11))+(F12))+(F13)</f>
        <v>101.25</v>
      </c>
      <c r="G14" s="9">
        <f t="shared" si="0"/>
        <v>101.25</v>
      </c>
    </row>
    <row r="15" spans="1:7" x14ac:dyDescent="0.25">
      <c r="A15" s="3"/>
      <c r="B15" s="4"/>
      <c r="C15" s="4"/>
      <c r="D15" s="4"/>
      <c r="E15" s="4"/>
      <c r="F15" s="4"/>
      <c r="G15" s="4"/>
    </row>
    <row r="18" spans="1:7" x14ac:dyDescent="0.25">
      <c r="A18" s="13" t="s">
        <v>269</v>
      </c>
      <c r="B18" s="14"/>
      <c r="C18" s="14"/>
      <c r="D18" s="14"/>
      <c r="E18" s="14"/>
      <c r="F18" s="14"/>
      <c r="G18" s="14"/>
    </row>
  </sheetData>
  <mergeCells count="4">
    <mergeCell ref="A1:G1"/>
    <mergeCell ref="A2:G2"/>
    <mergeCell ref="A3:G3"/>
    <mergeCell ref="A18:G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1C3A-F774-41CF-9737-076797AD2305}">
  <dimension ref="A1:G19"/>
  <sheetViews>
    <sheetView workbookViewId="0">
      <selection sqref="A1:G19"/>
    </sheetView>
  </sheetViews>
  <sheetFormatPr defaultRowHeight="15" x14ac:dyDescent="0.25"/>
  <cols>
    <col min="1" max="1" width="31" customWidth="1"/>
    <col min="2" max="7" width="12.85546875" customWidth="1"/>
  </cols>
  <sheetData>
    <row r="1" spans="1:7" ht="18" x14ac:dyDescent="0.25">
      <c r="A1" s="15" t="s">
        <v>170</v>
      </c>
      <c r="B1" s="14"/>
      <c r="C1" s="14"/>
      <c r="D1" s="14"/>
      <c r="E1" s="14"/>
      <c r="F1" s="14"/>
      <c r="G1" s="14"/>
    </row>
    <row r="2" spans="1:7" ht="18" x14ac:dyDescent="0.25">
      <c r="A2" s="15" t="s">
        <v>270</v>
      </c>
      <c r="B2" s="14"/>
      <c r="C2" s="14"/>
      <c r="D2" s="14"/>
      <c r="E2" s="14"/>
      <c r="F2" s="14"/>
      <c r="G2" s="14"/>
    </row>
    <row r="3" spans="1:7" x14ac:dyDescent="0.25">
      <c r="A3" s="16" t="s">
        <v>188</v>
      </c>
      <c r="B3" s="14"/>
      <c r="C3" s="14"/>
      <c r="D3" s="14"/>
      <c r="E3" s="14"/>
      <c r="F3" s="14"/>
      <c r="G3" s="14"/>
    </row>
    <row r="5" spans="1:7" x14ac:dyDescent="0.25">
      <c r="A5" s="1"/>
      <c r="B5" s="2" t="s">
        <v>255</v>
      </c>
      <c r="C5" s="2" t="s">
        <v>256</v>
      </c>
      <c r="D5" s="2" t="s">
        <v>257</v>
      </c>
      <c r="E5" s="2" t="s">
        <v>258</v>
      </c>
      <c r="F5" s="2" t="s">
        <v>259</v>
      </c>
      <c r="G5" s="2" t="s">
        <v>0</v>
      </c>
    </row>
    <row r="6" spans="1:7" x14ac:dyDescent="0.25">
      <c r="A6" s="3" t="s">
        <v>271</v>
      </c>
      <c r="B6" s="4"/>
      <c r="C6" s="4"/>
      <c r="D6" s="4"/>
      <c r="E6" s="4"/>
      <c r="F6" s="5">
        <f>0</f>
        <v>0</v>
      </c>
      <c r="G6" s="5">
        <f t="shared" ref="G6:G15" si="0">((((B6)+(C6))+(D6))+(E6))+(F6)</f>
        <v>0</v>
      </c>
    </row>
    <row r="7" spans="1:7" x14ac:dyDescent="0.25">
      <c r="A7" s="3" t="s">
        <v>272</v>
      </c>
      <c r="B7" s="5">
        <f>3939.99</f>
        <v>3939.99</v>
      </c>
      <c r="C7" s="4"/>
      <c r="D7" s="4"/>
      <c r="E7" s="4"/>
      <c r="F7" s="4"/>
      <c r="G7" s="5">
        <f t="shared" si="0"/>
        <v>3939.99</v>
      </c>
    </row>
    <row r="8" spans="1:7" x14ac:dyDescent="0.25">
      <c r="A8" s="3" t="s">
        <v>273</v>
      </c>
      <c r="B8" s="5">
        <f>498.75</f>
        <v>498.75</v>
      </c>
      <c r="C8" s="4"/>
      <c r="D8" s="4"/>
      <c r="E8" s="4"/>
      <c r="F8" s="4"/>
      <c r="G8" s="5">
        <f t="shared" si="0"/>
        <v>498.75</v>
      </c>
    </row>
    <row r="9" spans="1:7" x14ac:dyDescent="0.25">
      <c r="A9" s="3" t="s">
        <v>274</v>
      </c>
      <c r="B9" s="5">
        <f>43.21</f>
        <v>43.21</v>
      </c>
      <c r="C9" s="4"/>
      <c r="D9" s="4"/>
      <c r="E9" s="4"/>
      <c r="F9" s="4"/>
      <c r="G9" s="5">
        <f t="shared" si="0"/>
        <v>43.21</v>
      </c>
    </row>
    <row r="10" spans="1:7" x14ac:dyDescent="0.25">
      <c r="A10" s="3" t="s">
        <v>275</v>
      </c>
      <c r="B10" s="5">
        <f>2157.98</f>
        <v>2157.98</v>
      </c>
      <c r="C10" s="4"/>
      <c r="D10" s="4"/>
      <c r="E10" s="4"/>
      <c r="F10" s="5">
        <f>89.91</f>
        <v>89.91</v>
      </c>
      <c r="G10" s="5">
        <f t="shared" si="0"/>
        <v>2247.89</v>
      </c>
    </row>
    <row r="11" spans="1:7" x14ac:dyDescent="0.25">
      <c r="A11" s="3" t="s">
        <v>276</v>
      </c>
      <c r="B11" s="4"/>
      <c r="C11" s="4"/>
      <c r="D11" s="4"/>
      <c r="E11" s="4"/>
      <c r="F11" s="5">
        <f>0</f>
        <v>0</v>
      </c>
      <c r="G11" s="5">
        <f t="shared" si="0"/>
        <v>0</v>
      </c>
    </row>
    <row r="12" spans="1:7" x14ac:dyDescent="0.25">
      <c r="A12" s="3" t="s">
        <v>277</v>
      </c>
      <c r="B12" s="5">
        <f>93.53</f>
        <v>93.53</v>
      </c>
      <c r="C12" s="4"/>
      <c r="D12" s="4"/>
      <c r="E12" s="4"/>
      <c r="F12" s="4"/>
      <c r="G12" s="5">
        <f t="shared" si="0"/>
        <v>93.53</v>
      </c>
    </row>
    <row r="13" spans="1:7" x14ac:dyDescent="0.25">
      <c r="A13" s="3" t="s">
        <v>278</v>
      </c>
      <c r="B13" s="4"/>
      <c r="C13" s="4"/>
      <c r="D13" s="4"/>
      <c r="E13" s="4"/>
      <c r="F13" s="5">
        <f>0</f>
        <v>0</v>
      </c>
      <c r="G13" s="5">
        <f t="shared" si="0"/>
        <v>0</v>
      </c>
    </row>
    <row r="14" spans="1:7" x14ac:dyDescent="0.25">
      <c r="A14" s="3" t="s">
        <v>279</v>
      </c>
      <c r="B14" s="4"/>
      <c r="C14" s="4"/>
      <c r="D14" s="4"/>
      <c r="E14" s="4"/>
      <c r="F14" s="5">
        <f>0</f>
        <v>0</v>
      </c>
      <c r="G14" s="5">
        <f t="shared" si="0"/>
        <v>0</v>
      </c>
    </row>
    <row r="15" spans="1:7" x14ac:dyDescent="0.25">
      <c r="A15" s="3" t="s">
        <v>268</v>
      </c>
      <c r="B15" s="9">
        <f>((((((((B6)+(B7))+(B8))+(B9))+(B10))+(B11))+(B12))+(B13))+(B14)</f>
        <v>6733.46</v>
      </c>
      <c r="C15" s="9">
        <f>((((((((C6)+(C7))+(C8))+(C9))+(C10))+(C11))+(C12))+(C13))+(C14)</f>
        <v>0</v>
      </c>
      <c r="D15" s="9">
        <f>((((((((D6)+(D7))+(D8))+(D9))+(D10))+(D11))+(D12))+(D13))+(D14)</f>
        <v>0</v>
      </c>
      <c r="E15" s="9">
        <f>((((((((E6)+(E7))+(E8))+(E9))+(E10))+(E11))+(E12))+(E13))+(E14)</f>
        <v>0</v>
      </c>
      <c r="F15" s="9">
        <f>((((((((F6)+(F7))+(F8))+(F9))+(F10))+(F11))+(F12))+(F13))+(F14)</f>
        <v>89.91</v>
      </c>
      <c r="G15" s="9">
        <f t="shared" si="0"/>
        <v>6823.37</v>
      </c>
    </row>
    <row r="16" spans="1:7" x14ac:dyDescent="0.25">
      <c r="A16" s="3"/>
      <c r="B16" s="4"/>
      <c r="C16" s="4"/>
      <c r="D16" s="4"/>
      <c r="E16" s="4"/>
      <c r="F16" s="4"/>
      <c r="G16" s="4"/>
    </row>
    <row r="19" spans="1:7" x14ac:dyDescent="0.25">
      <c r="A19" s="13" t="s">
        <v>280</v>
      </c>
      <c r="B19" s="14"/>
      <c r="C19" s="14"/>
      <c r="D19" s="14"/>
      <c r="E19" s="14"/>
      <c r="F19" s="14"/>
      <c r="G19" s="14"/>
    </row>
  </sheetData>
  <mergeCells count="4">
    <mergeCell ref="A1:G1"/>
    <mergeCell ref="A2:G2"/>
    <mergeCell ref="A3:G3"/>
    <mergeCell ref="A19:G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A159-A8F8-4E0E-9C84-7DC741C056B0}">
  <dimension ref="A1:I32"/>
  <sheetViews>
    <sheetView workbookViewId="0">
      <selection activeCell="L16" sqref="L16"/>
    </sheetView>
  </sheetViews>
  <sheetFormatPr defaultRowHeight="15" x14ac:dyDescent="0.25"/>
  <cols>
    <col min="1" max="1" width="14.140625" customWidth="1"/>
    <col min="2" max="2" width="11.140625" customWidth="1"/>
    <col min="3" max="5" width="18" customWidth="1"/>
  </cols>
  <sheetData>
    <row r="1" spans="1:9" x14ac:dyDescent="0.25">
      <c r="A1" s="17" t="s">
        <v>348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7" t="s">
        <v>349</v>
      </c>
      <c r="B2" s="14"/>
      <c r="C2" s="14"/>
      <c r="D2" s="14"/>
      <c r="E2" s="14"/>
      <c r="F2" s="14"/>
      <c r="G2" s="14"/>
      <c r="H2" s="14"/>
      <c r="I2" s="14"/>
    </row>
    <row r="3" spans="1:9" ht="34.5" x14ac:dyDescent="0.25">
      <c r="A3" s="18" t="s">
        <v>281</v>
      </c>
      <c r="B3" s="18" t="s">
        <v>282</v>
      </c>
      <c r="C3" s="18" t="s">
        <v>283</v>
      </c>
      <c r="D3" s="18" t="s">
        <v>284</v>
      </c>
      <c r="E3" s="18" t="s">
        <v>285</v>
      </c>
      <c r="F3" s="18" t="s">
        <v>286</v>
      </c>
      <c r="G3" s="18" t="s">
        <v>287</v>
      </c>
      <c r="H3" s="18" t="s">
        <v>288</v>
      </c>
      <c r="I3" s="18" t="s">
        <v>289</v>
      </c>
    </row>
    <row r="4" spans="1:9" ht="23.25" x14ac:dyDescent="0.25">
      <c r="A4" s="19" t="s">
        <v>290</v>
      </c>
      <c r="B4" s="19"/>
      <c r="C4" s="19" t="s">
        <v>291</v>
      </c>
      <c r="D4" s="19" t="s">
        <v>292</v>
      </c>
      <c r="E4" s="19" t="s">
        <v>293</v>
      </c>
      <c r="F4" s="20">
        <v>7.99</v>
      </c>
      <c r="G4" s="19"/>
      <c r="H4" s="19"/>
      <c r="I4" s="20">
        <v>-2425.5100000000002</v>
      </c>
    </row>
    <row r="5" spans="1:9" x14ac:dyDescent="0.25">
      <c r="A5" s="19" t="s">
        <v>294</v>
      </c>
      <c r="B5" s="19"/>
      <c r="C5" s="19" t="s">
        <v>291</v>
      </c>
      <c r="D5" s="19" t="s">
        <v>295</v>
      </c>
      <c r="E5" s="19" t="s">
        <v>296</v>
      </c>
      <c r="F5" s="20">
        <v>35.17</v>
      </c>
      <c r="G5" s="19"/>
      <c r="H5" s="19"/>
      <c r="I5" s="20">
        <v>-2417.52</v>
      </c>
    </row>
    <row r="6" spans="1:9" x14ac:dyDescent="0.25">
      <c r="A6" s="19" t="s">
        <v>294</v>
      </c>
      <c r="B6" s="19"/>
      <c r="C6" s="19" t="s">
        <v>291</v>
      </c>
      <c r="D6" s="19" t="s">
        <v>297</v>
      </c>
      <c r="E6" s="19" t="s">
        <v>296</v>
      </c>
      <c r="F6" s="20">
        <v>47.34</v>
      </c>
      <c r="G6" s="19"/>
      <c r="H6" s="19"/>
      <c r="I6" s="20">
        <v>-2382.35</v>
      </c>
    </row>
    <row r="7" spans="1:9" x14ac:dyDescent="0.25">
      <c r="A7" s="19" t="s">
        <v>294</v>
      </c>
      <c r="B7" s="19"/>
      <c r="C7" s="19" t="s">
        <v>291</v>
      </c>
      <c r="D7" s="19" t="s">
        <v>298</v>
      </c>
      <c r="E7" s="19" t="s">
        <v>296</v>
      </c>
      <c r="F7" s="20">
        <v>135.91999999999999</v>
      </c>
      <c r="G7" s="19"/>
      <c r="H7" s="19"/>
      <c r="I7" s="20">
        <v>-2335.0100000000002</v>
      </c>
    </row>
    <row r="8" spans="1:9" ht="23.25" x14ac:dyDescent="0.25">
      <c r="A8" s="19" t="s">
        <v>299</v>
      </c>
      <c r="B8" s="19"/>
      <c r="C8" s="19" t="s">
        <v>291</v>
      </c>
      <c r="D8" s="19" t="s">
        <v>277</v>
      </c>
      <c r="E8" s="19" t="s">
        <v>300</v>
      </c>
      <c r="F8" s="20">
        <v>5.0199999999999996</v>
      </c>
      <c r="G8" s="19"/>
      <c r="H8" s="19"/>
      <c r="I8" s="20">
        <v>-2199.09</v>
      </c>
    </row>
    <row r="9" spans="1:9" x14ac:dyDescent="0.25">
      <c r="A9" s="19" t="s">
        <v>301</v>
      </c>
      <c r="B9" s="19"/>
      <c r="C9" s="19" t="s">
        <v>291</v>
      </c>
      <c r="D9" s="19" t="s">
        <v>302</v>
      </c>
      <c r="E9" s="19" t="s">
        <v>296</v>
      </c>
      <c r="F9" s="20">
        <v>23.65</v>
      </c>
      <c r="G9" s="19"/>
      <c r="H9" s="19"/>
      <c r="I9" s="20">
        <v>-2194.0700000000002</v>
      </c>
    </row>
    <row r="10" spans="1:9" x14ac:dyDescent="0.25">
      <c r="A10" s="19" t="s">
        <v>301</v>
      </c>
      <c r="B10" s="19"/>
      <c r="C10" s="19" t="s">
        <v>291</v>
      </c>
      <c r="D10" s="19" t="s">
        <v>303</v>
      </c>
      <c r="E10" s="19" t="s">
        <v>304</v>
      </c>
      <c r="F10" s="20">
        <v>54</v>
      </c>
      <c r="G10" s="19"/>
      <c r="H10" s="19"/>
      <c r="I10" s="20">
        <v>-2170.42</v>
      </c>
    </row>
    <row r="11" spans="1:9" x14ac:dyDescent="0.25">
      <c r="A11" s="19" t="s">
        <v>301</v>
      </c>
      <c r="B11" s="19"/>
      <c r="C11" s="19" t="s">
        <v>291</v>
      </c>
      <c r="D11" s="19" t="s">
        <v>305</v>
      </c>
      <c r="E11" s="19"/>
      <c r="F11" s="20">
        <v>1039</v>
      </c>
      <c r="G11" s="19"/>
      <c r="H11" s="19"/>
      <c r="I11" s="20">
        <v>-2116.42</v>
      </c>
    </row>
    <row r="12" spans="1:9" x14ac:dyDescent="0.25">
      <c r="A12" s="19" t="s">
        <v>301</v>
      </c>
      <c r="B12" s="19"/>
      <c r="C12" s="19" t="s">
        <v>291</v>
      </c>
      <c r="D12" s="19" t="s">
        <v>306</v>
      </c>
      <c r="E12" s="19" t="s">
        <v>307</v>
      </c>
      <c r="F12" s="20">
        <v>9</v>
      </c>
      <c r="G12" s="19"/>
      <c r="H12" s="19"/>
      <c r="I12" s="20">
        <v>-1077.42</v>
      </c>
    </row>
    <row r="13" spans="1:9" x14ac:dyDescent="0.25">
      <c r="A13" s="19" t="s">
        <v>308</v>
      </c>
      <c r="B13" s="19"/>
      <c r="C13" s="19" t="s">
        <v>291</v>
      </c>
      <c r="D13" s="19" t="s">
        <v>309</v>
      </c>
      <c r="E13" s="19" t="s">
        <v>304</v>
      </c>
      <c r="F13" s="20">
        <v>17</v>
      </c>
      <c r="G13" s="19"/>
      <c r="H13" s="19"/>
      <c r="I13" s="20">
        <v>-1068.42</v>
      </c>
    </row>
    <row r="14" spans="1:9" x14ac:dyDescent="0.25">
      <c r="A14" s="19" t="s">
        <v>308</v>
      </c>
      <c r="B14" s="19"/>
      <c r="C14" s="19" t="s">
        <v>291</v>
      </c>
      <c r="D14" s="19" t="s">
        <v>310</v>
      </c>
      <c r="E14" s="19" t="s">
        <v>304</v>
      </c>
      <c r="F14" s="20">
        <v>43.55</v>
      </c>
      <c r="G14" s="19"/>
      <c r="H14" s="19"/>
      <c r="I14" s="20">
        <v>-1051.42</v>
      </c>
    </row>
    <row r="15" spans="1:9" x14ac:dyDescent="0.25">
      <c r="A15" s="19" t="s">
        <v>311</v>
      </c>
      <c r="B15" s="19"/>
      <c r="C15" s="19" t="s">
        <v>291</v>
      </c>
      <c r="D15" s="19"/>
      <c r="E15" s="19" t="s">
        <v>296</v>
      </c>
      <c r="F15" s="20">
        <v>20</v>
      </c>
      <c r="G15" s="19"/>
      <c r="H15" s="19"/>
      <c r="I15" s="20">
        <v>-1007.87</v>
      </c>
    </row>
    <row r="16" spans="1:9" x14ac:dyDescent="0.25">
      <c r="A16" s="19" t="s">
        <v>312</v>
      </c>
      <c r="B16" s="19"/>
      <c r="C16" s="19" t="s">
        <v>291</v>
      </c>
      <c r="D16" s="19" t="s">
        <v>313</v>
      </c>
      <c r="E16" s="19" t="s">
        <v>304</v>
      </c>
      <c r="F16" s="20">
        <v>26.58</v>
      </c>
      <c r="G16" s="19"/>
      <c r="H16" s="19"/>
      <c r="I16" s="20">
        <v>-987.87</v>
      </c>
    </row>
    <row r="17" spans="1:9" x14ac:dyDescent="0.25">
      <c r="A17" s="19" t="s">
        <v>312</v>
      </c>
      <c r="B17" s="19"/>
      <c r="C17" s="19" t="s">
        <v>291</v>
      </c>
      <c r="D17" s="19" t="s">
        <v>295</v>
      </c>
      <c r="E17" s="19" t="s">
        <v>296</v>
      </c>
      <c r="F17" s="20">
        <v>44.75</v>
      </c>
      <c r="G17" s="19"/>
      <c r="H17" s="19"/>
      <c r="I17" s="20">
        <v>-961.29</v>
      </c>
    </row>
    <row r="18" spans="1:9" x14ac:dyDescent="0.25">
      <c r="A18" s="19" t="s">
        <v>314</v>
      </c>
      <c r="B18" s="19"/>
      <c r="C18" s="19" t="s">
        <v>291</v>
      </c>
      <c r="D18" s="19" t="s">
        <v>315</v>
      </c>
      <c r="E18" s="19" t="s">
        <v>316</v>
      </c>
      <c r="F18" s="20">
        <v>108.11</v>
      </c>
      <c r="G18" s="19"/>
      <c r="H18" s="19"/>
      <c r="I18" s="20">
        <v>-916.54</v>
      </c>
    </row>
    <row r="19" spans="1:9" ht="34.5" x14ac:dyDescent="0.25">
      <c r="A19" s="19" t="s">
        <v>317</v>
      </c>
      <c r="B19" s="19"/>
      <c r="C19" s="19" t="s">
        <v>318</v>
      </c>
      <c r="D19" s="19" t="s">
        <v>319</v>
      </c>
      <c r="E19" s="19" t="s">
        <v>320</v>
      </c>
      <c r="F19" s="19"/>
      <c r="G19" s="20">
        <v>6768.3</v>
      </c>
      <c r="H19" s="19" t="s">
        <v>321</v>
      </c>
      <c r="I19" s="20">
        <v>-808.43</v>
      </c>
    </row>
    <row r="20" spans="1:9" ht="23.25" x14ac:dyDescent="0.25">
      <c r="A20" s="19" t="s">
        <v>322</v>
      </c>
      <c r="B20" s="19"/>
      <c r="C20" s="19" t="s">
        <v>291</v>
      </c>
      <c r="D20" s="19" t="s">
        <v>323</v>
      </c>
      <c r="E20" s="19" t="s">
        <v>324</v>
      </c>
      <c r="F20" s="20">
        <v>100</v>
      </c>
      <c r="G20" s="19"/>
      <c r="H20" s="19"/>
      <c r="I20" s="20">
        <v>-7576.73</v>
      </c>
    </row>
    <row r="21" spans="1:9" x14ac:dyDescent="0.25">
      <c r="A21" s="19" t="s">
        <v>325</v>
      </c>
      <c r="B21" s="19"/>
      <c r="C21" s="19" t="s">
        <v>291</v>
      </c>
      <c r="D21" s="19" t="s">
        <v>326</v>
      </c>
      <c r="E21" s="19" t="s">
        <v>327</v>
      </c>
      <c r="F21" s="20">
        <v>0.99</v>
      </c>
      <c r="G21" s="19"/>
      <c r="H21" s="19" t="s">
        <v>328</v>
      </c>
      <c r="I21" s="20">
        <v>-7476.73</v>
      </c>
    </row>
    <row r="22" spans="1:9" ht="23.25" x14ac:dyDescent="0.25">
      <c r="A22" s="19" t="s">
        <v>325</v>
      </c>
      <c r="B22" s="19"/>
      <c r="C22" s="19" t="s">
        <v>291</v>
      </c>
      <c r="D22" s="19" t="s">
        <v>329</v>
      </c>
      <c r="E22" s="19" t="s">
        <v>330</v>
      </c>
      <c r="F22" s="20">
        <v>149.9</v>
      </c>
      <c r="G22" s="19"/>
      <c r="H22" s="19" t="s">
        <v>328</v>
      </c>
      <c r="I22" s="20">
        <v>-7475.74</v>
      </c>
    </row>
    <row r="23" spans="1:9" ht="23.25" x14ac:dyDescent="0.25">
      <c r="A23" s="19" t="s">
        <v>331</v>
      </c>
      <c r="B23" s="19" t="s">
        <v>332</v>
      </c>
      <c r="C23" s="19" t="s">
        <v>291</v>
      </c>
      <c r="D23" s="19" t="s">
        <v>333</v>
      </c>
      <c r="E23" s="19" t="s">
        <v>330</v>
      </c>
      <c r="F23" s="20">
        <v>1030</v>
      </c>
      <c r="G23" s="19"/>
      <c r="H23" s="19" t="s">
        <v>328</v>
      </c>
      <c r="I23" s="20">
        <v>-7325.84</v>
      </c>
    </row>
    <row r="24" spans="1:9" x14ac:dyDescent="0.25">
      <c r="A24" s="19" t="s">
        <v>334</v>
      </c>
      <c r="B24" s="19"/>
      <c r="C24" s="19" t="s">
        <v>291</v>
      </c>
      <c r="D24" s="19"/>
      <c r="E24" s="19" t="s">
        <v>316</v>
      </c>
      <c r="F24" s="20">
        <v>17.940000000000001</v>
      </c>
      <c r="G24" s="19"/>
      <c r="H24" s="19" t="s">
        <v>328</v>
      </c>
      <c r="I24" s="20">
        <v>-6295.84</v>
      </c>
    </row>
    <row r="25" spans="1:9" x14ac:dyDescent="0.25">
      <c r="A25" s="19" t="s">
        <v>334</v>
      </c>
      <c r="B25" s="19"/>
      <c r="C25" s="19" t="s">
        <v>291</v>
      </c>
      <c r="D25" s="19" t="s">
        <v>335</v>
      </c>
      <c r="E25" s="19" t="s">
        <v>316</v>
      </c>
      <c r="F25" s="20">
        <v>27.6</v>
      </c>
      <c r="G25" s="19"/>
      <c r="H25" s="19" t="s">
        <v>328</v>
      </c>
      <c r="I25" s="20">
        <v>-6277.9</v>
      </c>
    </row>
    <row r="26" spans="1:9" x14ac:dyDescent="0.25">
      <c r="A26" s="19" t="s">
        <v>334</v>
      </c>
      <c r="B26" s="19" t="s">
        <v>336</v>
      </c>
      <c r="C26" s="19" t="s">
        <v>291</v>
      </c>
      <c r="D26" s="19" t="s">
        <v>337</v>
      </c>
      <c r="E26" s="19" t="s">
        <v>307</v>
      </c>
      <c r="F26" s="20">
        <v>9</v>
      </c>
      <c r="G26" s="19"/>
      <c r="H26" s="19"/>
      <c r="I26" s="20">
        <v>-6250.3</v>
      </c>
    </row>
    <row r="27" spans="1:9" x14ac:dyDescent="0.25">
      <c r="A27" s="19" t="s">
        <v>334</v>
      </c>
      <c r="B27" s="19" t="s">
        <v>338</v>
      </c>
      <c r="C27" s="19" t="s">
        <v>291</v>
      </c>
      <c r="D27" s="19" t="s">
        <v>337</v>
      </c>
      <c r="E27" s="19" t="s">
        <v>307</v>
      </c>
      <c r="F27" s="20">
        <v>120</v>
      </c>
      <c r="G27" s="19"/>
      <c r="H27" s="19" t="s">
        <v>328</v>
      </c>
      <c r="I27" s="20">
        <v>-6241.3</v>
      </c>
    </row>
    <row r="28" spans="1:9" ht="23.25" x14ac:dyDescent="0.25">
      <c r="A28" s="19" t="s">
        <v>339</v>
      </c>
      <c r="B28" s="19"/>
      <c r="C28" s="19" t="s">
        <v>291</v>
      </c>
      <c r="D28" s="19" t="s">
        <v>340</v>
      </c>
      <c r="E28" s="19" t="s">
        <v>330</v>
      </c>
      <c r="F28" s="20">
        <v>144</v>
      </c>
      <c r="G28" s="19"/>
      <c r="H28" s="19" t="s">
        <v>328</v>
      </c>
      <c r="I28" s="20">
        <v>-6121.3</v>
      </c>
    </row>
    <row r="29" spans="1:9" ht="23.25" x14ac:dyDescent="0.25">
      <c r="A29" s="19" t="s">
        <v>341</v>
      </c>
      <c r="B29" s="19"/>
      <c r="C29" s="19" t="s">
        <v>291</v>
      </c>
      <c r="D29" s="19" t="s">
        <v>342</v>
      </c>
      <c r="E29" s="19" t="s">
        <v>330</v>
      </c>
      <c r="F29" s="20">
        <v>169</v>
      </c>
      <c r="G29" s="19"/>
      <c r="H29" s="19" t="s">
        <v>328</v>
      </c>
      <c r="I29" s="20">
        <v>-5977.3</v>
      </c>
    </row>
    <row r="30" spans="1:9" x14ac:dyDescent="0.25">
      <c r="A30" s="19" t="s">
        <v>341</v>
      </c>
      <c r="B30" s="19"/>
      <c r="C30" s="19" t="s">
        <v>291</v>
      </c>
      <c r="D30" s="19" t="s">
        <v>343</v>
      </c>
      <c r="E30" s="19" t="s">
        <v>344</v>
      </c>
      <c r="F30" s="20">
        <v>99.99</v>
      </c>
      <c r="G30" s="19"/>
      <c r="H30" s="19" t="s">
        <v>328</v>
      </c>
      <c r="I30" s="20">
        <v>-5808.3</v>
      </c>
    </row>
    <row r="31" spans="1:9" x14ac:dyDescent="0.25">
      <c r="A31" s="19" t="s">
        <v>345</v>
      </c>
      <c r="B31" s="19"/>
      <c r="C31" s="19" t="s">
        <v>291</v>
      </c>
      <c r="D31" s="19" t="s">
        <v>306</v>
      </c>
      <c r="E31" s="19" t="s">
        <v>307</v>
      </c>
      <c r="F31" s="20">
        <v>9</v>
      </c>
      <c r="G31" s="19"/>
      <c r="H31" s="19" t="s">
        <v>328</v>
      </c>
      <c r="I31" s="20">
        <v>-5708.31</v>
      </c>
    </row>
    <row r="32" spans="1:9" x14ac:dyDescent="0.25">
      <c r="A32" s="19" t="s">
        <v>345</v>
      </c>
      <c r="B32" s="19" t="s">
        <v>346</v>
      </c>
      <c r="C32" s="19" t="s">
        <v>291</v>
      </c>
      <c r="D32" s="19" t="s">
        <v>347</v>
      </c>
      <c r="E32" s="19" t="s">
        <v>307</v>
      </c>
      <c r="F32" s="20">
        <v>130</v>
      </c>
      <c r="G32" s="19"/>
      <c r="H32" s="19" t="s">
        <v>328</v>
      </c>
      <c r="I32" s="20">
        <v>-5699.31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BVA Expanded</vt:lpstr>
      <vt:lpstr>BVA Collapsed</vt:lpstr>
      <vt:lpstr>SOA Expanded</vt:lpstr>
      <vt:lpstr>SOA Collapsed</vt:lpstr>
      <vt:lpstr>SOF Collapsed</vt:lpstr>
      <vt:lpstr>AR</vt:lpstr>
      <vt:lpstr>AP</vt:lpstr>
      <vt:lpstr>BOA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Relay</cp:lastModifiedBy>
  <dcterms:created xsi:type="dcterms:W3CDTF">2023-03-09T20:02:59Z</dcterms:created>
  <dcterms:modified xsi:type="dcterms:W3CDTF">2023-03-10T01:21:26Z</dcterms:modified>
</cp:coreProperties>
</file>