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dezmuseum-my.sharepoint.com/personal/prelay_valdezmuseum_org/Documents/BOARD/BOD Reports/2023/"/>
    </mc:Choice>
  </mc:AlternateContent>
  <xr:revisionPtr revIDLastSave="150" documentId="8_{469151C9-FDD8-4E08-84F3-75D62147A4B4}" xr6:coauthVersionLast="47" xr6:coauthVersionMax="47" xr10:uidLastSave="{1089CDFF-B469-4689-B459-9D5976165962}"/>
  <bookViews>
    <workbookView xWindow="28680" yWindow="-120" windowWidth="25440" windowHeight="15390" activeTab="4" xr2:uid="{00000000-000D-0000-FFFF-FFFF00000000}"/>
  </bookViews>
  <sheets>
    <sheet name="BVA Expanded" sheetId="1" r:id="rId1"/>
    <sheet name="BVA Collapsed" sheetId="2" r:id="rId2"/>
    <sheet name="SOA Collapsed" sheetId="3" r:id="rId3"/>
    <sheet name="SOA Expanded" sheetId="4" r:id="rId4"/>
    <sheet name="SOF Collapsed" sheetId="5" r:id="rId5"/>
    <sheet name="AR" sheetId="7" r:id="rId6"/>
    <sheet name="AP" sheetId="8" r:id="rId7"/>
    <sheet name="BOA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5" l="1"/>
  <c r="J41" i="5"/>
  <c r="I41" i="5"/>
  <c r="J40" i="5"/>
  <c r="I40" i="5"/>
  <c r="I39" i="5"/>
  <c r="J11" i="5"/>
  <c r="I11" i="5"/>
  <c r="J10" i="5"/>
  <c r="I10" i="5"/>
  <c r="J9" i="5"/>
  <c r="I9" i="5"/>
  <c r="L39" i="3"/>
  <c r="K39" i="3"/>
  <c r="L11" i="3"/>
  <c r="K11" i="3"/>
  <c r="L10" i="3"/>
  <c r="K10" i="3"/>
  <c r="L9" i="3"/>
  <c r="K9" i="3"/>
  <c r="K36" i="2"/>
  <c r="J36" i="2"/>
  <c r="K35" i="2"/>
  <c r="J35" i="2"/>
  <c r="K10" i="2"/>
  <c r="J10" i="2"/>
  <c r="K9" i="2"/>
  <c r="J9" i="2"/>
  <c r="K8" i="2"/>
  <c r="J8" i="2"/>
  <c r="E14" i="7"/>
  <c r="D14" i="7"/>
  <c r="C14" i="7"/>
  <c r="B14" i="7"/>
  <c r="F13" i="7"/>
  <c r="G13" i="7" s="1"/>
  <c r="F12" i="7"/>
  <c r="G12" i="7" s="1"/>
  <c r="F11" i="7"/>
  <c r="G11" i="7" s="1"/>
  <c r="F10" i="7"/>
  <c r="G10" i="7" s="1"/>
  <c r="F9" i="7"/>
  <c r="G9" i="7" s="1"/>
  <c r="F8" i="7"/>
  <c r="G8" i="7" s="1"/>
  <c r="F7" i="7"/>
  <c r="G7" i="7" s="1"/>
  <c r="F6" i="7"/>
  <c r="F14" i="7" s="1"/>
  <c r="E18" i="8"/>
  <c r="D18" i="8"/>
  <c r="C18" i="8"/>
  <c r="B17" i="8"/>
  <c r="G17" i="8" s="1"/>
  <c r="F16" i="8"/>
  <c r="G16" i="8" s="1"/>
  <c r="F15" i="8"/>
  <c r="G15" i="8" s="1"/>
  <c r="B14" i="8"/>
  <c r="G14" i="8" s="1"/>
  <c r="B13" i="8"/>
  <c r="G13" i="8" s="1"/>
  <c r="F12" i="8"/>
  <c r="G12" i="8" s="1"/>
  <c r="F11" i="8"/>
  <c r="G11" i="8" s="1"/>
  <c r="B10" i="8"/>
  <c r="G10" i="8" s="1"/>
  <c r="B9" i="8"/>
  <c r="G9" i="8" s="1"/>
  <c r="B8" i="8"/>
  <c r="G8" i="8" s="1"/>
  <c r="B7" i="8"/>
  <c r="G7" i="8" s="1"/>
  <c r="F6" i="8"/>
  <c r="F18" i="8" s="1"/>
  <c r="C66" i="5"/>
  <c r="E66" i="5" s="1"/>
  <c r="B66" i="5"/>
  <c r="D66" i="5" s="1"/>
  <c r="C65" i="5"/>
  <c r="E65" i="5" s="1"/>
  <c r="B65" i="5"/>
  <c r="C64" i="5"/>
  <c r="E64" i="5" s="1"/>
  <c r="B64" i="5"/>
  <c r="D64" i="5" s="1"/>
  <c r="C63" i="5"/>
  <c r="C67" i="5" s="1"/>
  <c r="E67" i="5" s="1"/>
  <c r="B63" i="5"/>
  <c r="B67" i="5" s="1"/>
  <c r="D67" i="5" s="1"/>
  <c r="C62" i="5"/>
  <c r="E62" i="5" s="1"/>
  <c r="B62" i="5"/>
  <c r="C57" i="5"/>
  <c r="E57" i="5" s="1"/>
  <c r="B57" i="5"/>
  <c r="D57" i="5" s="1"/>
  <c r="C56" i="5"/>
  <c r="E56" i="5" s="1"/>
  <c r="B56" i="5"/>
  <c r="D56" i="5" s="1"/>
  <c r="C55" i="5"/>
  <c r="E55" i="5" s="1"/>
  <c r="B55" i="5"/>
  <c r="C54" i="5"/>
  <c r="E54" i="5" s="1"/>
  <c r="B54" i="5"/>
  <c r="D54" i="5" s="1"/>
  <c r="C53" i="5"/>
  <c r="E53" i="5" s="1"/>
  <c r="B53" i="5"/>
  <c r="D53" i="5" s="1"/>
  <c r="C52" i="5"/>
  <c r="E52" i="5" s="1"/>
  <c r="B52" i="5"/>
  <c r="C51" i="5"/>
  <c r="E51" i="5" s="1"/>
  <c r="B51" i="5"/>
  <c r="D51" i="5" s="1"/>
  <c r="C50" i="5"/>
  <c r="C58" i="5" s="1"/>
  <c r="E58" i="5" s="1"/>
  <c r="B50" i="5"/>
  <c r="B58" i="5" s="1"/>
  <c r="C47" i="5"/>
  <c r="C48" i="5" s="1"/>
  <c r="B47" i="5"/>
  <c r="B48" i="5" s="1"/>
  <c r="D48" i="5" s="1"/>
  <c r="C45" i="5"/>
  <c r="E45" i="5" s="1"/>
  <c r="B45" i="5"/>
  <c r="B59" i="5" s="1"/>
  <c r="C44" i="5"/>
  <c r="E44" i="5" s="1"/>
  <c r="B44" i="5"/>
  <c r="C38" i="5"/>
  <c r="E38" i="5" s="1"/>
  <c r="B38" i="5"/>
  <c r="D38" i="5" s="1"/>
  <c r="C37" i="5"/>
  <c r="E37" i="5" s="1"/>
  <c r="B37" i="5"/>
  <c r="C34" i="5"/>
  <c r="E34" i="5" s="1"/>
  <c r="B34" i="5"/>
  <c r="D34" i="5" s="1"/>
  <c r="C33" i="5"/>
  <c r="E33" i="5" s="1"/>
  <c r="B33" i="5"/>
  <c r="C32" i="5"/>
  <c r="E32" i="5" s="1"/>
  <c r="B32" i="5"/>
  <c r="D32" i="5" s="1"/>
  <c r="C28" i="5"/>
  <c r="E28" i="5" s="1"/>
  <c r="B28" i="5"/>
  <c r="D28" i="5" s="1"/>
  <c r="C27" i="5"/>
  <c r="E27" i="5" s="1"/>
  <c r="B27" i="5"/>
  <c r="D27" i="5" s="1"/>
  <c r="C26" i="5"/>
  <c r="E26" i="5" s="1"/>
  <c r="B26" i="5"/>
  <c r="D26" i="5" s="1"/>
  <c r="C25" i="5"/>
  <c r="E25" i="5" s="1"/>
  <c r="B25" i="5"/>
  <c r="D25" i="5" s="1"/>
  <c r="C24" i="5"/>
  <c r="E24" i="5" s="1"/>
  <c r="B24" i="5"/>
  <c r="D24" i="5" s="1"/>
  <c r="C23" i="5"/>
  <c r="E23" i="5" s="1"/>
  <c r="B23" i="5"/>
  <c r="D23" i="5" s="1"/>
  <c r="C22" i="5"/>
  <c r="C29" i="5" s="1"/>
  <c r="E29" i="5" s="1"/>
  <c r="B22" i="5"/>
  <c r="B29" i="5" s="1"/>
  <c r="C20" i="5"/>
  <c r="E20" i="5" s="1"/>
  <c r="B20" i="5"/>
  <c r="D20" i="5" s="1"/>
  <c r="C19" i="5"/>
  <c r="E19" i="5" s="1"/>
  <c r="B19" i="5"/>
  <c r="C18" i="5"/>
  <c r="E18" i="5" s="1"/>
  <c r="B18" i="5"/>
  <c r="D18" i="5" s="1"/>
  <c r="C15" i="5"/>
  <c r="E15" i="5" s="1"/>
  <c r="B15" i="5"/>
  <c r="D15" i="5" s="1"/>
  <c r="C14" i="5"/>
  <c r="E14" i="5" s="1"/>
  <c r="B14" i="5"/>
  <c r="D14" i="5" s="1"/>
  <c r="C13" i="5"/>
  <c r="E13" i="5" s="1"/>
  <c r="B13" i="5"/>
  <c r="D13" i="5" s="1"/>
  <c r="C12" i="5"/>
  <c r="E12" i="5" s="1"/>
  <c r="B12" i="5"/>
  <c r="D12" i="5" s="1"/>
  <c r="C11" i="5"/>
  <c r="E11" i="5" s="1"/>
  <c r="B11" i="5"/>
  <c r="D11" i="5" s="1"/>
  <c r="C10" i="5"/>
  <c r="E10" i="5" s="1"/>
  <c r="B10" i="5"/>
  <c r="D10" i="5" s="1"/>
  <c r="C116" i="4"/>
  <c r="C117" i="4" s="1"/>
  <c r="E117" i="4" s="1"/>
  <c r="B116" i="4"/>
  <c r="B117" i="4" s="1"/>
  <c r="D117" i="4" s="1"/>
  <c r="C115" i="4"/>
  <c r="E115" i="4" s="1"/>
  <c r="C110" i="4"/>
  <c r="C111" i="4" s="1"/>
  <c r="B110" i="4"/>
  <c r="B111" i="4" s="1"/>
  <c r="D111" i="4" s="1"/>
  <c r="E109" i="4"/>
  <c r="D109" i="4"/>
  <c r="C108" i="4"/>
  <c r="D108" i="4" s="1"/>
  <c r="B108" i="4"/>
  <c r="C107" i="4"/>
  <c r="E107" i="4" s="1"/>
  <c r="B107" i="4"/>
  <c r="D107" i="4" s="1"/>
  <c r="C105" i="4"/>
  <c r="D105" i="4" s="1"/>
  <c r="B105" i="4"/>
  <c r="E104" i="4"/>
  <c r="B104" i="4"/>
  <c r="D104" i="4" s="1"/>
  <c r="C103" i="4"/>
  <c r="E103" i="4" s="1"/>
  <c r="B103" i="4"/>
  <c r="D103" i="4" s="1"/>
  <c r="C102" i="4"/>
  <c r="E102" i="4" s="1"/>
  <c r="B102" i="4"/>
  <c r="D102" i="4" s="1"/>
  <c r="D101" i="4"/>
  <c r="C101" i="4"/>
  <c r="E101" i="4" s="1"/>
  <c r="B101" i="4"/>
  <c r="E100" i="4"/>
  <c r="B100" i="4"/>
  <c r="D100" i="4" s="1"/>
  <c r="E99" i="4"/>
  <c r="D99" i="4"/>
  <c r="C98" i="4"/>
  <c r="D98" i="4" s="1"/>
  <c r="B98" i="4"/>
  <c r="E97" i="4"/>
  <c r="C97" i="4"/>
  <c r="B97" i="4"/>
  <c r="D97" i="4" s="1"/>
  <c r="C96" i="4"/>
  <c r="E96" i="4" s="1"/>
  <c r="B96" i="4"/>
  <c r="D96" i="4" s="1"/>
  <c r="C95" i="4"/>
  <c r="E95" i="4" s="1"/>
  <c r="E94" i="4"/>
  <c r="D94" i="4"/>
  <c r="B94" i="4"/>
  <c r="E93" i="4"/>
  <c r="B93" i="4"/>
  <c r="D93" i="4" s="1"/>
  <c r="C92" i="4"/>
  <c r="E92" i="4" s="1"/>
  <c r="B92" i="4"/>
  <c r="D92" i="4" s="1"/>
  <c r="E91" i="4"/>
  <c r="C91" i="4"/>
  <c r="B91" i="4"/>
  <c r="B95" i="4" s="1"/>
  <c r="D95" i="4" s="1"/>
  <c r="D90" i="4"/>
  <c r="C90" i="4"/>
  <c r="E90" i="4" s="1"/>
  <c r="E89" i="4"/>
  <c r="D89" i="4"/>
  <c r="D87" i="4"/>
  <c r="C87" i="4"/>
  <c r="E87" i="4" s="1"/>
  <c r="B87" i="4"/>
  <c r="C86" i="4"/>
  <c r="B86" i="4"/>
  <c r="E86" i="4" s="1"/>
  <c r="C85" i="4"/>
  <c r="C88" i="4" s="1"/>
  <c r="E88" i="4" s="1"/>
  <c r="B85" i="4"/>
  <c r="B88" i="4" s="1"/>
  <c r="D84" i="4"/>
  <c r="C84" i="4"/>
  <c r="E84" i="4" s="1"/>
  <c r="B84" i="4"/>
  <c r="E83" i="4"/>
  <c r="D83" i="4"/>
  <c r="E82" i="4"/>
  <c r="D82" i="4"/>
  <c r="B82" i="4"/>
  <c r="C81" i="4"/>
  <c r="D81" i="4" s="1"/>
  <c r="B81" i="4"/>
  <c r="E80" i="4"/>
  <c r="D80" i="4"/>
  <c r="B80" i="4"/>
  <c r="E79" i="4"/>
  <c r="D79" i="4"/>
  <c r="C78" i="4"/>
  <c r="B78" i="4"/>
  <c r="E78" i="4" s="1"/>
  <c r="B77" i="4"/>
  <c r="C76" i="4"/>
  <c r="E76" i="4" s="1"/>
  <c r="B76" i="4"/>
  <c r="D76" i="4" s="1"/>
  <c r="C75" i="4"/>
  <c r="C77" i="4" s="1"/>
  <c r="B75" i="4"/>
  <c r="E75" i="4" s="1"/>
  <c r="E74" i="4"/>
  <c r="D74" i="4"/>
  <c r="E72" i="4"/>
  <c r="C72" i="4"/>
  <c r="B72" i="4"/>
  <c r="D72" i="4" s="1"/>
  <c r="C71" i="4"/>
  <c r="E71" i="4" s="1"/>
  <c r="B71" i="4"/>
  <c r="D71" i="4" s="1"/>
  <c r="E70" i="4"/>
  <c r="D70" i="4"/>
  <c r="C70" i="4"/>
  <c r="C73" i="4" s="1"/>
  <c r="E73" i="4" s="1"/>
  <c r="B70" i="4"/>
  <c r="B73" i="4" s="1"/>
  <c r="E69" i="4"/>
  <c r="D69" i="4"/>
  <c r="C68" i="4"/>
  <c r="B68" i="4"/>
  <c r="E68" i="4" s="1"/>
  <c r="E67" i="4"/>
  <c r="D67" i="4"/>
  <c r="C67" i="4"/>
  <c r="E66" i="4"/>
  <c r="D66" i="4"/>
  <c r="D65" i="4"/>
  <c r="C65" i="4"/>
  <c r="E65" i="4" s="1"/>
  <c r="B65" i="4"/>
  <c r="C64" i="4"/>
  <c r="E64" i="4" s="1"/>
  <c r="B64" i="4"/>
  <c r="D64" i="4" s="1"/>
  <c r="E63" i="4"/>
  <c r="C63" i="4"/>
  <c r="D63" i="4" s="1"/>
  <c r="B63" i="4"/>
  <c r="D62" i="4"/>
  <c r="C62" i="4"/>
  <c r="E62" i="4" s="1"/>
  <c r="C61" i="4"/>
  <c r="E60" i="4"/>
  <c r="D60" i="4"/>
  <c r="C60" i="4"/>
  <c r="B60" i="4"/>
  <c r="B61" i="4" s="1"/>
  <c r="E59" i="4"/>
  <c r="D59" i="4"/>
  <c r="C56" i="4"/>
  <c r="E56" i="4" s="1"/>
  <c r="B56" i="4"/>
  <c r="D56" i="4" s="1"/>
  <c r="E55" i="4"/>
  <c r="D55" i="4"/>
  <c r="B55" i="4"/>
  <c r="E54" i="4"/>
  <c r="D54" i="4"/>
  <c r="C54" i="4"/>
  <c r="E49" i="4"/>
  <c r="D49" i="4"/>
  <c r="B49" i="4"/>
  <c r="C48" i="4"/>
  <c r="D48" i="4" s="1"/>
  <c r="E47" i="4"/>
  <c r="D47" i="4"/>
  <c r="C47" i="4"/>
  <c r="B47" i="4"/>
  <c r="E46" i="4"/>
  <c r="B46" i="4"/>
  <c r="D46" i="4" s="1"/>
  <c r="C45" i="4"/>
  <c r="E45" i="4" s="1"/>
  <c r="E44" i="4"/>
  <c r="D44" i="4"/>
  <c r="C44" i="4"/>
  <c r="E43" i="4"/>
  <c r="C43" i="4"/>
  <c r="D43" i="4" s="1"/>
  <c r="E42" i="4"/>
  <c r="C42" i="4"/>
  <c r="B42" i="4"/>
  <c r="D42" i="4" s="1"/>
  <c r="C41" i="4"/>
  <c r="E41" i="4" s="1"/>
  <c r="E40" i="4"/>
  <c r="C40" i="4"/>
  <c r="D40" i="4" s="1"/>
  <c r="B40" i="4"/>
  <c r="E39" i="4"/>
  <c r="D39" i="4"/>
  <c r="C39" i="4"/>
  <c r="E38" i="4"/>
  <c r="D38" i="4"/>
  <c r="B38" i="4"/>
  <c r="C37" i="4"/>
  <c r="D37" i="4" s="1"/>
  <c r="B37" i="4"/>
  <c r="E36" i="4"/>
  <c r="C36" i="4"/>
  <c r="D36" i="4" s="1"/>
  <c r="E35" i="4"/>
  <c r="C35" i="4"/>
  <c r="B35" i="4"/>
  <c r="D35" i="4" s="1"/>
  <c r="C34" i="4"/>
  <c r="E34" i="4" s="1"/>
  <c r="E33" i="4"/>
  <c r="C33" i="4"/>
  <c r="D33" i="4" s="1"/>
  <c r="B33" i="4"/>
  <c r="D32" i="4"/>
  <c r="C32" i="4"/>
  <c r="B32" i="4"/>
  <c r="E32" i="4" s="1"/>
  <c r="C31" i="4"/>
  <c r="C50" i="4" s="1"/>
  <c r="B31" i="4"/>
  <c r="B50" i="4" s="1"/>
  <c r="D50" i="4" s="1"/>
  <c r="E30" i="4"/>
  <c r="D30" i="4"/>
  <c r="E29" i="4"/>
  <c r="C29" i="4"/>
  <c r="B29" i="4"/>
  <c r="D29" i="4" s="1"/>
  <c r="E28" i="4"/>
  <c r="D28" i="4"/>
  <c r="B28" i="4"/>
  <c r="E27" i="4"/>
  <c r="D27" i="4"/>
  <c r="E26" i="4"/>
  <c r="D26" i="4"/>
  <c r="C26" i="4"/>
  <c r="B26" i="4"/>
  <c r="E25" i="4"/>
  <c r="B25" i="4"/>
  <c r="D25" i="4" s="1"/>
  <c r="E24" i="4"/>
  <c r="D24" i="4"/>
  <c r="B24" i="4"/>
  <c r="E23" i="4"/>
  <c r="D23" i="4"/>
  <c r="B22" i="4"/>
  <c r="C21" i="4"/>
  <c r="C22" i="4" s="1"/>
  <c r="B21" i="4"/>
  <c r="D21" i="4" s="1"/>
  <c r="E20" i="4"/>
  <c r="D20" i="4"/>
  <c r="E19" i="4"/>
  <c r="D19" i="4"/>
  <c r="E18" i="4"/>
  <c r="D18" i="4"/>
  <c r="C18" i="4"/>
  <c r="D16" i="4"/>
  <c r="C16" i="4"/>
  <c r="E16" i="4" s="1"/>
  <c r="B16" i="4"/>
  <c r="C15" i="4"/>
  <c r="C17" i="4" s="1"/>
  <c r="E14" i="4"/>
  <c r="C14" i="4"/>
  <c r="B14" i="4"/>
  <c r="B15" i="4" s="1"/>
  <c r="E13" i="4"/>
  <c r="D13" i="4"/>
  <c r="E12" i="4"/>
  <c r="D12" i="4"/>
  <c r="C11" i="4"/>
  <c r="E10" i="4"/>
  <c r="C10" i="4"/>
  <c r="B10" i="4"/>
  <c r="B11" i="4" s="1"/>
  <c r="D9" i="4"/>
  <c r="C9" i="4"/>
  <c r="E9" i="4" s="1"/>
  <c r="E8" i="4"/>
  <c r="D8" i="4"/>
  <c r="D44" i="3"/>
  <c r="C44" i="3"/>
  <c r="C45" i="3" s="1"/>
  <c r="E45" i="3" s="1"/>
  <c r="B44" i="3"/>
  <c r="B45" i="3" s="1"/>
  <c r="D45" i="3" s="1"/>
  <c r="C43" i="3"/>
  <c r="E43" i="3" s="1"/>
  <c r="C40" i="3"/>
  <c r="E39" i="3"/>
  <c r="C39" i="3"/>
  <c r="B39" i="3"/>
  <c r="D39" i="3" s="1"/>
  <c r="C38" i="3"/>
  <c r="E38" i="3" s="1"/>
  <c r="B38" i="3"/>
  <c r="D38" i="3" s="1"/>
  <c r="C37" i="3"/>
  <c r="E37" i="3" s="1"/>
  <c r="B37" i="3"/>
  <c r="D37" i="3" s="1"/>
  <c r="E36" i="3"/>
  <c r="C36" i="3"/>
  <c r="B36" i="3"/>
  <c r="D36" i="3" s="1"/>
  <c r="C35" i="3"/>
  <c r="E35" i="3" s="1"/>
  <c r="B35" i="3"/>
  <c r="D35" i="3" s="1"/>
  <c r="C34" i="3"/>
  <c r="E34" i="3" s="1"/>
  <c r="B34" i="3"/>
  <c r="D34" i="3" s="1"/>
  <c r="E33" i="3"/>
  <c r="C33" i="3"/>
  <c r="B33" i="3"/>
  <c r="D33" i="3" s="1"/>
  <c r="C32" i="3"/>
  <c r="E32" i="3" s="1"/>
  <c r="B32" i="3"/>
  <c r="D32" i="3" s="1"/>
  <c r="C31" i="3"/>
  <c r="E31" i="3" s="1"/>
  <c r="B31" i="3"/>
  <c r="D31" i="3" s="1"/>
  <c r="E30" i="3"/>
  <c r="C30" i="3"/>
  <c r="B30" i="3"/>
  <c r="D30" i="3" s="1"/>
  <c r="E29" i="3"/>
  <c r="B29" i="3"/>
  <c r="D29" i="3" s="1"/>
  <c r="E28" i="3"/>
  <c r="D28" i="3"/>
  <c r="B28" i="3"/>
  <c r="C27" i="3"/>
  <c r="E27" i="3" s="1"/>
  <c r="B27" i="3"/>
  <c r="C26" i="3"/>
  <c r="E26" i="3" s="1"/>
  <c r="B26" i="3"/>
  <c r="D26" i="3" s="1"/>
  <c r="D25" i="3"/>
  <c r="C25" i="3"/>
  <c r="E25" i="3" s="1"/>
  <c r="B25" i="3"/>
  <c r="C24" i="3"/>
  <c r="E24" i="3" s="1"/>
  <c r="C23" i="3"/>
  <c r="B23" i="3"/>
  <c r="E23" i="3" s="1"/>
  <c r="C22" i="3"/>
  <c r="E22" i="3" s="1"/>
  <c r="B22" i="3"/>
  <c r="D22" i="3" s="1"/>
  <c r="C21" i="3"/>
  <c r="E21" i="3" s="1"/>
  <c r="B21" i="3"/>
  <c r="D21" i="3" s="1"/>
  <c r="E20" i="3"/>
  <c r="D20" i="3"/>
  <c r="C20" i="3"/>
  <c r="E19" i="3"/>
  <c r="C19" i="3"/>
  <c r="B19" i="3"/>
  <c r="D19" i="3" s="1"/>
  <c r="E15" i="3"/>
  <c r="B15" i="3"/>
  <c r="B16" i="3" s="1"/>
  <c r="E14" i="3"/>
  <c r="D14" i="3"/>
  <c r="C14" i="3"/>
  <c r="C16" i="3" s="1"/>
  <c r="E16" i="3" s="1"/>
  <c r="C12" i="3"/>
  <c r="C17" i="3" s="1"/>
  <c r="C11" i="3"/>
  <c r="E11" i="3" s="1"/>
  <c r="B11" i="3"/>
  <c r="D11" i="3" s="1"/>
  <c r="D10" i="3"/>
  <c r="C10" i="3"/>
  <c r="E10" i="3" s="1"/>
  <c r="C9" i="3"/>
  <c r="E9" i="3" s="1"/>
  <c r="B9" i="3"/>
  <c r="D9" i="3" s="1"/>
  <c r="C8" i="3"/>
  <c r="B8" i="3"/>
  <c r="B12" i="3" s="1"/>
  <c r="B47" i="2"/>
  <c r="C46" i="2"/>
  <c r="E46" i="2" s="1"/>
  <c r="B46" i="2"/>
  <c r="D46" i="2" s="1"/>
  <c r="C45" i="2"/>
  <c r="E45" i="2" s="1"/>
  <c r="B45" i="2"/>
  <c r="D45" i="2" s="1"/>
  <c r="C44" i="2"/>
  <c r="E44" i="2" s="1"/>
  <c r="E43" i="2"/>
  <c r="C43" i="2"/>
  <c r="D43" i="2" s="1"/>
  <c r="C42" i="2"/>
  <c r="E42" i="2" s="1"/>
  <c r="B42" i="2"/>
  <c r="D42" i="2" s="1"/>
  <c r="C41" i="2"/>
  <c r="E41" i="2" s="1"/>
  <c r="B41" i="2"/>
  <c r="D41" i="2" s="1"/>
  <c r="E40" i="2"/>
  <c r="D40" i="2"/>
  <c r="C40" i="2"/>
  <c r="B40" i="2"/>
  <c r="C39" i="2"/>
  <c r="E39" i="2" s="1"/>
  <c r="B39" i="2"/>
  <c r="D39" i="2" s="1"/>
  <c r="C38" i="2"/>
  <c r="E38" i="2" s="1"/>
  <c r="B38" i="2"/>
  <c r="D38" i="2" s="1"/>
  <c r="E37" i="2"/>
  <c r="D37" i="2"/>
  <c r="C37" i="2"/>
  <c r="B37" i="2"/>
  <c r="C36" i="2"/>
  <c r="E36" i="2" s="1"/>
  <c r="B36" i="2"/>
  <c r="D36" i="2" s="1"/>
  <c r="C35" i="2"/>
  <c r="E35" i="2" s="1"/>
  <c r="C34" i="2"/>
  <c r="D34" i="2" s="1"/>
  <c r="C33" i="2"/>
  <c r="E33" i="2" s="1"/>
  <c r="B33" i="2"/>
  <c r="D33" i="2" s="1"/>
  <c r="C32" i="2"/>
  <c r="E32" i="2" s="1"/>
  <c r="C31" i="2"/>
  <c r="E31" i="2" s="1"/>
  <c r="B31" i="2"/>
  <c r="D31" i="2" s="1"/>
  <c r="E30" i="2"/>
  <c r="D30" i="2"/>
  <c r="C30" i="2"/>
  <c r="B30" i="2"/>
  <c r="C29" i="2"/>
  <c r="E29" i="2" s="1"/>
  <c r="B29" i="2"/>
  <c r="D29" i="2" s="1"/>
  <c r="C28" i="2"/>
  <c r="E28" i="2" s="1"/>
  <c r="B28" i="2"/>
  <c r="D28" i="2" s="1"/>
  <c r="E27" i="2"/>
  <c r="D27" i="2"/>
  <c r="C27" i="2"/>
  <c r="B27" i="2"/>
  <c r="C26" i="2"/>
  <c r="E26" i="2" s="1"/>
  <c r="B26" i="2"/>
  <c r="D26" i="2" s="1"/>
  <c r="C25" i="2"/>
  <c r="E25" i="2" s="1"/>
  <c r="E24" i="2"/>
  <c r="D24" i="2"/>
  <c r="C24" i="2"/>
  <c r="B24" i="2"/>
  <c r="C23" i="2"/>
  <c r="E23" i="2" s="1"/>
  <c r="B23" i="2"/>
  <c r="D23" i="2" s="1"/>
  <c r="C22" i="2"/>
  <c r="E22" i="2" s="1"/>
  <c r="B22" i="2"/>
  <c r="D22" i="2" s="1"/>
  <c r="E21" i="2"/>
  <c r="D21" i="2"/>
  <c r="C21" i="2"/>
  <c r="C20" i="2"/>
  <c r="E20" i="2" s="1"/>
  <c r="B20" i="2"/>
  <c r="D20" i="2" s="1"/>
  <c r="C17" i="2"/>
  <c r="D17" i="2" s="1"/>
  <c r="B17" i="2"/>
  <c r="C16" i="2"/>
  <c r="E16" i="2" s="1"/>
  <c r="B16" i="2"/>
  <c r="D16" i="2" s="1"/>
  <c r="C15" i="2"/>
  <c r="E15" i="2" s="1"/>
  <c r="C13" i="2"/>
  <c r="C18" i="2" s="1"/>
  <c r="B13" i="2"/>
  <c r="B18" i="2" s="1"/>
  <c r="E12" i="2"/>
  <c r="D12" i="2"/>
  <c r="C12" i="2"/>
  <c r="C11" i="2"/>
  <c r="E11" i="2" s="1"/>
  <c r="B11" i="2"/>
  <c r="D11" i="2" s="1"/>
  <c r="C10" i="2"/>
  <c r="E10" i="2" s="1"/>
  <c r="E9" i="2"/>
  <c r="D9" i="2"/>
  <c r="C9" i="2"/>
  <c r="B9" i="2"/>
  <c r="C8" i="2"/>
  <c r="E8" i="2" s="1"/>
  <c r="B8" i="2"/>
  <c r="D8" i="2" s="1"/>
  <c r="E162" i="1"/>
  <c r="D162" i="1"/>
  <c r="C162" i="1"/>
  <c r="C163" i="1" s="1"/>
  <c r="B162" i="1"/>
  <c r="B163" i="1" s="1"/>
  <c r="D163" i="1" s="1"/>
  <c r="E161" i="1"/>
  <c r="D161" i="1"/>
  <c r="C161" i="1"/>
  <c r="E160" i="1"/>
  <c r="D160" i="1"/>
  <c r="C159" i="1"/>
  <c r="E159" i="1" s="1"/>
  <c r="B159" i="1"/>
  <c r="D159" i="1" s="1"/>
  <c r="E158" i="1"/>
  <c r="C158" i="1"/>
  <c r="B158" i="1"/>
  <c r="D158" i="1" s="1"/>
  <c r="E157" i="1"/>
  <c r="C157" i="1"/>
  <c r="D157" i="1" s="1"/>
  <c r="E156" i="1"/>
  <c r="D156" i="1"/>
  <c r="C155" i="1"/>
  <c r="E155" i="1" s="1"/>
  <c r="E154" i="1"/>
  <c r="C154" i="1"/>
  <c r="B154" i="1"/>
  <c r="D154" i="1" s="1"/>
  <c r="B153" i="1"/>
  <c r="D153" i="1" s="1"/>
  <c r="E152" i="1"/>
  <c r="B152" i="1"/>
  <c r="D152" i="1" s="1"/>
  <c r="E151" i="1"/>
  <c r="D151" i="1"/>
  <c r="B151" i="1"/>
  <c r="E150" i="1"/>
  <c r="D150" i="1"/>
  <c r="C150" i="1"/>
  <c r="C153" i="1" s="1"/>
  <c r="E153" i="1" s="1"/>
  <c r="B150" i="1"/>
  <c r="C149" i="1"/>
  <c r="D148" i="1"/>
  <c r="C148" i="1"/>
  <c r="E148" i="1" s="1"/>
  <c r="B148" i="1"/>
  <c r="B149" i="1" s="1"/>
  <c r="D149" i="1" s="1"/>
  <c r="E147" i="1"/>
  <c r="D147" i="1"/>
  <c r="C147" i="1"/>
  <c r="B147" i="1"/>
  <c r="E146" i="1"/>
  <c r="D146" i="1"/>
  <c r="E145" i="1"/>
  <c r="C145" i="1"/>
  <c r="B145" i="1"/>
  <c r="D145" i="1" s="1"/>
  <c r="E144" i="1"/>
  <c r="C144" i="1"/>
  <c r="B144" i="1"/>
  <c r="D144" i="1" s="1"/>
  <c r="C143" i="1"/>
  <c r="E143" i="1" s="1"/>
  <c r="B143" i="1"/>
  <c r="D143" i="1" s="1"/>
  <c r="B142" i="1"/>
  <c r="D142" i="1" s="1"/>
  <c r="E141" i="1"/>
  <c r="C141" i="1"/>
  <c r="B141" i="1"/>
  <c r="D141" i="1" s="1"/>
  <c r="C140" i="1"/>
  <c r="E140" i="1" s="1"/>
  <c r="E139" i="1"/>
  <c r="D139" i="1"/>
  <c r="C139" i="1"/>
  <c r="B139" i="1"/>
  <c r="E138" i="1"/>
  <c r="D138" i="1"/>
  <c r="C138" i="1"/>
  <c r="C142" i="1" s="1"/>
  <c r="E142" i="1" s="1"/>
  <c r="B138" i="1"/>
  <c r="C137" i="1"/>
  <c r="B137" i="1"/>
  <c r="E137" i="1" s="1"/>
  <c r="E136" i="1"/>
  <c r="D136" i="1"/>
  <c r="C136" i="1"/>
  <c r="E135" i="1"/>
  <c r="D135" i="1"/>
  <c r="E134" i="1"/>
  <c r="D134" i="1"/>
  <c r="C134" i="1"/>
  <c r="B133" i="1"/>
  <c r="E132" i="1"/>
  <c r="D132" i="1"/>
  <c r="C132" i="1"/>
  <c r="D131" i="1"/>
  <c r="C131" i="1"/>
  <c r="E131" i="1" s="1"/>
  <c r="E130" i="1"/>
  <c r="D130" i="1"/>
  <c r="E128" i="1"/>
  <c r="D128" i="1"/>
  <c r="C128" i="1"/>
  <c r="B128" i="1"/>
  <c r="E127" i="1"/>
  <c r="C127" i="1"/>
  <c r="D127" i="1" s="1"/>
  <c r="B127" i="1"/>
  <c r="C126" i="1"/>
  <c r="B126" i="1"/>
  <c r="E126" i="1" s="1"/>
  <c r="E125" i="1"/>
  <c r="D125" i="1"/>
  <c r="C125" i="1"/>
  <c r="D124" i="1"/>
  <c r="C124" i="1"/>
  <c r="E124" i="1" s="1"/>
  <c r="B124" i="1"/>
  <c r="B129" i="1" s="1"/>
  <c r="E123" i="1"/>
  <c r="D123" i="1"/>
  <c r="C122" i="1"/>
  <c r="E122" i="1" s="1"/>
  <c r="E121" i="1"/>
  <c r="D121" i="1"/>
  <c r="C121" i="1"/>
  <c r="B121" i="1"/>
  <c r="C120" i="1"/>
  <c r="C119" i="1"/>
  <c r="B119" i="1"/>
  <c r="B120" i="1" s="1"/>
  <c r="E118" i="1"/>
  <c r="D118" i="1"/>
  <c r="C118" i="1"/>
  <c r="E117" i="1"/>
  <c r="D117" i="1"/>
  <c r="D116" i="1"/>
  <c r="C116" i="1"/>
  <c r="E116" i="1" s="1"/>
  <c r="B116" i="1"/>
  <c r="B115" i="1"/>
  <c r="E114" i="1"/>
  <c r="C114" i="1"/>
  <c r="B114" i="1"/>
  <c r="D114" i="1" s="1"/>
  <c r="D113" i="1"/>
  <c r="C113" i="1"/>
  <c r="E113" i="1" s="1"/>
  <c r="B113" i="1"/>
  <c r="C112" i="1"/>
  <c r="E112" i="1" s="1"/>
  <c r="E111" i="1"/>
  <c r="D111" i="1"/>
  <c r="E109" i="1"/>
  <c r="D109" i="1"/>
  <c r="C109" i="1"/>
  <c r="B109" i="1"/>
  <c r="C108" i="1"/>
  <c r="E108" i="1" s="1"/>
  <c r="B108" i="1"/>
  <c r="D108" i="1" s="1"/>
  <c r="C107" i="1"/>
  <c r="E107" i="1" s="1"/>
  <c r="B107" i="1"/>
  <c r="B110" i="1" s="1"/>
  <c r="E106" i="1"/>
  <c r="D106" i="1"/>
  <c r="B105" i="1"/>
  <c r="E104" i="1"/>
  <c r="D104" i="1"/>
  <c r="C104" i="1"/>
  <c r="C105" i="1" s="1"/>
  <c r="E105" i="1" s="1"/>
  <c r="B104" i="1"/>
  <c r="E103" i="1"/>
  <c r="D103" i="1"/>
  <c r="B102" i="1"/>
  <c r="C101" i="1"/>
  <c r="E101" i="1" s="1"/>
  <c r="E100" i="1"/>
  <c r="C100" i="1"/>
  <c r="D100" i="1" s="1"/>
  <c r="E99" i="1"/>
  <c r="D99" i="1"/>
  <c r="E98" i="1"/>
  <c r="D98" i="1"/>
  <c r="C98" i="1"/>
  <c r="B98" i="1"/>
  <c r="C97" i="1"/>
  <c r="E97" i="1" s="1"/>
  <c r="B97" i="1"/>
  <c r="D97" i="1" s="1"/>
  <c r="C96" i="1"/>
  <c r="E96" i="1" s="1"/>
  <c r="B96" i="1"/>
  <c r="E95" i="1"/>
  <c r="D95" i="1"/>
  <c r="C95" i="1"/>
  <c r="C94" i="1"/>
  <c r="E94" i="1" s="1"/>
  <c r="B94" i="1"/>
  <c r="D94" i="1" s="1"/>
  <c r="E93" i="1"/>
  <c r="C93" i="1"/>
  <c r="B93" i="1"/>
  <c r="D93" i="1" s="1"/>
  <c r="E92" i="1"/>
  <c r="D92" i="1"/>
  <c r="C89" i="1"/>
  <c r="E89" i="1" s="1"/>
  <c r="D88" i="1"/>
  <c r="C88" i="1"/>
  <c r="B88" i="1"/>
  <c r="B89" i="1" s="1"/>
  <c r="D89" i="1" s="1"/>
  <c r="E87" i="1"/>
  <c r="D87" i="1"/>
  <c r="C87" i="1"/>
  <c r="C84" i="1"/>
  <c r="E84" i="1" s="1"/>
  <c r="E81" i="1"/>
  <c r="C81" i="1"/>
  <c r="D81" i="1" s="1"/>
  <c r="E80" i="1"/>
  <c r="C80" i="1"/>
  <c r="D80" i="1" s="1"/>
  <c r="E79" i="1"/>
  <c r="D79" i="1"/>
  <c r="C79" i="1"/>
  <c r="C78" i="1"/>
  <c r="E78" i="1" s="1"/>
  <c r="E77" i="1"/>
  <c r="C77" i="1"/>
  <c r="D77" i="1" s="1"/>
  <c r="E76" i="1"/>
  <c r="C76" i="1"/>
  <c r="B76" i="1"/>
  <c r="D76" i="1" s="1"/>
  <c r="E75" i="1"/>
  <c r="D75" i="1"/>
  <c r="C75" i="1"/>
  <c r="D74" i="1"/>
  <c r="C74" i="1"/>
  <c r="E74" i="1" s="1"/>
  <c r="C73" i="1"/>
  <c r="E73" i="1" s="1"/>
  <c r="D72" i="1"/>
  <c r="C72" i="1"/>
  <c r="E72" i="1" s="1"/>
  <c r="E71" i="1"/>
  <c r="D71" i="1"/>
  <c r="C71" i="1"/>
  <c r="D70" i="1"/>
  <c r="C70" i="1"/>
  <c r="E70" i="1" s="1"/>
  <c r="C69" i="1"/>
  <c r="E69" i="1" s="1"/>
  <c r="B69" i="1"/>
  <c r="E68" i="1"/>
  <c r="D68" i="1"/>
  <c r="C68" i="1"/>
  <c r="C67" i="1"/>
  <c r="E67" i="1" s="1"/>
  <c r="B67" i="1"/>
  <c r="D67" i="1" s="1"/>
  <c r="E66" i="1"/>
  <c r="C66" i="1"/>
  <c r="D66" i="1" s="1"/>
  <c r="E65" i="1"/>
  <c r="C65" i="1"/>
  <c r="D65" i="1" s="1"/>
  <c r="E64" i="1"/>
  <c r="D64" i="1"/>
  <c r="C64" i="1"/>
  <c r="B64" i="1"/>
  <c r="D63" i="1"/>
  <c r="C63" i="1"/>
  <c r="E63" i="1" s="1"/>
  <c r="C62" i="1"/>
  <c r="E62" i="1" s="1"/>
  <c r="D61" i="1"/>
  <c r="C61" i="1"/>
  <c r="E61" i="1" s="1"/>
  <c r="C60" i="1"/>
  <c r="B60" i="1"/>
  <c r="E60" i="1" s="1"/>
  <c r="E59" i="1"/>
  <c r="D59" i="1"/>
  <c r="C59" i="1"/>
  <c r="D58" i="1"/>
  <c r="C58" i="1"/>
  <c r="B58" i="1"/>
  <c r="E58" i="1" s="1"/>
  <c r="E57" i="1"/>
  <c r="D57" i="1"/>
  <c r="C57" i="1"/>
  <c r="C56" i="1"/>
  <c r="E56" i="1" s="1"/>
  <c r="E55" i="1"/>
  <c r="C55" i="1"/>
  <c r="B55" i="1"/>
  <c r="D55" i="1" s="1"/>
  <c r="D54" i="1"/>
  <c r="C54" i="1"/>
  <c r="E54" i="1" s="1"/>
  <c r="B54" i="1"/>
  <c r="C53" i="1"/>
  <c r="E53" i="1" s="1"/>
  <c r="E52" i="1"/>
  <c r="D52" i="1"/>
  <c r="C52" i="1"/>
  <c r="E50" i="1"/>
  <c r="D50" i="1"/>
  <c r="C50" i="1"/>
  <c r="C49" i="1"/>
  <c r="C51" i="1" s="1"/>
  <c r="B49" i="1"/>
  <c r="B51" i="1" s="1"/>
  <c r="D51" i="1" s="1"/>
  <c r="C48" i="1"/>
  <c r="E48" i="1" s="1"/>
  <c r="D47" i="1"/>
  <c r="C47" i="1"/>
  <c r="E47" i="1" s="1"/>
  <c r="E46" i="1"/>
  <c r="D46" i="1"/>
  <c r="C46" i="1"/>
  <c r="C45" i="1"/>
  <c r="E45" i="1" s="1"/>
  <c r="C44" i="1"/>
  <c r="E44" i="1" s="1"/>
  <c r="B44" i="1"/>
  <c r="D44" i="1" s="1"/>
  <c r="E43" i="1"/>
  <c r="D43" i="1"/>
  <c r="C43" i="1"/>
  <c r="B43" i="1"/>
  <c r="C42" i="1"/>
  <c r="E42" i="1" s="1"/>
  <c r="B42" i="1"/>
  <c r="B82" i="1" s="1"/>
  <c r="C41" i="1"/>
  <c r="E41" i="1" s="1"/>
  <c r="E40" i="1"/>
  <c r="D40" i="1"/>
  <c r="D38" i="1"/>
  <c r="C38" i="1"/>
  <c r="C39" i="1" s="1"/>
  <c r="B38" i="1"/>
  <c r="B39" i="1" s="1"/>
  <c r="D39" i="1" s="1"/>
  <c r="E37" i="1"/>
  <c r="D37" i="1"/>
  <c r="C36" i="1"/>
  <c r="E36" i="1" s="1"/>
  <c r="E35" i="1"/>
  <c r="B35" i="1"/>
  <c r="B36" i="1" s="1"/>
  <c r="D36" i="1" s="1"/>
  <c r="E34" i="1"/>
  <c r="D34" i="1"/>
  <c r="B34" i="1"/>
  <c r="E33" i="1"/>
  <c r="D33" i="1"/>
  <c r="C31" i="1"/>
  <c r="E31" i="1" s="1"/>
  <c r="E30" i="1"/>
  <c r="D30" i="1"/>
  <c r="C30" i="1"/>
  <c r="B30" i="1"/>
  <c r="B32" i="1" s="1"/>
  <c r="E29" i="1"/>
  <c r="C29" i="1"/>
  <c r="D29" i="1" s="1"/>
  <c r="E28" i="1"/>
  <c r="C28" i="1"/>
  <c r="D28" i="1" s="1"/>
  <c r="C27" i="1"/>
  <c r="C32" i="1" s="1"/>
  <c r="E32" i="1" s="1"/>
  <c r="E26" i="1"/>
  <c r="D26" i="1"/>
  <c r="D25" i="1"/>
  <c r="C25" i="1"/>
  <c r="E25" i="1" s="1"/>
  <c r="E24" i="1"/>
  <c r="D24" i="1"/>
  <c r="E23" i="1"/>
  <c r="D23" i="1"/>
  <c r="C23" i="1"/>
  <c r="D21" i="1"/>
  <c r="C21" i="1"/>
  <c r="E21" i="1" s="1"/>
  <c r="B21" i="1"/>
  <c r="E20" i="1"/>
  <c r="C20" i="1"/>
  <c r="D20" i="1" s="1"/>
  <c r="C19" i="1"/>
  <c r="E19" i="1" s="1"/>
  <c r="E18" i="1"/>
  <c r="C18" i="1"/>
  <c r="D18" i="1" s="1"/>
  <c r="B17" i="1"/>
  <c r="B22" i="1" s="1"/>
  <c r="E16" i="1"/>
  <c r="D16" i="1"/>
  <c r="C16" i="1"/>
  <c r="C15" i="1"/>
  <c r="C17" i="1" s="1"/>
  <c r="B15" i="1"/>
  <c r="E14" i="1"/>
  <c r="D14" i="1"/>
  <c r="E13" i="1"/>
  <c r="D13" i="1"/>
  <c r="C11" i="1"/>
  <c r="D11" i="1" s="1"/>
  <c r="C10" i="1"/>
  <c r="E10" i="1" s="1"/>
  <c r="B10" i="1"/>
  <c r="D10" i="1" s="1"/>
  <c r="E9" i="1"/>
  <c r="D9" i="1"/>
  <c r="C9" i="1"/>
  <c r="E8" i="1"/>
  <c r="D8" i="1"/>
  <c r="G14" i="7" l="1"/>
  <c r="G6" i="7"/>
  <c r="B18" i="8"/>
  <c r="G18" i="8" s="1"/>
  <c r="G6" i="8"/>
  <c r="D29" i="5"/>
  <c r="B60" i="5"/>
  <c r="E48" i="5"/>
  <c r="D58" i="5"/>
  <c r="B16" i="5"/>
  <c r="C16" i="5"/>
  <c r="C59" i="5"/>
  <c r="D45" i="5"/>
  <c r="D50" i="5"/>
  <c r="D63" i="5"/>
  <c r="E50" i="5"/>
  <c r="E63" i="5"/>
  <c r="B35" i="5"/>
  <c r="C35" i="5"/>
  <c r="E35" i="5" s="1"/>
  <c r="D22" i="5"/>
  <c r="D47" i="5"/>
  <c r="E22" i="5"/>
  <c r="E47" i="5"/>
  <c r="D19" i="5"/>
  <c r="D33" i="5"/>
  <c r="D37" i="5"/>
  <c r="D44" i="5"/>
  <c r="D52" i="5"/>
  <c r="D55" i="5"/>
  <c r="D62" i="5"/>
  <c r="D65" i="5"/>
  <c r="E50" i="4"/>
  <c r="D11" i="4"/>
  <c r="B51" i="4"/>
  <c r="D88" i="4"/>
  <c r="C52" i="4"/>
  <c r="E17" i="4"/>
  <c r="E61" i="4"/>
  <c r="D61" i="4"/>
  <c r="D73" i="4"/>
  <c r="E77" i="4"/>
  <c r="D77" i="4"/>
  <c r="E111" i="4"/>
  <c r="C51" i="4"/>
  <c r="E51" i="4" s="1"/>
  <c r="E22" i="4"/>
  <c r="D22" i="4"/>
  <c r="B17" i="4"/>
  <c r="D17" i="4" s="1"/>
  <c r="D15" i="4"/>
  <c r="E11" i="4"/>
  <c r="E15" i="4"/>
  <c r="D34" i="4"/>
  <c r="E37" i="4"/>
  <c r="D41" i="4"/>
  <c r="E48" i="4"/>
  <c r="E81" i="4"/>
  <c r="D85" i="4"/>
  <c r="E98" i="4"/>
  <c r="E105" i="4"/>
  <c r="E108" i="4"/>
  <c r="D116" i="4"/>
  <c r="D31" i="4"/>
  <c r="D45" i="4"/>
  <c r="E85" i="4"/>
  <c r="B106" i="4"/>
  <c r="D106" i="4" s="1"/>
  <c r="E116" i="4"/>
  <c r="E31" i="4"/>
  <c r="D68" i="4"/>
  <c r="D75" i="4"/>
  <c r="D78" i="4"/>
  <c r="C106" i="4"/>
  <c r="C112" i="4" s="1"/>
  <c r="D86" i="4"/>
  <c r="D110" i="4"/>
  <c r="E110" i="4"/>
  <c r="D10" i="4"/>
  <c r="D14" i="4"/>
  <c r="E21" i="4"/>
  <c r="D115" i="4"/>
  <c r="D91" i="4"/>
  <c r="B17" i="3"/>
  <c r="D12" i="3"/>
  <c r="D16" i="3"/>
  <c r="C41" i="3"/>
  <c r="E17" i="3"/>
  <c r="D24" i="3"/>
  <c r="D27" i="3"/>
  <c r="B40" i="3"/>
  <c r="D40" i="3" s="1"/>
  <c r="E44" i="3"/>
  <c r="D15" i="3"/>
  <c r="E12" i="3"/>
  <c r="D8" i="3"/>
  <c r="D23" i="3"/>
  <c r="D43" i="3"/>
  <c r="E8" i="3"/>
  <c r="D18" i="2"/>
  <c r="B48" i="2"/>
  <c r="E18" i="2"/>
  <c r="C47" i="2"/>
  <c r="E47" i="2" s="1"/>
  <c r="D13" i="2"/>
  <c r="E17" i="2"/>
  <c r="E34" i="2"/>
  <c r="D44" i="2"/>
  <c r="D10" i="2"/>
  <c r="E13" i="2"/>
  <c r="D25" i="2"/>
  <c r="D35" i="2"/>
  <c r="D15" i="2"/>
  <c r="D32" i="2"/>
  <c r="D129" i="1"/>
  <c r="E120" i="1"/>
  <c r="D120" i="1"/>
  <c r="C22" i="1"/>
  <c r="E22" i="1" s="1"/>
  <c r="E17" i="1"/>
  <c r="E149" i="1"/>
  <c r="D115" i="1"/>
  <c r="D32" i="1"/>
  <c r="B83" i="1"/>
  <c r="D22" i="1"/>
  <c r="E51" i="1"/>
  <c r="D105" i="1"/>
  <c r="E163" i="1"/>
  <c r="E39" i="1"/>
  <c r="D45" i="1"/>
  <c r="E11" i="1"/>
  <c r="D19" i="1"/>
  <c r="D27" i="1"/>
  <c r="E38" i="1"/>
  <c r="D78" i="1"/>
  <c r="D101" i="1"/>
  <c r="B164" i="1"/>
  <c r="D15" i="1"/>
  <c r="E15" i="1"/>
  <c r="D42" i="1"/>
  <c r="D49" i="1"/>
  <c r="D56" i="1"/>
  <c r="C82" i="1"/>
  <c r="E82" i="1" s="1"/>
  <c r="C115" i="1"/>
  <c r="E115" i="1" s="1"/>
  <c r="B12" i="1"/>
  <c r="E27" i="1"/>
  <c r="D31" i="1"/>
  <c r="D35" i="1"/>
  <c r="E49" i="1"/>
  <c r="D53" i="1"/>
  <c r="D112" i="1"/>
  <c r="D122" i="1"/>
  <c r="C129" i="1"/>
  <c r="E129" i="1" s="1"/>
  <c r="C133" i="1"/>
  <c r="E133" i="1" s="1"/>
  <c r="D140" i="1"/>
  <c r="D60" i="1"/>
  <c r="D119" i="1"/>
  <c r="D126" i="1"/>
  <c r="D137" i="1"/>
  <c r="C12" i="1"/>
  <c r="C102" i="1"/>
  <c r="C164" i="1" s="1"/>
  <c r="E164" i="1" s="1"/>
  <c r="E119" i="1"/>
  <c r="D17" i="1"/>
  <c r="C110" i="1"/>
  <c r="E110" i="1" s="1"/>
  <c r="D41" i="1"/>
  <c r="D48" i="1"/>
  <c r="D62" i="1"/>
  <c r="D69" i="1"/>
  <c r="D73" i="1"/>
  <c r="D84" i="1"/>
  <c r="E88" i="1"/>
  <c r="D96" i="1"/>
  <c r="D107" i="1"/>
  <c r="D155" i="1"/>
  <c r="C60" i="5" l="1"/>
  <c r="E59" i="5"/>
  <c r="E16" i="5"/>
  <c r="C30" i="5"/>
  <c r="B30" i="5"/>
  <c r="D16" i="5"/>
  <c r="D59" i="5"/>
  <c r="D35" i="5"/>
  <c r="B68" i="5"/>
  <c r="D60" i="5"/>
  <c r="B112" i="4"/>
  <c r="D112" i="4" s="1"/>
  <c r="C57" i="4"/>
  <c r="D51" i="4"/>
  <c r="E106" i="4"/>
  <c r="B52" i="4"/>
  <c r="C46" i="3"/>
  <c r="E40" i="3"/>
  <c r="B41" i="3"/>
  <c r="E41" i="3" s="1"/>
  <c r="D17" i="3"/>
  <c r="D47" i="2"/>
  <c r="C48" i="2"/>
  <c r="B49" i="2"/>
  <c r="D48" i="2"/>
  <c r="D83" i="1"/>
  <c r="D82" i="1"/>
  <c r="D133" i="1"/>
  <c r="B85" i="1"/>
  <c r="D12" i="1"/>
  <c r="C83" i="1"/>
  <c r="E83" i="1" s="1"/>
  <c r="E12" i="1"/>
  <c r="E102" i="1"/>
  <c r="D102" i="1"/>
  <c r="D164" i="1"/>
  <c r="D110" i="1"/>
  <c r="B39" i="5" l="1"/>
  <c r="D30" i="5"/>
  <c r="C39" i="5"/>
  <c r="E39" i="5" s="1"/>
  <c r="E30" i="5"/>
  <c r="C68" i="5"/>
  <c r="E68" i="5" s="1"/>
  <c r="E60" i="5"/>
  <c r="B57" i="4"/>
  <c r="D52" i="4"/>
  <c r="E52" i="4"/>
  <c r="E57" i="4"/>
  <c r="C113" i="4"/>
  <c r="E112" i="4"/>
  <c r="B46" i="3"/>
  <c r="D46" i="3" s="1"/>
  <c r="D41" i="3"/>
  <c r="E46" i="3"/>
  <c r="C49" i="2"/>
  <c r="E49" i="2" s="1"/>
  <c r="E48" i="2"/>
  <c r="C85" i="1"/>
  <c r="B90" i="1"/>
  <c r="D85" i="1"/>
  <c r="D39" i="5" l="1"/>
  <c r="D68" i="5"/>
  <c r="C118" i="4"/>
  <c r="D57" i="4"/>
  <c r="B113" i="4"/>
  <c r="E113" i="4" s="1"/>
  <c r="D49" i="2"/>
  <c r="B165" i="1"/>
  <c r="C90" i="1"/>
  <c r="E85" i="1"/>
  <c r="B118" i="4" l="1"/>
  <c r="D118" i="4" s="1"/>
  <c r="D113" i="4"/>
  <c r="E118" i="4"/>
  <c r="C165" i="1"/>
  <c r="E90" i="1"/>
  <c r="D90" i="1"/>
  <c r="B166" i="1"/>
  <c r="D165" i="1"/>
  <c r="C166" i="1" l="1"/>
  <c r="E166" i="1" s="1"/>
  <c r="E165" i="1"/>
  <c r="D166" i="1" l="1"/>
</calcChain>
</file>

<file path=xl/sharedStrings.xml><?xml version="1.0" encoding="utf-8"?>
<sst xmlns="http://schemas.openxmlformats.org/spreadsheetml/2006/main" count="682" uniqueCount="356">
  <si>
    <t>Total</t>
  </si>
  <si>
    <t>Actual</t>
  </si>
  <si>
    <t>Budget</t>
  </si>
  <si>
    <t>over Budget</t>
  </si>
  <si>
    <t>% of Budget</t>
  </si>
  <si>
    <t>Revenue</t>
  </si>
  <si>
    <t xml:space="preserve">   4200 Grants</t>
  </si>
  <si>
    <t xml:space="preserve">      8006 State of Alaska</t>
  </si>
  <si>
    <t xml:space="preserve">      8032 4110 City of Valdez</t>
  </si>
  <si>
    <t xml:space="preserve">      8033 Foundation</t>
  </si>
  <si>
    <t xml:space="preserve">   Total 4200 Grants</t>
  </si>
  <si>
    <t xml:space="preserve">   8003 Fund Development</t>
  </si>
  <si>
    <t xml:space="preserve">      4030 Donations Income</t>
  </si>
  <si>
    <t xml:space="preserve">         8002 Unrestricted</t>
  </si>
  <si>
    <t xml:space="preserve">         8062 6145 In-Kind Income</t>
  </si>
  <si>
    <t xml:space="preserve">      Total 4030 Donations Income</t>
  </si>
  <si>
    <t xml:space="preserve">      8004 Corporate Sponsorship</t>
  </si>
  <si>
    <t xml:space="preserve">      8021 Annual Appeal</t>
  </si>
  <si>
    <t xml:space="preserve">      8060 Roadhouse Dinner</t>
  </si>
  <si>
    <t xml:space="preserve">      8061 Membership</t>
  </si>
  <si>
    <t xml:space="preserve">   Total 8003 Fund Development</t>
  </si>
  <si>
    <t xml:space="preserve">   8011 Reimbursed Expenses</t>
  </si>
  <si>
    <t xml:space="preserve">   8024 Earned Revenue</t>
  </si>
  <si>
    <t xml:space="preserve">      4110 Shipping and Delivery Income</t>
  </si>
  <si>
    <t xml:space="preserve">      4120 Museum Fees</t>
  </si>
  <si>
    <t xml:space="preserve">         80011 Presenter &amp; Guide Income</t>
  </si>
  <si>
    <t xml:space="preserve">         8009 Admission Fees - Tour/Bulk</t>
  </si>
  <si>
    <t xml:space="preserve">         8010 Archival Fees</t>
  </si>
  <si>
    <t xml:space="preserve">         8026 Admissions - General</t>
  </si>
  <si>
    <t xml:space="preserve">         8159 Space Rental</t>
  </si>
  <si>
    <t xml:space="preserve">      Total 4120 Museum Fees</t>
  </si>
  <si>
    <t xml:space="preserve">      48600 Service Sales</t>
  </si>
  <si>
    <t xml:space="preserve">         486001 Shipping</t>
  </si>
  <si>
    <t xml:space="preserve">         Services</t>
  </si>
  <si>
    <t xml:space="preserve">      Total 48600 Service Sales</t>
  </si>
  <si>
    <t xml:space="preserve">      8025 Program Fees</t>
  </si>
  <si>
    <t xml:space="preserve">         8025.1 Enrollment Fees</t>
  </si>
  <si>
    <t xml:space="preserve">      Total 8025 Program Fees</t>
  </si>
  <si>
    <t xml:space="preserve">      8027 Store Sales</t>
  </si>
  <si>
    <t xml:space="preserve">         8012 Cards</t>
  </si>
  <si>
    <t xml:space="preserve">         8013 Books</t>
  </si>
  <si>
    <t xml:space="preserve">         8014 Childrens Books</t>
  </si>
  <si>
    <t xml:space="preserve">         8015 Gallery Sales</t>
  </si>
  <si>
    <t xml:space="preserve">         8017 Other Items</t>
  </si>
  <si>
    <t xml:space="preserve">         8029 Fundraising</t>
  </si>
  <si>
    <t xml:space="preserve">         8063 Copies/Fax</t>
  </si>
  <si>
    <t xml:space="preserve">         8164 Miscellaneous</t>
  </si>
  <si>
    <t xml:space="preserve">         8165 Audio/Video</t>
  </si>
  <si>
    <t xml:space="preserve">            Video/Audio</t>
  </si>
  <si>
    <t xml:space="preserve">         Total 8165 Audio/Video</t>
  </si>
  <si>
    <t xml:space="preserve">         8166 Post Cards</t>
  </si>
  <si>
    <t xml:space="preserve">         8167 Plush/Puppets</t>
  </si>
  <si>
    <t xml:space="preserve">         Art Supplies</t>
  </si>
  <si>
    <t xml:space="preserve">         Body &amp; Bath Products</t>
  </si>
  <si>
    <t xml:space="preserve">         Bookmark</t>
  </si>
  <si>
    <t xml:space="preserve">         Candy</t>
  </si>
  <si>
    <t xml:space="preserve">         Childrens Toys</t>
  </si>
  <si>
    <t xml:space="preserve">         Clothing</t>
  </si>
  <si>
    <t xml:space="preserve">         Discount Income</t>
  </si>
  <si>
    <t xml:space="preserve">         Dog Toys&amp; Treats</t>
  </si>
  <si>
    <t xml:space="preserve">         Food</t>
  </si>
  <si>
    <t xml:space="preserve">         Gold Vials</t>
  </si>
  <si>
    <t xml:space="preserve">         Jewelry</t>
  </si>
  <si>
    <t xml:space="preserve">         Key Chain</t>
  </si>
  <si>
    <t xml:space="preserve">         Kitchen Items</t>
  </si>
  <si>
    <t xml:space="preserve">         Magnet</t>
  </si>
  <si>
    <t xml:space="preserve">         Maps</t>
  </si>
  <si>
    <t xml:space="preserve">         Moosey Chews</t>
  </si>
  <si>
    <t xml:space="preserve">         Mugs</t>
  </si>
  <si>
    <t xml:space="preserve">         Ornament</t>
  </si>
  <si>
    <t xml:space="preserve">         Plush</t>
  </si>
  <si>
    <t xml:space="preserve">         Sales of Product Income</t>
  </si>
  <si>
    <t xml:space="preserve">         Scarves</t>
  </si>
  <si>
    <t xml:space="preserve">         Seeds</t>
  </si>
  <si>
    <t xml:space="preserve">         Stickers</t>
  </si>
  <si>
    <t xml:space="preserve">         Suncatcher</t>
  </si>
  <si>
    <t xml:space="preserve">         Tote Bag</t>
  </si>
  <si>
    <t xml:space="preserve">         Ulu</t>
  </si>
  <si>
    <t xml:space="preserve">         Umbrella</t>
  </si>
  <si>
    <t xml:space="preserve">         Zipper Pulls</t>
  </si>
  <si>
    <t xml:space="preserve">      Total 8027 Store Sales</t>
  </si>
  <si>
    <t xml:space="preserve">   Total 8024 Earned Revenue</t>
  </si>
  <si>
    <t xml:space="preserve">   8501 7015 Interest Income</t>
  </si>
  <si>
    <t>Total Revenue</t>
  </si>
  <si>
    <t>Cost of Goods Sold</t>
  </si>
  <si>
    <t xml:space="preserve">   8101 Cost of Goods Sold</t>
  </si>
  <si>
    <t xml:space="preserve">   8102 Gallery Commission</t>
  </si>
  <si>
    <t>Total Cost of Goods Sold</t>
  </si>
  <si>
    <t>Gross Profit</t>
  </si>
  <si>
    <t>Expenditures</t>
  </si>
  <si>
    <t xml:space="preserve">   6185 Insurance</t>
  </si>
  <si>
    <t xml:space="preserve">      8137 Liability Insurance</t>
  </si>
  <si>
    <t xml:space="preserve">   Total 6185 Insurance</t>
  </si>
  <si>
    <t xml:space="preserve">   8036 Fundraising Expenses</t>
  </si>
  <si>
    <t xml:space="preserve">   8036.1 Membership</t>
  </si>
  <si>
    <t xml:space="preserve">   8037 IT Services</t>
  </si>
  <si>
    <t xml:space="preserve">   8039 Education</t>
  </si>
  <si>
    <t xml:space="preserve">   8040 Collections</t>
  </si>
  <si>
    <t xml:space="preserve">      8042 Collections Supplies</t>
  </si>
  <si>
    <t xml:space="preserve">      8043 Acquisitions</t>
  </si>
  <si>
    <t xml:space="preserve">   Total 8040 Collections</t>
  </si>
  <si>
    <t xml:space="preserve">   8047 Janitoral Services</t>
  </si>
  <si>
    <t xml:space="preserve">      8114 General Janitoral</t>
  </si>
  <si>
    <t xml:space="preserve">   Total 8047 Janitoral Services</t>
  </si>
  <si>
    <t xml:space="preserve">   8048 Utilities</t>
  </si>
  <si>
    <t xml:space="preserve">      8115 Electric</t>
  </si>
  <si>
    <t xml:space="preserve">      8116 Heating Oil</t>
  </si>
  <si>
    <t xml:space="preserve">      8117 Water</t>
  </si>
  <si>
    <t xml:space="preserve">   Total 8048 Utilities</t>
  </si>
  <si>
    <t xml:space="preserve">   8049 Supplies</t>
  </si>
  <si>
    <t xml:space="preserve">      8125 Technology</t>
  </si>
  <si>
    <t xml:space="preserve">      8126 Office Supplies</t>
  </si>
  <si>
    <t xml:space="preserve">      8127 Operating</t>
  </si>
  <si>
    <t xml:space="preserve">   Total 8049 Supplies</t>
  </si>
  <si>
    <t xml:space="preserve">   8053 Advertising/Marketing</t>
  </si>
  <si>
    <t xml:space="preserve">   8056 Travel</t>
  </si>
  <si>
    <t xml:space="preserve">      8142 Meals</t>
  </si>
  <si>
    <t xml:space="preserve">      8143 Travel</t>
  </si>
  <si>
    <t xml:space="preserve">   Total 8056 Travel</t>
  </si>
  <si>
    <t xml:space="preserve">   8058 Public Programs</t>
  </si>
  <si>
    <t xml:space="preserve">   8059 Contingency</t>
  </si>
  <si>
    <t xml:space="preserve">   8103 Personnel Expenses</t>
  </si>
  <si>
    <t xml:space="preserve">      8104 Salaries &amp; Wages</t>
  </si>
  <si>
    <t xml:space="preserve">      8105 ESC Payroll Tax</t>
  </si>
  <si>
    <t xml:space="preserve">      8106 FICA Payroll Tax</t>
  </si>
  <si>
    <t xml:space="preserve">      8107 403(b) - Employer</t>
  </si>
  <si>
    <t xml:space="preserve">      8108 Health Insurance</t>
  </si>
  <si>
    <t xml:space="preserve">   Total 8103 Personnel Expenses</t>
  </si>
  <si>
    <t xml:space="preserve">   8110 Professional Fees</t>
  </si>
  <si>
    <t xml:space="preserve">      8045 Accounting</t>
  </si>
  <si>
    <t xml:space="preserve">      8046 Consulting</t>
  </si>
  <si>
    <t xml:space="preserve">   Total 8110 Professional Fees</t>
  </si>
  <si>
    <t xml:space="preserve">   8113 Vehicle Expense</t>
  </si>
  <si>
    <t xml:space="preserve">   8118 Telephone</t>
  </si>
  <si>
    <t xml:space="preserve">      8119 Fax</t>
  </si>
  <si>
    <t xml:space="preserve">      8120 Internet</t>
  </si>
  <si>
    <t xml:space="preserve">      8121 Local Service</t>
  </si>
  <si>
    <t xml:space="preserve">      8122 Long Distance</t>
  </si>
  <si>
    <t xml:space="preserve">      8124 Conference Line</t>
  </si>
  <si>
    <t xml:space="preserve">      Cell Phone</t>
  </si>
  <si>
    <t xml:space="preserve">   Total 8118 Telephone</t>
  </si>
  <si>
    <t xml:space="preserve">   8123 Postage and Delivery</t>
  </si>
  <si>
    <t xml:space="preserve">   8130 Dues and Subscriptions</t>
  </si>
  <si>
    <t xml:space="preserve">   8131 Printing and Reproduction</t>
  </si>
  <si>
    <t xml:space="preserve">   8134 Rent</t>
  </si>
  <si>
    <t xml:space="preserve">      8055 Building Lease</t>
  </si>
  <si>
    <t xml:space="preserve">      8056.1 Storage Rent</t>
  </si>
  <si>
    <t xml:space="preserve">   Total 8134 Rent</t>
  </si>
  <si>
    <t xml:space="preserve">   8138 Credit Card Fees</t>
  </si>
  <si>
    <t xml:space="preserve">      QuickBooks Payments Fees</t>
  </si>
  <si>
    <t xml:space="preserve">      Square Fees</t>
  </si>
  <si>
    <t xml:space="preserve">   Total 8138 Credit Card Fees</t>
  </si>
  <si>
    <t xml:space="preserve">   8139 Bank Service Charges</t>
  </si>
  <si>
    <t xml:space="preserve">   8145 Licenses and Permits</t>
  </si>
  <si>
    <t xml:space="preserve">   8148 Contributions</t>
  </si>
  <si>
    <t xml:space="preserve">      8057 In-Kind Expenses</t>
  </si>
  <si>
    <t xml:space="preserve">   Total 8148 Contributions</t>
  </si>
  <si>
    <t xml:space="preserve">   9002 Freight and Shipping Costs</t>
  </si>
  <si>
    <t xml:space="preserve">   Exhibits</t>
  </si>
  <si>
    <t xml:space="preserve">      8051 Permanent Exhibits</t>
  </si>
  <si>
    <t xml:space="preserve">      8052 Temporary Exhibits</t>
  </si>
  <si>
    <t xml:space="preserve">   Total Exhibits</t>
  </si>
  <si>
    <t>Total Expenditures</t>
  </si>
  <si>
    <t>Net Operating Revenue</t>
  </si>
  <si>
    <t>Net Revenue</t>
  </si>
  <si>
    <t>Friday, Feb 03, 2023 11:42:23 AM GMT-8 - Accrual Basis</t>
  </si>
  <si>
    <t>VALDEZ MUSEUM &amp; HISTORICAL ARCHIVE ASSOCIATION, IN</t>
  </si>
  <si>
    <t xml:space="preserve">Budget vs. Actuals: FY-2023 - FY23 P&amp;L </t>
  </si>
  <si>
    <t>January - December 2023</t>
  </si>
  <si>
    <t>Friday, Feb 03, 2023 11:53:11 AM GMT-8 - Accrual Basis</t>
  </si>
  <si>
    <t>Statement of Activity</t>
  </si>
  <si>
    <t>January 2023</t>
  </si>
  <si>
    <t>Jan 2023</t>
  </si>
  <si>
    <t>Jan 2022 (PY)</t>
  </si>
  <si>
    <t>Change</t>
  </si>
  <si>
    <t>% Change</t>
  </si>
  <si>
    <t>Other Expenditures</t>
  </si>
  <si>
    <t xml:space="preserve">   Reconciliation Discrepancies-1</t>
  </si>
  <si>
    <t>Total Other Expenditures</t>
  </si>
  <si>
    <t>Net Other Revenue</t>
  </si>
  <si>
    <t>Friday, Feb 03, 2023 05:45:40 PM GMT-8 - Accrual Basis</t>
  </si>
  <si>
    <t>Friday, Feb 03, 2023 05:46:35 PM GMT-8 - Accrual Basis</t>
  </si>
  <si>
    <t xml:space="preserve">Statement of Financial Position Comparison </t>
  </si>
  <si>
    <t>As of January 31, 2023</t>
  </si>
  <si>
    <t>As of Jan 31, 2023</t>
  </si>
  <si>
    <t>As of Jan 31, 2022 (PY)</t>
  </si>
  <si>
    <t>ASSETS</t>
  </si>
  <si>
    <t xml:space="preserve">   Current Assets</t>
  </si>
  <si>
    <t xml:space="preserve">      Bank Accounts</t>
  </si>
  <si>
    <t xml:space="preserve">         1003 WF Merchant Services Account</t>
  </si>
  <si>
    <t xml:space="preserve">         1021 CD 61215021 -Phyllis Irish</t>
  </si>
  <si>
    <t xml:space="preserve">         1022 10950 Cash in Drawer</t>
  </si>
  <si>
    <t xml:space="preserve">         1024 1st National Savings</t>
  </si>
  <si>
    <t xml:space="preserve">         1025 1st National  Operating</t>
  </si>
  <si>
    <t xml:space="preserve">         1026 1st National Gaming</t>
  </si>
  <si>
    <t xml:space="preserve">      Total Bank Accounts</t>
  </si>
  <si>
    <t xml:space="preserve">      Accounts Receivable</t>
  </si>
  <si>
    <t xml:space="preserve">         102 Accounts Receivable (AR)</t>
  </si>
  <si>
    <t xml:space="preserve">         1501 Accounts Receivable</t>
  </si>
  <si>
    <t xml:space="preserve">      Total Accounts Receivable</t>
  </si>
  <si>
    <t xml:space="preserve">      Other Current Assets</t>
  </si>
  <si>
    <t xml:space="preserve">         1017 Undeposited Funds</t>
  </si>
  <si>
    <t xml:space="preserve">         1502 Museum Endowment Fund</t>
  </si>
  <si>
    <t xml:space="preserve">         2002 1120 Inventory Asset</t>
  </si>
  <si>
    <t xml:space="preserve">         2501 Prepaid Insurance</t>
  </si>
  <si>
    <t xml:space="preserve">         8132 Cash Reserves</t>
  </si>
  <si>
    <t xml:space="preserve">         Cash on Hand</t>
  </si>
  <si>
    <t xml:space="preserve">         Uncategorized Asset</t>
  </si>
  <si>
    <t xml:space="preserve">      Total Other Current Assets</t>
  </si>
  <si>
    <t xml:space="preserve">   Total Current Assets</t>
  </si>
  <si>
    <t xml:space="preserve">   Fixed Assets</t>
  </si>
  <si>
    <t xml:space="preserve">      4000 Construction in Progress</t>
  </si>
  <si>
    <t xml:space="preserve">      4001 Fixed Assets</t>
  </si>
  <si>
    <t xml:space="preserve">      4002 Lifeboat Shelter Asset</t>
  </si>
  <si>
    <t xml:space="preserve">   Total Fixed Assets</t>
  </si>
  <si>
    <t xml:space="preserve">   Other Assets</t>
  </si>
  <si>
    <t xml:space="preserve">      Merchandise Inventory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</si>
  <si>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</si>
  <si>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</si>
  <si>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</si>
  <si>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</si>
  <si>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</si>
  <si>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</si>
  <si>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5501 2000 Accounts Payable</t>
  </si>
  <si>
    <t xml:space="preserve">         Total Accounts Payable</t>
  </si>
  <si>
    <t xml:space="preserve">         Credit Cards</t>
  </si>
  <si>
    <t xml:space="preserve">            5505 Bank of America  Business Card</t>
  </si>
  <si>
    <t xml:space="preserve">         Total Credit Cards</t>
  </si>
  <si>
    <t xml:space="preserve">         Other Current Liabilities</t>
  </si>
  <si>
    <t xml:space="preserve">            25100 Employee Tips Payable</t>
  </si>
  <si>
    <t xml:space="preserve">            5503 Loss on Disposal of Assets</t>
  </si>
  <si>
    <t xml:space="preserve">            5504 24700 Customer Deposits</t>
  </si>
  <si>
    <t xml:space="preserve">            6002 Leave Payable</t>
  </si>
  <si>
    <t xml:space="preserve">            6003 2100 Payroll Liabilities</t>
  </si>
  <si>
    <t xml:space="preserve">            6601 Deferred Revenue</t>
  </si>
  <si>
    <t xml:space="preserve">            Direct Deposit Payable</t>
  </si>
  <si>
    <t xml:space="preserve">            Payroll Liabilities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</si>
  <si>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</si>
  <si>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</si>
  <si>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</si>
  <si>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</si>
  <si>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3000 Opening Bal Equity</t>
  </si>
  <si>
    <t xml:space="preserve">      7502 3900 Retained Earnings</t>
  </si>
  <si>
    <t xml:space="preserve">      7503 Museum Endowment Fund Equity</t>
  </si>
  <si>
    <t xml:space="preserve">      8079 Contributed Capital</t>
  </si>
  <si>
    <t xml:space="preserve">      Net Revenue</t>
  </si>
  <si>
    <t xml:space="preserve">   Total Equity</t>
  </si>
  <si>
    <t>TOTAL LIABILITIES AND EQUITY</t>
  </si>
  <si>
    <t>Friday, Feb 03, 2023 05:48:59 PM GMT-8 - Accrual Basis</t>
  </si>
  <si>
    <t>A/P Aging Summary</t>
  </si>
  <si>
    <t>Current</t>
  </si>
  <si>
    <t>1 - 30</t>
  </si>
  <si>
    <t>31 - 60</t>
  </si>
  <si>
    <t>61 - 90</t>
  </si>
  <si>
    <t>91 and over</t>
  </si>
  <si>
    <t>Audit Adjustment.1</t>
  </si>
  <si>
    <t>BearFoot Travel Guides</t>
  </si>
  <si>
    <t>Copper Valley Electric Assoc., Inc.</t>
  </si>
  <si>
    <t>Copper Valley Telecom</t>
  </si>
  <si>
    <t>Magdeleine Ferru</t>
  </si>
  <si>
    <t>North Pacific Fuel</t>
  </si>
  <si>
    <t>Other Vender</t>
  </si>
  <si>
    <t>PastPerfect</t>
  </si>
  <si>
    <t>Shrimp Whisperer</t>
  </si>
  <si>
    <t>Valdez Museum Store</t>
  </si>
  <si>
    <t>Wells Fargo Bank</t>
  </si>
  <si>
    <t>Xerox Financial Services</t>
  </si>
  <si>
    <t>TOTAL</t>
  </si>
  <si>
    <t>Friday, Feb 03, 2023 05:52:02 PM GMT-8</t>
  </si>
  <si>
    <t>A/R Aging Summary</t>
  </si>
  <si>
    <t>Alyeska Pipeline Service Co.</t>
  </si>
  <si>
    <t>City of Valdez - Grant Income</t>
  </si>
  <si>
    <t>Margaret Holm</t>
  </si>
  <si>
    <t>Matt Orr</t>
  </si>
  <si>
    <t>Other Customer</t>
  </si>
  <si>
    <t>QuickBooks Customer</t>
  </si>
  <si>
    <t>Steven Diaz</t>
  </si>
  <si>
    <t>Wells Fargo</t>
  </si>
  <si>
    <t>Friday, Feb 03, 2023 05:54:04 PM GMT-8</t>
  </si>
  <si>
    <t xml:space="preserve">Date:  Custom			</t>
  </si>
  <si>
    <t>Date</t>
  </si>
  <si>
    <t>Ref No.</t>
  </si>
  <si>
    <t>Type</t>
  </si>
  <si>
    <t>Payee</t>
  </si>
  <si>
    <t>Account</t>
  </si>
  <si>
    <t>Charge</t>
  </si>
  <si>
    <t>Payment</t>
  </si>
  <si>
    <t>Reconciliation Status</t>
  </si>
  <si>
    <t>Balance</t>
  </si>
  <si>
    <t>02/01/2023</t>
  </si>
  <si>
    <t>Expenditure</t>
  </si>
  <si>
    <t>Microsoft</t>
  </si>
  <si>
    <t>8037 IT Services</t>
  </si>
  <si>
    <t>Inv 737</t>
  </si>
  <si>
    <t>Wallace IT Solutions</t>
  </si>
  <si>
    <t>01/25/2023</t>
  </si>
  <si>
    <t>Museums Alaska</t>
  </si>
  <si>
    <t>8130 Dues and Subscriptions</t>
  </si>
  <si>
    <t>01/24/2023</t>
  </si>
  <si>
    <t>Verizon Wireless</t>
  </si>
  <si>
    <t>Telephone:Cell Phone</t>
  </si>
  <si>
    <t>01/20/2023</t>
  </si>
  <si>
    <t>Wheelhouse</t>
  </si>
  <si>
    <t>8058 Public Programs</t>
  </si>
  <si>
    <t>Best Western</t>
  </si>
  <si>
    <t>USPS</t>
  </si>
  <si>
    <t>8123 Postage and Delivery</t>
  </si>
  <si>
    <t>Rogue's Garden</t>
  </si>
  <si>
    <t>8036.1 Membership</t>
  </si>
  <si>
    <t>10001204556650</t>
  </si>
  <si>
    <t>Intuit</t>
  </si>
  <si>
    <t>01/19/2023</t>
  </si>
  <si>
    <t>safeway</t>
  </si>
  <si>
    <t>01/12/2023</t>
  </si>
  <si>
    <t>Allianz</t>
  </si>
  <si>
    <t>8143 Travel:Travel</t>
  </si>
  <si>
    <t>Reconciled</t>
  </si>
  <si>
    <t>Alaska Airlines</t>
  </si>
  <si>
    <t>01/11/2023</t>
  </si>
  <si>
    <t>Bill</t>
  </si>
  <si>
    <t>Business Card</t>
  </si>
  <si>
    <t>2000 Accounts Payable:Raffle Proceeds Payable</t>
  </si>
  <si>
    <t>Cleared</t>
  </si>
  <si>
    <t>Canva Pro</t>
  </si>
  <si>
    <t>Amazon Smile</t>
  </si>
  <si>
    <t>8127 Supplies:Operating</t>
  </si>
  <si>
    <t>Copper River Record</t>
  </si>
  <si>
    <t>01/10/2023</t>
  </si>
  <si>
    <t>apple.com</t>
  </si>
  <si>
    <t>8039 Education</t>
  </si>
  <si>
    <t>AAM</t>
  </si>
  <si>
    <t>01/09/2023</t>
  </si>
  <si>
    <t>amazon prime</t>
  </si>
  <si>
    <t>8126 Supplies:Office Supplies</t>
  </si>
  <si>
    <t>01/06/2023</t>
  </si>
  <si>
    <t>E0600LOCLJ</t>
  </si>
  <si>
    <t>Microsoft Online</t>
  </si>
  <si>
    <t>To print</t>
  </si>
  <si>
    <t>01/04/2023</t>
  </si>
  <si>
    <t>Dropbox</t>
  </si>
  <si>
    <t>01/03/2023</t>
  </si>
  <si>
    <t>01/01/2023</t>
  </si>
  <si>
    <t xml:space="preserve">5505 Bank of America  Business Card	</t>
  </si>
  <si>
    <t>Grants</t>
  </si>
  <si>
    <t>Earned Revenue</t>
  </si>
  <si>
    <t>Fund Development</t>
  </si>
  <si>
    <t>Liability Insurance</t>
  </si>
  <si>
    <t>Rent</t>
  </si>
  <si>
    <t xml:space="preserve">   8047 Janitorial Services</t>
  </si>
  <si>
    <t>Insurance</t>
  </si>
  <si>
    <t>Museum Endowment</t>
  </si>
  <si>
    <t>Bank Accounts</t>
  </si>
  <si>
    <t>Accounts Receivable</t>
  </si>
  <si>
    <t>Accounts Payable</t>
  </si>
  <si>
    <t>Credit Card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</si>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</sst>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10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b/>
      <sz val="9"/>
      <name val="Arial"/>
    </font>
    <font>
      <b/>
      <sz val="8"/>
      <name val="Arial"/>
    </font>
    <font>
      <sz val="8"/>
      <name val="Arial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0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10" fontId="2" fillId="0" borderId="3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4" fontId="8" fillId="0" borderId="0" xfId="0" applyNumberFormat="1" applyFont="1" applyAlignment="1">
      <alignment horizontal="left" wrapText="1"/>
    </xf>
    <xf numFmtId="164" fontId="0" fillId="0" borderId="0" xfId="0" applyNumberFormat="1"/>
    <xf numFmtId="0" fontId="9" fillId="0" borderId="0" xfId="0" applyFont="1" applyAlignment="1">
      <alignment horizontal="left" wrapText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Income as of january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'BVA Collapsed'!$J$7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'BVA Collapsed'!$I$8:$I$10</c:f>
              <c:strCache>
                <c:ptCount val="3"/>
                <c:pt idx="0">
                  <c:v>Fund Development</c:v>
                </c:pt>
                <c:pt idx="1">
                  <c:v>Earned Revenue</c:v>
                </c:pt>
                <c:pt idx="2">
                  <c:v>Grants</c:v>
                </c:pt>
              </c:strCache>
            </c:strRef>
          </c:cat>
          <c:val>
            <c:numRef>
              <c:f>'BVA Collapsed'!$J$8:$J$10</c:f>
              <c:numCache>
                <c:formatCode>#,##0.00\ _€</c:formatCode>
                <c:ptCount val="3"/>
                <c:pt idx="0">
                  <c:v>1490.01</c:v>
                </c:pt>
                <c:pt idx="1">
                  <c:v>558.11</c:v>
                </c:pt>
                <c:pt idx="2">
                  <c:v>133750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F-4092-8286-2D71B0F3104D}"/>
            </c:ext>
          </c:extLst>
        </c:ser>
        <c:ser>
          <c:idx val="1"/>
          <c:order val="1"/>
          <c:tx>
            <c:strRef>
              <c:f>'BVA Collapsed'!$K$7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'BVA Collapsed'!$I$8:$I$10</c:f>
              <c:strCache>
                <c:ptCount val="3"/>
                <c:pt idx="0">
                  <c:v>Fund Development</c:v>
                </c:pt>
                <c:pt idx="1">
                  <c:v>Earned Revenue</c:v>
                </c:pt>
                <c:pt idx="2">
                  <c:v>Grants</c:v>
                </c:pt>
              </c:strCache>
            </c:strRef>
          </c:cat>
          <c:val>
            <c:numRef>
              <c:f>'BVA Collapsed'!$K$8:$K$10</c:f>
              <c:numCache>
                <c:formatCode>#,##0.00\ _€</c:formatCode>
                <c:ptCount val="3"/>
                <c:pt idx="0">
                  <c:v>54500</c:v>
                </c:pt>
                <c:pt idx="1">
                  <c:v>161824.91</c:v>
                </c:pt>
                <c:pt idx="2">
                  <c:v>543500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3F-4092-8286-2D71B0F3104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893225759"/>
        <c:axId val="893229919"/>
      </c:barChart>
      <c:catAx>
        <c:axId val="893225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229919"/>
        <c:crosses val="autoZero"/>
        <c:auto val="1"/>
        <c:lblAlgn val="ctr"/>
        <c:lblOffset val="100"/>
        <c:noMultiLvlLbl val="0"/>
      </c:catAx>
      <c:valAx>
        <c:axId val="893229919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893225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notable</a:t>
            </a:r>
            <a:r>
              <a:rPr lang="en-US" baseline="0"/>
              <a:t> Expenses as of January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'BVA Collapsed'!$J$34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'BVA Collapsed'!$I$35:$I$36</c:f>
              <c:strCache>
                <c:ptCount val="2"/>
                <c:pt idx="0">
                  <c:v>Rent</c:v>
                </c:pt>
                <c:pt idx="1">
                  <c:v>Liability Insurance</c:v>
                </c:pt>
              </c:strCache>
            </c:strRef>
          </c:cat>
          <c:val>
            <c:numRef>
              <c:f>'BVA Collapsed'!$J$35:$J$36</c:f>
              <c:numCache>
                <c:formatCode>#,##0.00\ _€</c:formatCode>
                <c:ptCount val="2"/>
                <c:pt idx="0">
                  <c:v>1210</c:v>
                </c:pt>
                <c:pt idx="1">
                  <c:v>32572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6-4176-AB60-DCE512DF169C}"/>
            </c:ext>
          </c:extLst>
        </c:ser>
        <c:ser>
          <c:idx val="1"/>
          <c:order val="1"/>
          <c:tx>
            <c:strRef>
              <c:f>'BVA Collapsed'!$K$34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'BVA Collapsed'!$I$35:$I$36</c:f>
              <c:strCache>
                <c:ptCount val="2"/>
                <c:pt idx="0">
                  <c:v>Rent</c:v>
                </c:pt>
                <c:pt idx="1">
                  <c:v>Liability Insurance</c:v>
                </c:pt>
              </c:strCache>
            </c:strRef>
          </c:cat>
          <c:val>
            <c:numRef>
              <c:f>'BVA Collapsed'!$K$35:$K$36</c:f>
              <c:numCache>
                <c:formatCode>#,##0.00\ _€</c:formatCode>
                <c:ptCount val="2"/>
                <c:pt idx="0">
                  <c:v>1210</c:v>
                </c:pt>
                <c:pt idx="1">
                  <c:v>27000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56-4176-AB60-DCE512DF169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030640751"/>
        <c:axId val="1030641999"/>
      </c:barChart>
      <c:catAx>
        <c:axId val="1030640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641999"/>
        <c:crosses val="autoZero"/>
        <c:auto val="1"/>
        <c:lblAlgn val="ctr"/>
        <c:lblOffset val="100"/>
        <c:noMultiLvlLbl val="0"/>
      </c:catAx>
      <c:valAx>
        <c:axId val="1030641999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30640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Notable Income Differences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'SOA Collapsed'!$K$8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'SOA Collapsed'!$J$9:$J$11</c:f>
              <c:strCache>
                <c:ptCount val="3"/>
                <c:pt idx="0">
                  <c:v>Earned Revenue</c:v>
                </c:pt>
                <c:pt idx="1">
                  <c:v>Fund Development</c:v>
                </c:pt>
                <c:pt idx="2">
                  <c:v>Grants</c:v>
                </c:pt>
              </c:strCache>
            </c:strRef>
          </c:cat>
          <c:val>
            <c:numRef>
              <c:f>'SOA Collapsed'!$K$9:$K$11</c:f>
              <c:numCache>
                <c:formatCode>#,##0.00\ _€</c:formatCode>
                <c:ptCount val="3"/>
                <c:pt idx="0">
                  <c:v>511.11</c:v>
                </c:pt>
                <c:pt idx="1">
                  <c:v>1490.01</c:v>
                </c:pt>
                <c:pt idx="2">
                  <c:v>133750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93-4B69-87FF-E6BA44633D14}"/>
            </c:ext>
          </c:extLst>
        </c:ser>
        <c:ser>
          <c:idx val="1"/>
          <c:order val="1"/>
          <c:tx>
            <c:strRef>
              <c:f>'SOA Collapsed'!$L$8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'SOA Collapsed'!$J$9:$J$11</c:f>
              <c:strCache>
                <c:ptCount val="3"/>
                <c:pt idx="0">
                  <c:v>Earned Revenue</c:v>
                </c:pt>
                <c:pt idx="1">
                  <c:v>Fund Development</c:v>
                </c:pt>
                <c:pt idx="2">
                  <c:v>Grants</c:v>
                </c:pt>
              </c:strCache>
            </c:strRef>
          </c:cat>
          <c:val>
            <c:numRef>
              <c:f>'SOA Collapsed'!$L$9:$L$11</c:f>
              <c:numCache>
                <c:formatCode>#,##0.00\ _€</c:formatCode>
                <c:ptCount val="3"/>
                <c:pt idx="0">
                  <c:v>585.83000000000004</c:v>
                </c:pt>
                <c:pt idx="1">
                  <c:v>1981.01</c:v>
                </c:pt>
                <c:pt idx="2">
                  <c:v>147500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93-4B69-87FF-E6BA44633D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035981759"/>
        <c:axId val="1035984671"/>
      </c:barChart>
      <c:catAx>
        <c:axId val="1035981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984671"/>
        <c:crosses val="autoZero"/>
        <c:auto val="1"/>
        <c:lblAlgn val="ctr"/>
        <c:lblOffset val="100"/>
        <c:noMultiLvlLbl val="0"/>
      </c:catAx>
      <c:valAx>
        <c:axId val="1035984671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35981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Notable Expense Differences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'SOA Collapsed'!$K$38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'SOA Collapsed'!$J$39</c:f>
              <c:strCache>
                <c:ptCount val="1"/>
                <c:pt idx="0">
                  <c:v>Insurance</c:v>
                </c:pt>
              </c:strCache>
            </c:strRef>
          </c:cat>
          <c:val>
            <c:numRef>
              <c:f>'SOA Collapsed'!$K$39</c:f>
              <c:numCache>
                <c:formatCode>#,##0.00\ _€</c:formatCode>
                <c:ptCount val="1"/>
                <c:pt idx="0">
                  <c:v>32572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E-4850-AD5D-C2B410E19235}"/>
            </c:ext>
          </c:extLst>
        </c:ser>
        <c:ser>
          <c:idx val="1"/>
          <c:order val="1"/>
          <c:tx>
            <c:strRef>
              <c:f>'SOA Collapsed'!$L$38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'SOA Collapsed'!$J$39</c:f>
              <c:strCache>
                <c:ptCount val="1"/>
                <c:pt idx="0">
                  <c:v>Insurance</c:v>
                </c:pt>
              </c:strCache>
            </c:strRef>
          </c:cat>
          <c:val>
            <c:numRef>
              <c:f>'SOA Collapsed'!$L$39</c:f>
              <c:numCache>
                <c:formatCode>#,##0.00\ _€</c:formatCode>
                <c:ptCount val="1"/>
                <c:pt idx="0">
                  <c:v>26353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FE-4850-AD5D-C2B410E192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882798367"/>
        <c:axId val="1611455743"/>
      </c:barChart>
      <c:catAx>
        <c:axId val="882798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1455743"/>
        <c:crosses val="autoZero"/>
        <c:auto val="1"/>
        <c:lblAlgn val="ctr"/>
        <c:lblOffset val="100"/>
        <c:noMultiLvlLbl val="0"/>
      </c:catAx>
      <c:valAx>
        <c:axId val="161145574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882798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Assets as of 01/31/2023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'SOF Collapsed'!$I$8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'SOF Collapsed'!$H$9:$H$11</c:f>
              <c:strCache>
                <c:ptCount val="3"/>
                <c:pt idx="0">
                  <c:v>Museum Endowment</c:v>
                </c:pt>
                <c:pt idx="1">
                  <c:v>Accounts Receivable</c:v>
                </c:pt>
                <c:pt idx="2">
                  <c:v>Bank Accounts</c:v>
                </c:pt>
              </c:strCache>
            </c:strRef>
          </c:cat>
          <c:val>
            <c:numRef>
              <c:f>'SOF Collapsed'!$I$9:$I$11</c:f>
              <c:numCache>
                <c:formatCode>"$"* #,##0.00\ _€</c:formatCode>
                <c:ptCount val="3"/>
                <c:pt idx="0" formatCode="#,##0.00\ _€">
                  <c:v>1131740</c:v>
                </c:pt>
                <c:pt idx="1">
                  <c:v>101.25</c:v>
                </c:pt>
                <c:pt idx="2">
                  <c:v>359611.82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D-4B73-938A-9B9E2C36F30B}"/>
            </c:ext>
          </c:extLst>
        </c:ser>
        <c:ser>
          <c:idx val="1"/>
          <c:order val="1"/>
          <c:tx>
            <c:strRef>
              <c:f>'SOF Collapsed'!$J$8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'SOF Collapsed'!$H$9:$H$11</c:f>
              <c:strCache>
                <c:ptCount val="3"/>
                <c:pt idx="0">
                  <c:v>Museum Endowment</c:v>
                </c:pt>
                <c:pt idx="1">
                  <c:v>Accounts Receivable</c:v>
                </c:pt>
                <c:pt idx="2">
                  <c:v>Bank Accounts</c:v>
                </c:pt>
              </c:strCache>
            </c:strRef>
          </c:cat>
          <c:val>
            <c:numRef>
              <c:f>'SOF Collapsed'!$J$9:$J$11</c:f>
              <c:numCache>
                <c:formatCode>"$"* #,##0.00\ _€</c:formatCode>
                <c:ptCount val="3"/>
                <c:pt idx="0" formatCode="#,##0.00\ _€">
                  <c:v>1391721</c:v>
                </c:pt>
                <c:pt idx="1">
                  <c:v>0</c:v>
                </c:pt>
                <c:pt idx="2">
                  <c:v>356632.72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FD-4B73-938A-9B9E2C36F30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44129727"/>
        <c:axId val="544131391"/>
      </c:barChart>
      <c:catAx>
        <c:axId val="544129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131391"/>
        <c:crosses val="autoZero"/>
        <c:auto val="1"/>
        <c:lblAlgn val="ctr"/>
        <c:lblOffset val="100"/>
        <c:noMultiLvlLbl val="0"/>
      </c:catAx>
      <c:valAx>
        <c:axId val="544131391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544129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Liabilities as</a:t>
            </a:r>
            <a:r>
              <a:rPr lang="en-US" baseline="0"/>
              <a:t> of 01/31/2023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'SOF Collapsed'!$I$38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'SOF Collapsed'!$H$39:$H$41</c:f>
              <c:strCache>
                <c:ptCount val="3"/>
                <c:pt idx="0">
                  <c:v>Credit Card</c:v>
                </c:pt>
                <c:pt idx="1">
                  <c:v>Accounts Payable</c:v>
                </c:pt>
                <c:pt idx="2">
                  <c:v>Net Income</c:v>
                </c:pt>
              </c:strCache>
            </c:strRef>
          </c:cat>
          <c:val>
            <c:numRef>
              <c:f>'SOF Collapsed'!$I$39:$I$41</c:f>
              <c:numCache>
                <c:formatCode>"$"* #,##0.00\ _€</c:formatCode>
                <c:ptCount val="3"/>
                <c:pt idx="0">
                  <c:v>1822.27</c:v>
                </c:pt>
                <c:pt idx="1">
                  <c:v>6064.23</c:v>
                </c:pt>
                <c:pt idx="2" formatCode="#,##0.00\ _€">
                  <c:v>50172.57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5-438B-BCA1-261E3BF1F9C6}"/>
            </c:ext>
          </c:extLst>
        </c:ser>
        <c:ser>
          <c:idx val="1"/>
          <c:order val="1"/>
          <c:tx>
            <c:strRef>
              <c:f>'SOF Collapsed'!$J$38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'SOF Collapsed'!$H$39:$H$41</c:f>
              <c:strCache>
                <c:ptCount val="3"/>
                <c:pt idx="0">
                  <c:v>Credit Card</c:v>
                </c:pt>
                <c:pt idx="1">
                  <c:v>Accounts Payable</c:v>
                </c:pt>
                <c:pt idx="2">
                  <c:v>Net Income</c:v>
                </c:pt>
              </c:strCache>
            </c:strRef>
          </c:cat>
          <c:val>
            <c:numRef>
              <c:f>'SOF Collapsed'!$J$39:$J$41</c:f>
              <c:numCache>
                <c:formatCode>"$"* #,##0.00\ _€</c:formatCode>
                <c:ptCount val="3"/>
                <c:pt idx="0">
                  <c:v>5879.7</c:v>
                </c:pt>
                <c:pt idx="1">
                  <c:v>508.65</c:v>
                </c:pt>
                <c:pt idx="2" formatCode="#,##0.00\ _€">
                  <c:v>68144.490000000005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35-438B-BCA1-261E3BF1F9C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035982591"/>
        <c:axId val="1035983007"/>
      </c:barChart>
      <c:catAx>
        <c:axId val="1035982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983007"/>
        <c:crosses val="autoZero"/>
        <c:auto val="1"/>
        <c:lblAlgn val="ctr"/>
        <c:lblOffset val="100"/>
        <c:noMultiLvlLbl val="0"/>
      </c:catAx>
      <c:valAx>
        <c:axId val="1035983007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35982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342899</xdr:colOff>
      <xdr:row>12</xdr:row>
      <xdr:rowOff>176212</xdr:rowOff>
    </xdr:from>
    <xdr:to>
      <xdr:col>17</xdr:col>
      <xdr:colOff>390524</xdr:colOff>
      <xdr:row>27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498315-FF23-A24E-363D-6185504F4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36</xdr:row>
      <xdr:rowOff>100012</xdr:rowOff>
    </xdr:from>
    <xdr:to>
      <xdr:col>14</xdr:col>
      <xdr:colOff>481012</xdr:colOff>
      <xdr:row>50</xdr:row>
      <xdr:rowOff>176212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94AF68-9F40-0BB0-6018-37D9312459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404812</xdr:colOff>
      <xdr:row>15</xdr:row>
      <xdr:rowOff>14287</xdr:rowOff>
    </xdr:from>
    <xdr:to>
      <xdr:col>15</xdr:col>
      <xdr:colOff>552450</xdr:colOff>
      <xdr:row>29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D5C218-4056-7557-C838-DEF24430C5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547687</xdr:colOff>
      <xdr:row>39</xdr:row>
      <xdr:rowOff>109537</xdr:rowOff>
    </xdr:from>
    <xdr:to>
      <xdr:col>16</xdr:col>
      <xdr:colOff>466725</xdr:colOff>
      <xdr:row>50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4E22FF7-99D0-1BA9-F1A9-DE5F053A25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100011</xdr:colOff>
      <xdr:row>13</xdr:row>
      <xdr:rowOff>128587</xdr:rowOff>
    </xdr:from>
    <xdr:to>
      <xdr:col>12</xdr:col>
      <xdr:colOff>533399</xdr:colOff>
      <xdr:row>28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A4A766-987F-A2BC-80AE-61D867B60B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842961</xdr:colOff>
      <xdr:row>45</xdr:row>
      <xdr:rowOff>23812</xdr:rowOff>
    </xdr:from>
    <xdr:to>
      <xdr:col>15</xdr:col>
      <xdr:colOff>152399</xdr:colOff>
      <xdr:row>59</xdr:row>
      <xdr:rowOff>100012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DD23366-9EAD-0DD1-5AC2-F7C7DA4E54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0"/>
  <sheetViews>
    <sheetView workbookViewId="0">
      <selection sqref="A1:E1"/>
    </sheetView>
  </sheetViews>
  <sheetFormatPr defaultRowHeight="15" x14ac:dyDescent="0.25"/>
  <cols>
    <col min="1" max="1" width="35.28515625" customWidth="1"/>
    <col min="2" max="5" width="18" customWidth="1"/>
  </cols>
  <sheetData>
    <row r="1" spans="1:5" ht="18" x14ac:dyDescent="0.25">
      <c r="A1" s="15" t="s">
        <v>166</v>
      </c>
      <c r="B1" s="14"/>
      <c r="C1" s="14"/>
      <c r="D1" s="14"/>
      <c r="E1" s="14"/>
    </row>
    <row r="2" spans="1:5" ht="18" x14ac:dyDescent="0.25">
      <c r="A2" s="15" t="s">
        <v>167</v>
      </c>
      <c r="B2" s="14"/>
      <c r="C2" s="14"/>
      <c r="D2" s="14"/>
      <c r="E2" s="14"/>
    </row>
    <row r="3" spans="1:5" x14ac:dyDescent="0.25">
      <c r="A3" s="16" t="s">
        <v>168</v>
      </c>
      <c r="B3" s="14"/>
      <c r="C3" s="14"/>
      <c r="D3" s="14"/>
      <c r="E3" s="14"/>
    </row>
    <row r="5" spans="1:5" x14ac:dyDescent="0.25">
      <c r="A5" s="1"/>
      <c r="B5" s="11" t="s">
        <v>0</v>
      </c>
      <c r="C5" s="12"/>
      <c r="D5" s="12"/>
      <c r="E5" s="12"/>
    </row>
    <row r="6" spans="1:5" x14ac:dyDescent="0.25">
      <c r="A6" s="1"/>
      <c r="B6" s="2" t="s">
        <v>1</v>
      </c>
      <c r="C6" s="2" t="s">
        <v>2</v>
      </c>
      <c r="D6" s="2" t="s">
        <v>3</v>
      </c>
      <c r="E6" s="2" t="s">
        <v>4</v>
      </c>
    </row>
    <row r="7" spans="1:5" x14ac:dyDescent="0.25">
      <c r="A7" s="3" t="s">
        <v>5</v>
      </c>
      <c r="B7" s="4"/>
      <c r="C7" s="4"/>
      <c r="D7" s="4"/>
      <c r="E7" s="4"/>
    </row>
    <row r="8" spans="1:5" x14ac:dyDescent="0.25">
      <c r="A8" s="3" t="s">
        <v>6</v>
      </c>
      <c r="B8" s="4"/>
      <c r="C8" s="4"/>
      <c r="D8" s="5">
        <f t="shared" ref="D8:D39" si="0">(B8)-(C8)</f>
        <v>0</v>
      </c>
      <c r="E8" s="6" t="str">
        <f t="shared" ref="E8:E39" si="1">IF(C8=0,"",(B8)/(C8))</f>
        <v/>
      </c>
    </row>
    <row r="9" spans="1:5" x14ac:dyDescent="0.25">
      <c r="A9" s="3" t="s">
        <v>7</v>
      </c>
      <c r="B9" s="4"/>
      <c r="C9" s="5">
        <f>5000</f>
        <v>5000</v>
      </c>
      <c r="D9" s="5">
        <f t="shared" si="0"/>
        <v>-5000</v>
      </c>
      <c r="E9" s="6">
        <f t="shared" si="1"/>
        <v>0</v>
      </c>
    </row>
    <row r="10" spans="1:5" x14ac:dyDescent="0.25">
      <c r="A10" s="3" t="s">
        <v>8</v>
      </c>
      <c r="B10" s="5">
        <f>133750</f>
        <v>133750</v>
      </c>
      <c r="C10" s="5">
        <f>535000</f>
        <v>535000</v>
      </c>
      <c r="D10" s="5">
        <f t="shared" si="0"/>
        <v>-401250</v>
      </c>
      <c r="E10" s="6">
        <f t="shared" si="1"/>
        <v>0.25</v>
      </c>
    </row>
    <row r="11" spans="1:5" x14ac:dyDescent="0.25">
      <c r="A11" s="3" t="s">
        <v>9</v>
      </c>
      <c r="B11" s="4"/>
      <c r="C11" s="5">
        <f>3500</f>
        <v>3500</v>
      </c>
      <c r="D11" s="5">
        <f t="shared" si="0"/>
        <v>-3500</v>
      </c>
      <c r="E11" s="6">
        <f t="shared" si="1"/>
        <v>0</v>
      </c>
    </row>
    <row r="12" spans="1:5" x14ac:dyDescent="0.25">
      <c r="A12" s="3" t="s">
        <v>10</v>
      </c>
      <c r="B12" s="7">
        <f>(((B8)+(B9))+(B10))+(B11)</f>
        <v>133750</v>
      </c>
      <c r="C12" s="7">
        <f>(((C8)+(C9))+(C10))+(C11)</f>
        <v>543500</v>
      </c>
      <c r="D12" s="7">
        <f t="shared" si="0"/>
        <v>-409750</v>
      </c>
      <c r="E12" s="8">
        <f t="shared" si="1"/>
        <v>0.24609015639374426</v>
      </c>
    </row>
    <row r="13" spans="1:5" x14ac:dyDescent="0.25">
      <c r="A13" s="3" t="s">
        <v>11</v>
      </c>
      <c r="B13" s="4"/>
      <c r="C13" s="4"/>
      <c r="D13" s="5">
        <f t="shared" si="0"/>
        <v>0</v>
      </c>
      <c r="E13" s="6" t="str">
        <f t="shared" si="1"/>
        <v/>
      </c>
    </row>
    <row r="14" spans="1:5" x14ac:dyDescent="0.25">
      <c r="A14" s="3" t="s">
        <v>12</v>
      </c>
      <c r="B14" s="4"/>
      <c r="C14" s="4"/>
      <c r="D14" s="5">
        <f t="shared" si="0"/>
        <v>0</v>
      </c>
      <c r="E14" s="6" t="str">
        <f t="shared" si="1"/>
        <v/>
      </c>
    </row>
    <row r="15" spans="1:5" x14ac:dyDescent="0.25">
      <c r="A15" s="3" t="s">
        <v>13</v>
      </c>
      <c r="B15" s="5">
        <f>505.01</f>
        <v>505.01</v>
      </c>
      <c r="C15" s="5">
        <f>5500</f>
        <v>5500</v>
      </c>
      <c r="D15" s="5">
        <f t="shared" si="0"/>
        <v>-4994.99</v>
      </c>
      <c r="E15" s="6">
        <f t="shared" si="1"/>
        <v>9.1819999999999999E-2</v>
      </c>
    </row>
    <row r="16" spans="1:5" x14ac:dyDescent="0.25">
      <c r="A16" s="3" t="s">
        <v>14</v>
      </c>
      <c r="B16" s="4"/>
      <c r="C16" s="5">
        <f>11500</f>
        <v>11500</v>
      </c>
      <c r="D16" s="5">
        <f t="shared" si="0"/>
        <v>-11500</v>
      </c>
      <c r="E16" s="6">
        <f t="shared" si="1"/>
        <v>0</v>
      </c>
    </row>
    <row r="17" spans="1:5" x14ac:dyDescent="0.25">
      <c r="A17" s="3" t="s">
        <v>15</v>
      </c>
      <c r="B17" s="7">
        <f>((B14)+(B15))+(B16)</f>
        <v>505.01</v>
      </c>
      <c r="C17" s="7">
        <f>((C14)+(C15))+(C16)</f>
        <v>17000</v>
      </c>
      <c r="D17" s="7">
        <f t="shared" si="0"/>
        <v>-16494.990000000002</v>
      </c>
      <c r="E17" s="8">
        <f t="shared" si="1"/>
        <v>2.9706470588235293E-2</v>
      </c>
    </row>
    <row r="18" spans="1:5" x14ac:dyDescent="0.25">
      <c r="A18" s="3" t="s">
        <v>16</v>
      </c>
      <c r="B18" s="4"/>
      <c r="C18" s="5">
        <f>9000</f>
        <v>9000</v>
      </c>
      <c r="D18" s="5">
        <f t="shared" si="0"/>
        <v>-9000</v>
      </c>
      <c r="E18" s="6">
        <f t="shared" si="1"/>
        <v>0</v>
      </c>
    </row>
    <row r="19" spans="1:5" x14ac:dyDescent="0.25">
      <c r="A19" s="3" t="s">
        <v>17</v>
      </c>
      <c r="B19" s="4"/>
      <c r="C19" s="5">
        <f>4000</f>
        <v>4000</v>
      </c>
      <c r="D19" s="5">
        <f t="shared" si="0"/>
        <v>-4000</v>
      </c>
      <c r="E19" s="6">
        <f t="shared" si="1"/>
        <v>0</v>
      </c>
    </row>
    <row r="20" spans="1:5" x14ac:dyDescent="0.25">
      <c r="A20" s="3" t="s">
        <v>18</v>
      </c>
      <c r="B20" s="4"/>
      <c r="C20" s="5">
        <f>12000</f>
        <v>12000</v>
      </c>
      <c r="D20" s="5">
        <f t="shared" si="0"/>
        <v>-12000</v>
      </c>
      <c r="E20" s="6">
        <f t="shared" si="1"/>
        <v>0</v>
      </c>
    </row>
    <row r="21" spans="1:5" x14ac:dyDescent="0.25">
      <c r="A21" s="3" t="s">
        <v>19</v>
      </c>
      <c r="B21" s="5">
        <f>985</f>
        <v>985</v>
      </c>
      <c r="C21" s="5">
        <f>12500</f>
        <v>12500</v>
      </c>
      <c r="D21" s="5">
        <f t="shared" si="0"/>
        <v>-11515</v>
      </c>
      <c r="E21" s="6">
        <f t="shared" si="1"/>
        <v>7.8799999999999995E-2</v>
      </c>
    </row>
    <row r="22" spans="1:5" x14ac:dyDescent="0.25">
      <c r="A22" s="3" t="s">
        <v>20</v>
      </c>
      <c r="B22" s="7">
        <f>(((((B13)+(B17))+(B18))+(B19))+(B20))+(B21)</f>
        <v>1490.01</v>
      </c>
      <c r="C22" s="7">
        <f>(((((C13)+(C17))+(C18))+(C19))+(C20))+(C21)</f>
        <v>54500</v>
      </c>
      <c r="D22" s="7">
        <f t="shared" si="0"/>
        <v>-53009.99</v>
      </c>
      <c r="E22" s="8">
        <f t="shared" si="1"/>
        <v>2.7339633027522934E-2</v>
      </c>
    </row>
    <row r="23" spans="1:5" x14ac:dyDescent="0.25">
      <c r="A23" s="3" t="s">
        <v>21</v>
      </c>
      <c r="B23" s="4"/>
      <c r="C23" s="5">
        <f>4500</f>
        <v>4500</v>
      </c>
      <c r="D23" s="5">
        <f t="shared" si="0"/>
        <v>-4500</v>
      </c>
      <c r="E23" s="6">
        <f t="shared" si="1"/>
        <v>0</v>
      </c>
    </row>
    <row r="24" spans="1:5" x14ac:dyDescent="0.25">
      <c r="A24" s="3" t="s">
        <v>22</v>
      </c>
      <c r="B24" s="4"/>
      <c r="C24" s="4"/>
      <c r="D24" s="5">
        <f t="shared" si="0"/>
        <v>0</v>
      </c>
      <c r="E24" s="6" t="str">
        <f t="shared" si="1"/>
        <v/>
      </c>
    </row>
    <row r="25" spans="1:5" x14ac:dyDescent="0.25">
      <c r="A25" s="3" t="s">
        <v>23</v>
      </c>
      <c r="B25" s="4"/>
      <c r="C25" s="5">
        <f>75</f>
        <v>75</v>
      </c>
      <c r="D25" s="5">
        <f t="shared" si="0"/>
        <v>-75</v>
      </c>
      <c r="E25" s="6">
        <f t="shared" si="1"/>
        <v>0</v>
      </c>
    </row>
    <row r="26" spans="1:5" x14ac:dyDescent="0.25">
      <c r="A26" s="3" t="s">
        <v>24</v>
      </c>
      <c r="B26" s="4"/>
      <c r="C26" s="4"/>
      <c r="D26" s="5">
        <f t="shared" si="0"/>
        <v>0</v>
      </c>
      <c r="E26" s="6" t="str">
        <f t="shared" si="1"/>
        <v/>
      </c>
    </row>
    <row r="27" spans="1:5" x14ac:dyDescent="0.25">
      <c r="A27" s="3" t="s">
        <v>25</v>
      </c>
      <c r="B27" s="4"/>
      <c r="C27" s="5">
        <f>31000</f>
        <v>31000</v>
      </c>
      <c r="D27" s="5">
        <f t="shared" si="0"/>
        <v>-31000</v>
      </c>
      <c r="E27" s="6">
        <f t="shared" si="1"/>
        <v>0</v>
      </c>
    </row>
    <row r="28" spans="1:5" x14ac:dyDescent="0.25">
      <c r="A28" s="3" t="s">
        <v>26</v>
      </c>
      <c r="B28" s="4"/>
      <c r="C28" s="5">
        <f>35000</f>
        <v>35000</v>
      </c>
      <c r="D28" s="5">
        <f t="shared" si="0"/>
        <v>-35000</v>
      </c>
      <c r="E28" s="6">
        <f t="shared" si="1"/>
        <v>0</v>
      </c>
    </row>
    <row r="29" spans="1:5" x14ac:dyDescent="0.25">
      <c r="A29" s="3" t="s">
        <v>27</v>
      </c>
      <c r="B29" s="4"/>
      <c r="C29" s="5">
        <f>2000</f>
        <v>2000</v>
      </c>
      <c r="D29" s="5">
        <f t="shared" si="0"/>
        <v>-2000</v>
      </c>
      <c r="E29" s="6">
        <f t="shared" si="1"/>
        <v>0</v>
      </c>
    </row>
    <row r="30" spans="1:5" x14ac:dyDescent="0.25">
      <c r="A30" s="3" t="s">
        <v>28</v>
      </c>
      <c r="B30" s="5">
        <f>182</f>
        <v>182</v>
      </c>
      <c r="C30" s="5">
        <f>40000</f>
        <v>40000</v>
      </c>
      <c r="D30" s="5">
        <f t="shared" si="0"/>
        <v>-39818</v>
      </c>
      <c r="E30" s="6">
        <f t="shared" si="1"/>
        <v>4.5500000000000002E-3</v>
      </c>
    </row>
    <row r="31" spans="1:5" x14ac:dyDescent="0.25">
      <c r="A31" s="3" t="s">
        <v>29</v>
      </c>
      <c r="B31" s="4"/>
      <c r="C31" s="5">
        <f>2000</f>
        <v>2000</v>
      </c>
      <c r="D31" s="5">
        <f t="shared" si="0"/>
        <v>-2000</v>
      </c>
      <c r="E31" s="6">
        <f t="shared" si="1"/>
        <v>0</v>
      </c>
    </row>
    <row r="32" spans="1:5" x14ac:dyDescent="0.25">
      <c r="A32" s="3" t="s">
        <v>30</v>
      </c>
      <c r="B32" s="7">
        <f>(((((B26)+(B27))+(B28))+(B29))+(B30))+(B31)</f>
        <v>182</v>
      </c>
      <c r="C32" s="7">
        <f>(((((C26)+(C27))+(C28))+(C29))+(C30))+(C31)</f>
        <v>110000</v>
      </c>
      <c r="D32" s="7">
        <f t="shared" si="0"/>
        <v>-109818</v>
      </c>
      <c r="E32" s="8">
        <f t="shared" si="1"/>
        <v>1.6545454545454545E-3</v>
      </c>
    </row>
    <row r="33" spans="1:5" x14ac:dyDescent="0.25">
      <c r="A33" s="3" t="s">
        <v>31</v>
      </c>
      <c r="B33" s="4"/>
      <c r="C33" s="4"/>
      <c r="D33" s="5">
        <f t="shared" si="0"/>
        <v>0</v>
      </c>
      <c r="E33" s="6" t="str">
        <f t="shared" si="1"/>
        <v/>
      </c>
    </row>
    <row r="34" spans="1:5" x14ac:dyDescent="0.25">
      <c r="A34" s="3" t="s">
        <v>32</v>
      </c>
      <c r="B34" s="5">
        <f>10</f>
        <v>10</v>
      </c>
      <c r="C34" s="4"/>
      <c r="D34" s="5">
        <f t="shared" si="0"/>
        <v>10</v>
      </c>
      <c r="E34" s="6" t="str">
        <f t="shared" si="1"/>
        <v/>
      </c>
    </row>
    <row r="35" spans="1:5" x14ac:dyDescent="0.25">
      <c r="A35" s="3" t="s">
        <v>33</v>
      </c>
      <c r="B35" s="5">
        <f>0</f>
        <v>0</v>
      </c>
      <c r="C35" s="4"/>
      <c r="D35" s="5">
        <f t="shared" si="0"/>
        <v>0</v>
      </c>
      <c r="E35" s="6" t="str">
        <f t="shared" si="1"/>
        <v/>
      </c>
    </row>
    <row r="36" spans="1:5" x14ac:dyDescent="0.25">
      <c r="A36" s="3" t="s">
        <v>34</v>
      </c>
      <c r="B36" s="7">
        <f>((B33)+(B34))+(B35)</f>
        <v>10</v>
      </c>
      <c r="C36" s="7">
        <f>((C33)+(C34))+(C35)</f>
        <v>0</v>
      </c>
      <c r="D36" s="7">
        <f t="shared" si="0"/>
        <v>10</v>
      </c>
      <c r="E36" s="8" t="str">
        <f t="shared" si="1"/>
        <v/>
      </c>
    </row>
    <row r="37" spans="1:5" x14ac:dyDescent="0.25">
      <c r="A37" s="3" t="s">
        <v>35</v>
      </c>
      <c r="B37" s="4"/>
      <c r="C37" s="4"/>
      <c r="D37" s="5">
        <f t="shared" si="0"/>
        <v>0</v>
      </c>
      <c r="E37" s="6" t="str">
        <f t="shared" si="1"/>
        <v/>
      </c>
    </row>
    <row r="38" spans="1:5" x14ac:dyDescent="0.25">
      <c r="A38" s="3" t="s">
        <v>36</v>
      </c>
      <c r="B38" s="5">
        <f>60</f>
        <v>60</v>
      </c>
      <c r="C38" s="5">
        <f>1000</f>
        <v>1000</v>
      </c>
      <c r="D38" s="5">
        <f t="shared" si="0"/>
        <v>-940</v>
      </c>
      <c r="E38" s="6">
        <f t="shared" si="1"/>
        <v>0.06</v>
      </c>
    </row>
    <row r="39" spans="1:5" x14ac:dyDescent="0.25">
      <c r="A39" s="3" t="s">
        <v>37</v>
      </c>
      <c r="B39" s="7">
        <f>(B37)+(B38)</f>
        <v>60</v>
      </c>
      <c r="C39" s="7">
        <f>(C37)+(C38)</f>
        <v>1000</v>
      </c>
      <c r="D39" s="7">
        <f t="shared" si="0"/>
        <v>-940</v>
      </c>
      <c r="E39" s="8">
        <f t="shared" si="1"/>
        <v>0.06</v>
      </c>
    </row>
    <row r="40" spans="1:5" x14ac:dyDescent="0.25">
      <c r="A40" s="3" t="s">
        <v>38</v>
      </c>
      <c r="B40" s="4"/>
      <c r="C40" s="4"/>
      <c r="D40" s="5">
        <f t="shared" ref="D40:D71" si="2">(B40)-(C40)</f>
        <v>0</v>
      </c>
      <c r="E40" s="6" t="str">
        <f t="shared" ref="E40:E71" si="3">IF(C40=0,"",(B40)/(C40))</f>
        <v/>
      </c>
    </row>
    <row r="41" spans="1:5" x14ac:dyDescent="0.25">
      <c r="A41" s="3" t="s">
        <v>39</v>
      </c>
      <c r="B41" s="4"/>
      <c r="C41" s="5">
        <f>100</f>
        <v>100</v>
      </c>
      <c r="D41" s="5">
        <f t="shared" si="2"/>
        <v>-100</v>
      </c>
      <c r="E41" s="6">
        <f t="shared" si="3"/>
        <v>0</v>
      </c>
    </row>
    <row r="42" spans="1:5" x14ac:dyDescent="0.25">
      <c r="A42" s="3" t="s">
        <v>40</v>
      </c>
      <c r="B42" s="5">
        <f>79.89</f>
        <v>79.89</v>
      </c>
      <c r="C42" s="5">
        <f>15000</f>
        <v>15000</v>
      </c>
      <c r="D42" s="5">
        <f t="shared" si="2"/>
        <v>-14920.11</v>
      </c>
      <c r="E42" s="6">
        <f t="shared" si="3"/>
        <v>5.326E-3</v>
      </c>
    </row>
    <row r="43" spans="1:5" x14ac:dyDescent="0.25">
      <c r="A43" s="3" t="s">
        <v>41</v>
      </c>
      <c r="B43" s="5">
        <f>19.98</f>
        <v>19.98</v>
      </c>
      <c r="C43" s="5">
        <f>1000</f>
        <v>1000</v>
      </c>
      <c r="D43" s="5">
        <f t="shared" si="2"/>
        <v>-980.02</v>
      </c>
      <c r="E43" s="6">
        <f t="shared" si="3"/>
        <v>1.9980000000000001E-2</v>
      </c>
    </row>
    <row r="44" spans="1:5" x14ac:dyDescent="0.25">
      <c r="A44" s="3" t="s">
        <v>42</v>
      </c>
      <c r="B44" s="5">
        <f>67.34</f>
        <v>67.34</v>
      </c>
      <c r="C44" s="5">
        <f>5000</f>
        <v>5000</v>
      </c>
      <c r="D44" s="5">
        <f t="shared" si="2"/>
        <v>-4932.66</v>
      </c>
      <c r="E44" s="6">
        <f t="shared" si="3"/>
        <v>1.3468000000000001E-2</v>
      </c>
    </row>
    <row r="45" spans="1:5" x14ac:dyDescent="0.25">
      <c r="A45" s="3" t="s">
        <v>43</v>
      </c>
      <c r="B45" s="4"/>
      <c r="C45" s="5">
        <f>128</f>
        <v>128</v>
      </c>
      <c r="D45" s="5">
        <f t="shared" si="2"/>
        <v>-128</v>
      </c>
      <c r="E45" s="6">
        <f t="shared" si="3"/>
        <v>0</v>
      </c>
    </row>
    <row r="46" spans="1:5" x14ac:dyDescent="0.25">
      <c r="A46" s="3" t="s">
        <v>44</v>
      </c>
      <c r="B46" s="4"/>
      <c r="C46" s="5">
        <f>1200</f>
        <v>1200</v>
      </c>
      <c r="D46" s="5">
        <f t="shared" si="2"/>
        <v>-1200</v>
      </c>
      <c r="E46" s="6">
        <f t="shared" si="3"/>
        <v>0</v>
      </c>
    </row>
    <row r="47" spans="1:5" x14ac:dyDescent="0.25">
      <c r="A47" s="3" t="s">
        <v>45</v>
      </c>
      <c r="B47" s="4"/>
      <c r="C47" s="5">
        <f>1</f>
        <v>1</v>
      </c>
      <c r="D47" s="5">
        <f t="shared" si="2"/>
        <v>-1</v>
      </c>
      <c r="E47" s="6">
        <f t="shared" si="3"/>
        <v>0</v>
      </c>
    </row>
    <row r="48" spans="1:5" x14ac:dyDescent="0.25">
      <c r="A48" s="3" t="s">
        <v>46</v>
      </c>
      <c r="B48" s="4"/>
      <c r="C48" s="5">
        <f>10000</f>
        <v>10000</v>
      </c>
      <c r="D48" s="5">
        <f t="shared" si="2"/>
        <v>-10000</v>
      </c>
      <c r="E48" s="6">
        <f t="shared" si="3"/>
        <v>0</v>
      </c>
    </row>
    <row r="49" spans="1:5" x14ac:dyDescent="0.25">
      <c r="A49" s="3" t="s">
        <v>47</v>
      </c>
      <c r="B49" s="5">
        <f>16.95</f>
        <v>16.95</v>
      </c>
      <c r="C49" s="5">
        <f>1000</f>
        <v>1000</v>
      </c>
      <c r="D49" s="5">
        <f t="shared" si="2"/>
        <v>-983.05</v>
      </c>
      <c r="E49" s="6">
        <f t="shared" si="3"/>
        <v>1.695E-2</v>
      </c>
    </row>
    <row r="50" spans="1:5" x14ac:dyDescent="0.25">
      <c r="A50" s="3" t="s">
        <v>48</v>
      </c>
      <c r="B50" s="4"/>
      <c r="C50" s="5">
        <f>575.91</f>
        <v>575.91</v>
      </c>
      <c r="D50" s="5">
        <f t="shared" si="2"/>
        <v>-575.91</v>
      </c>
      <c r="E50" s="6">
        <f t="shared" si="3"/>
        <v>0</v>
      </c>
    </row>
    <row r="51" spans="1:5" x14ac:dyDescent="0.25">
      <c r="A51" s="3" t="s">
        <v>49</v>
      </c>
      <c r="B51" s="7">
        <f>(B49)+(B50)</f>
        <v>16.95</v>
      </c>
      <c r="C51" s="7">
        <f>(C49)+(C50)</f>
        <v>1575.9099999999999</v>
      </c>
      <c r="D51" s="7">
        <f t="shared" si="2"/>
        <v>-1558.9599999999998</v>
      </c>
      <c r="E51" s="8">
        <f t="shared" si="3"/>
        <v>1.0755690363028345E-2</v>
      </c>
    </row>
    <row r="52" spans="1:5" x14ac:dyDescent="0.25">
      <c r="A52" s="3" t="s">
        <v>50</v>
      </c>
      <c r="B52" s="4"/>
      <c r="C52" s="5">
        <f>25</f>
        <v>25</v>
      </c>
      <c r="D52" s="5">
        <f t="shared" si="2"/>
        <v>-25</v>
      </c>
      <c r="E52" s="6">
        <f t="shared" si="3"/>
        <v>0</v>
      </c>
    </row>
    <row r="53" spans="1:5" x14ac:dyDescent="0.25">
      <c r="A53" s="3" t="s">
        <v>51</v>
      </c>
      <c r="B53" s="4"/>
      <c r="C53" s="5">
        <f>1000</f>
        <v>1000</v>
      </c>
      <c r="D53" s="5">
        <f t="shared" si="2"/>
        <v>-1000</v>
      </c>
      <c r="E53" s="6">
        <f t="shared" si="3"/>
        <v>0</v>
      </c>
    </row>
    <row r="54" spans="1:5" x14ac:dyDescent="0.25">
      <c r="A54" s="3" t="s">
        <v>52</v>
      </c>
      <c r="B54" s="5">
        <f>8.85</f>
        <v>8.85</v>
      </c>
      <c r="C54" s="5">
        <f>500</f>
        <v>500</v>
      </c>
      <c r="D54" s="5">
        <f t="shared" si="2"/>
        <v>-491.15</v>
      </c>
      <c r="E54" s="6">
        <f t="shared" si="3"/>
        <v>1.77E-2</v>
      </c>
    </row>
    <row r="55" spans="1:5" x14ac:dyDescent="0.25">
      <c r="A55" s="3" t="s">
        <v>53</v>
      </c>
      <c r="B55" s="5">
        <f>23.5</f>
        <v>23.5</v>
      </c>
      <c r="C55" s="5">
        <f>175</f>
        <v>175</v>
      </c>
      <c r="D55" s="5">
        <f t="shared" si="2"/>
        <v>-151.5</v>
      </c>
      <c r="E55" s="6">
        <f t="shared" si="3"/>
        <v>0.13428571428571429</v>
      </c>
    </row>
    <row r="56" spans="1:5" x14ac:dyDescent="0.25">
      <c r="A56" s="3" t="s">
        <v>54</v>
      </c>
      <c r="B56" s="4"/>
      <c r="C56" s="5">
        <f>25</f>
        <v>25</v>
      </c>
      <c r="D56" s="5">
        <f t="shared" si="2"/>
        <v>-25</v>
      </c>
      <c r="E56" s="6">
        <f t="shared" si="3"/>
        <v>0</v>
      </c>
    </row>
    <row r="57" spans="1:5" x14ac:dyDescent="0.25">
      <c r="A57" s="3" t="s">
        <v>55</v>
      </c>
      <c r="B57" s="4"/>
      <c r="C57" s="5">
        <f>750</f>
        <v>750</v>
      </c>
      <c r="D57" s="5">
        <f t="shared" si="2"/>
        <v>-750</v>
      </c>
      <c r="E57" s="6">
        <f t="shared" si="3"/>
        <v>0</v>
      </c>
    </row>
    <row r="58" spans="1:5" x14ac:dyDescent="0.25">
      <c r="A58" s="3" t="s">
        <v>56</v>
      </c>
      <c r="B58" s="5">
        <f>48</f>
        <v>48</v>
      </c>
      <c r="C58" s="5">
        <f>1000</f>
        <v>1000</v>
      </c>
      <c r="D58" s="5">
        <f t="shared" si="2"/>
        <v>-952</v>
      </c>
      <c r="E58" s="6">
        <f t="shared" si="3"/>
        <v>4.8000000000000001E-2</v>
      </c>
    </row>
    <row r="59" spans="1:5" x14ac:dyDescent="0.25">
      <c r="A59" s="3" t="s">
        <v>57</v>
      </c>
      <c r="B59" s="4"/>
      <c r="C59" s="5">
        <f>250</f>
        <v>250</v>
      </c>
      <c r="D59" s="5">
        <f t="shared" si="2"/>
        <v>-250</v>
      </c>
      <c r="E59" s="6">
        <f t="shared" si="3"/>
        <v>0</v>
      </c>
    </row>
    <row r="60" spans="1:5" x14ac:dyDescent="0.25">
      <c r="A60" s="3" t="s">
        <v>58</v>
      </c>
      <c r="B60" s="5">
        <f>-4.4</f>
        <v>-4.4000000000000004</v>
      </c>
      <c r="C60" s="5">
        <f>-500</f>
        <v>-500</v>
      </c>
      <c r="D60" s="5">
        <f t="shared" si="2"/>
        <v>495.6</v>
      </c>
      <c r="E60" s="6">
        <f t="shared" si="3"/>
        <v>8.8000000000000005E-3</v>
      </c>
    </row>
    <row r="61" spans="1:5" x14ac:dyDescent="0.25">
      <c r="A61" s="3" t="s">
        <v>59</v>
      </c>
      <c r="B61" s="4"/>
      <c r="C61" s="5">
        <f>250</f>
        <v>250</v>
      </c>
      <c r="D61" s="5">
        <f t="shared" si="2"/>
        <v>-250</v>
      </c>
      <c r="E61" s="6">
        <f t="shared" si="3"/>
        <v>0</v>
      </c>
    </row>
    <row r="62" spans="1:5" x14ac:dyDescent="0.25">
      <c r="A62" s="3" t="s">
        <v>60</v>
      </c>
      <c r="B62" s="4"/>
      <c r="C62" s="5">
        <f>950</f>
        <v>950</v>
      </c>
      <c r="D62" s="5">
        <f t="shared" si="2"/>
        <v>-950</v>
      </c>
      <c r="E62" s="6">
        <f t="shared" si="3"/>
        <v>0</v>
      </c>
    </row>
    <row r="63" spans="1:5" x14ac:dyDescent="0.25">
      <c r="A63" s="3" t="s">
        <v>61</v>
      </c>
      <c r="B63" s="4"/>
      <c r="C63" s="5">
        <f>200</f>
        <v>200</v>
      </c>
      <c r="D63" s="5">
        <f t="shared" si="2"/>
        <v>-200</v>
      </c>
      <c r="E63" s="6">
        <f t="shared" si="3"/>
        <v>0</v>
      </c>
    </row>
    <row r="64" spans="1:5" x14ac:dyDescent="0.25">
      <c r="A64" s="3" t="s">
        <v>62</v>
      </c>
      <c r="B64" s="5">
        <f>20</f>
        <v>20</v>
      </c>
      <c r="C64" s="5">
        <f>4000</f>
        <v>4000</v>
      </c>
      <c r="D64" s="5">
        <f t="shared" si="2"/>
        <v>-3980</v>
      </c>
      <c r="E64" s="6">
        <f t="shared" si="3"/>
        <v>5.0000000000000001E-3</v>
      </c>
    </row>
    <row r="65" spans="1:5" x14ac:dyDescent="0.25">
      <c r="A65" s="3" t="s">
        <v>63</v>
      </c>
      <c r="B65" s="4"/>
      <c r="C65" s="5">
        <f>175</f>
        <v>175</v>
      </c>
      <c r="D65" s="5">
        <f t="shared" si="2"/>
        <v>-175</v>
      </c>
      <c r="E65" s="6">
        <f t="shared" si="3"/>
        <v>0</v>
      </c>
    </row>
    <row r="66" spans="1:5" x14ac:dyDescent="0.25">
      <c r="A66" s="3" t="s">
        <v>64</v>
      </c>
      <c r="B66" s="4"/>
      <c r="C66" s="5">
        <f>3000</f>
        <v>3000</v>
      </c>
      <c r="D66" s="5">
        <f t="shared" si="2"/>
        <v>-3000</v>
      </c>
      <c r="E66" s="6">
        <f t="shared" si="3"/>
        <v>0</v>
      </c>
    </row>
    <row r="67" spans="1:5" x14ac:dyDescent="0.25">
      <c r="A67" s="3" t="s">
        <v>65</v>
      </c>
      <c r="B67" s="5">
        <f>2</f>
        <v>2</v>
      </c>
      <c r="C67" s="5">
        <f>350</f>
        <v>350</v>
      </c>
      <c r="D67" s="5">
        <f t="shared" si="2"/>
        <v>-348</v>
      </c>
      <c r="E67" s="6">
        <f t="shared" si="3"/>
        <v>5.7142857142857143E-3</v>
      </c>
    </row>
    <row r="68" spans="1:5" x14ac:dyDescent="0.25">
      <c r="A68" s="3" t="s">
        <v>66</v>
      </c>
      <c r="B68" s="4"/>
      <c r="C68" s="5">
        <f>50</f>
        <v>50</v>
      </c>
      <c r="D68" s="5">
        <f t="shared" si="2"/>
        <v>-50</v>
      </c>
      <c r="E68" s="6">
        <f t="shared" si="3"/>
        <v>0</v>
      </c>
    </row>
    <row r="69" spans="1:5" x14ac:dyDescent="0.25">
      <c r="A69" s="3" t="s">
        <v>67</v>
      </c>
      <c r="B69" s="5">
        <f>16</f>
        <v>16</v>
      </c>
      <c r="C69" s="5">
        <f>250</f>
        <v>250</v>
      </c>
      <c r="D69" s="5">
        <f t="shared" si="2"/>
        <v>-234</v>
      </c>
      <c r="E69" s="6">
        <f t="shared" si="3"/>
        <v>6.4000000000000001E-2</v>
      </c>
    </row>
    <row r="70" spans="1:5" x14ac:dyDescent="0.25">
      <c r="A70" s="3" t="s">
        <v>68</v>
      </c>
      <c r="B70" s="4"/>
      <c r="C70" s="5">
        <f>20</f>
        <v>20</v>
      </c>
      <c r="D70" s="5">
        <f t="shared" si="2"/>
        <v>-20</v>
      </c>
      <c r="E70" s="6">
        <f t="shared" si="3"/>
        <v>0</v>
      </c>
    </row>
    <row r="71" spans="1:5" x14ac:dyDescent="0.25">
      <c r="A71" s="3" t="s">
        <v>69</v>
      </c>
      <c r="B71" s="4"/>
      <c r="C71" s="5">
        <f>550</f>
        <v>550</v>
      </c>
      <c r="D71" s="5">
        <f t="shared" si="2"/>
        <v>-550</v>
      </c>
      <c r="E71" s="6">
        <f t="shared" si="3"/>
        <v>0</v>
      </c>
    </row>
    <row r="72" spans="1:5" x14ac:dyDescent="0.25">
      <c r="A72" s="3" t="s">
        <v>70</v>
      </c>
      <c r="B72" s="4"/>
      <c r="C72" s="5">
        <f>300</f>
        <v>300</v>
      </c>
      <c r="D72" s="5">
        <f t="shared" ref="D72:D103" si="4">(B72)-(C72)</f>
        <v>-300</v>
      </c>
      <c r="E72" s="6">
        <f t="shared" ref="E72:E85" si="5">IF(C72=0,"",(B72)/(C72))</f>
        <v>0</v>
      </c>
    </row>
    <row r="73" spans="1:5" x14ac:dyDescent="0.25">
      <c r="A73" s="3" t="s">
        <v>71</v>
      </c>
      <c r="B73" s="4"/>
      <c r="C73" s="5">
        <f>500</f>
        <v>500</v>
      </c>
      <c r="D73" s="5">
        <f t="shared" si="4"/>
        <v>-500</v>
      </c>
      <c r="E73" s="6">
        <f t="shared" si="5"/>
        <v>0</v>
      </c>
    </row>
    <row r="74" spans="1:5" x14ac:dyDescent="0.25">
      <c r="A74" s="3" t="s">
        <v>72</v>
      </c>
      <c r="B74" s="4"/>
      <c r="C74" s="5">
        <f>75</f>
        <v>75</v>
      </c>
      <c r="D74" s="5">
        <f t="shared" si="4"/>
        <v>-75</v>
      </c>
      <c r="E74" s="6">
        <f t="shared" si="5"/>
        <v>0</v>
      </c>
    </row>
    <row r="75" spans="1:5" x14ac:dyDescent="0.25">
      <c r="A75" s="3" t="s">
        <v>73</v>
      </c>
      <c r="B75" s="4"/>
      <c r="C75" s="5">
        <f>150</f>
        <v>150</v>
      </c>
      <c r="D75" s="5">
        <f t="shared" si="4"/>
        <v>-150</v>
      </c>
      <c r="E75" s="6">
        <f t="shared" si="5"/>
        <v>0</v>
      </c>
    </row>
    <row r="76" spans="1:5" x14ac:dyDescent="0.25">
      <c r="A76" s="3" t="s">
        <v>74</v>
      </c>
      <c r="B76" s="5">
        <f>8</f>
        <v>8</v>
      </c>
      <c r="C76" s="5">
        <f>300</f>
        <v>300</v>
      </c>
      <c r="D76" s="5">
        <f t="shared" si="4"/>
        <v>-292</v>
      </c>
      <c r="E76" s="6">
        <f t="shared" si="5"/>
        <v>2.6666666666666668E-2</v>
      </c>
    </row>
    <row r="77" spans="1:5" x14ac:dyDescent="0.25">
      <c r="A77" s="3" t="s">
        <v>75</v>
      </c>
      <c r="B77" s="4"/>
      <c r="C77" s="5">
        <f>200</f>
        <v>200</v>
      </c>
      <c r="D77" s="5">
        <f t="shared" si="4"/>
        <v>-200</v>
      </c>
      <c r="E77" s="6">
        <f t="shared" si="5"/>
        <v>0</v>
      </c>
    </row>
    <row r="78" spans="1:5" x14ac:dyDescent="0.25">
      <c r="A78" s="3" t="s">
        <v>76</v>
      </c>
      <c r="B78" s="4"/>
      <c r="C78" s="5">
        <f>120</f>
        <v>120</v>
      </c>
      <c r="D78" s="5">
        <f t="shared" si="4"/>
        <v>-120</v>
      </c>
      <c r="E78" s="6">
        <f t="shared" si="5"/>
        <v>0</v>
      </c>
    </row>
    <row r="79" spans="1:5" x14ac:dyDescent="0.25">
      <c r="A79" s="3" t="s">
        <v>77</v>
      </c>
      <c r="B79" s="4"/>
      <c r="C79" s="5">
        <f>250</f>
        <v>250</v>
      </c>
      <c r="D79" s="5">
        <f t="shared" si="4"/>
        <v>-250</v>
      </c>
      <c r="E79" s="6">
        <f t="shared" si="5"/>
        <v>0</v>
      </c>
    </row>
    <row r="80" spans="1:5" x14ac:dyDescent="0.25">
      <c r="A80" s="3" t="s">
        <v>78</v>
      </c>
      <c r="B80" s="4"/>
      <c r="C80" s="5">
        <f>80</f>
        <v>80</v>
      </c>
      <c r="D80" s="5">
        <f t="shared" si="4"/>
        <v>-80</v>
      </c>
      <c r="E80" s="6">
        <f t="shared" si="5"/>
        <v>0</v>
      </c>
    </row>
    <row r="81" spans="1:5" x14ac:dyDescent="0.25">
      <c r="A81" s="3" t="s">
        <v>79</v>
      </c>
      <c r="B81" s="4"/>
      <c r="C81" s="5">
        <f>1750</f>
        <v>1750</v>
      </c>
      <c r="D81" s="5">
        <f t="shared" si="4"/>
        <v>-1750</v>
      </c>
      <c r="E81" s="6">
        <f t="shared" si="5"/>
        <v>0</v>
      </c>
    </row>
    <row r="82" spans="1:5" x14ac:dyDescent="0.25">
      <c r="A82" s="3" t="s">
        <v>80</v>
      </c>
      <c r="B82" s="7">
        <f>(((((((((((((((((((((((((((((((((((((((B40)+(B41))+(B42))+(B43))+(B44))+(B45))+(B46))+(B47))+(B48))+(B51))+(B52))+(B53))+(B54))+(B55))+(B56))+(B57))+(B58))+(B59))+(B60))+(B61))+(B62))+(B63))+(B64))+(B65))+(B66))+(B67))+(B68))+(B69))+(B70))+(B71))+(B72))+(B73))+(B74))+(B75))+(B76))+(B77))+(B78))+(B79))+(B80))+(B81)</f>
        <v>306.11</v>
      </c>
      <c r="C82" s="7">
        <f>(((((((((((((((((((((((((((((((((((((((C40)+(C41))+(C42))+(C43))+(C44))+(C45))+(C46))+(C47))+(C48))+(C51))+(C52))+(C53))+(C54))+(C55))+(C56))+(C57))+(C58))+(C59))+(C60))+(C61))+(C62))+(C63))+(C64))+(C65))+(C66))+(C67))+(C68))+(C69))+(C70))+(C71))+(C72))+(C73))+(C74))+(C75))+(C76))+(C77))+(C78))+(C79))+(C80))+(C81)</f>
        <v>50749.91</v>
      </c>
      <c r="D82" s="7">
        <f t="shared" si="4"/>
        <v>-50443.8</v>
      </c>
      <c r="E82" s="8">
        <f t="shared" si="5"/>
        <v>6.031734834603647E-3</v>
      </c>
    </row>
    <row r="83" spans="1:5" x14ac:dyDescent="0.25">
      <c r="A83" s="3" t="s">
        <v>81</v>
      </c>
      <c r="B83" s="7">
        <f>(((((B24)+(B25))+(B32))+(B36))+(B39))+(B82)</f>
        <v>558.11</v>
      </c>
      <c r="C83" s="7">
        <f>(((((C24)+(C25))+(C32))+(C36))+(C39))+(C82)</f>
        <v>161824.91</v>
      </c>
      <c r="D83" s="7">
        <f t="shared" si="4"/>
        <v>-161266.80000000002</v>
      </c>
      <c r="E83" s="8">
        <f t="shared" si="5"/>
        <v>3.4488509834487164E-3</v>
      </c>
    </row>
    <row r="84" spans="1:5" x14ac:dyDescent="0.25">
      <c r="A84" s="3" t="s">
        <v>82</v>
      </c>
      <c r="B84" s="4"/>
      <c r="C84" s="5">
        <f>25</f>
        <v>25</v>
      </c>
      <c r="D84" s="5">
        <f t="shared" si="4"/>
        <v>-25</v>
      </c>
      <c r="E84" s="6">
        <f t="shared" si="5"/>
        <v>0</v>
      </c>
    </row>
    <row r="85" spans="1:5" x14ac:dyDescent="0.25">
      <c r="A85" s="3" t="s">
        <v>83</v>
      </c>
      <c r="B85" s="7">
        <f>((((B12)+(B22))+(B23))+(B83))+(B84)</f>
        <v>135798.12</v>
      </c>
      <c r="C85" s="7">
        <f>((((C12)+(C22))+(C23))+(C83))+(C84)</f>
        <v>764349.91</v>
      </c>
      <c r="D85" s="7">
        <f t="shared" si="4"/>
        <v>-628551.79</v>
      </c>
      <c r="E85" s="8">
        <f t="shared" si="5"/>
        <v>0.17766486032555429</v>
      </c>
    </row>
    <row r="86" spans="1:5" x14ac:dyDescent="0.25">
      <c r="A86" s="3" t="s">
        <v>84</v>
      </c>
      <c r="B86" s="4"/>
      <c r="C86" s="4"/>
      <c r="D86" s="4"/>
      <c r="E86" s="4"/>
    </row>
    <row r="87" spans="1:5" x14ac:dyDescent="0.25">
      <c r="A87" s="3" t="s">
        <v>85</v>
      </c>
      <c r="B87" s="4"/>
      <c r="C87" s="5">
        <f>11000</f>
        <v>11000</v>
      </c>
      <c r="D87" s="5">
        <f>(B87)-(C87)</f>
        <v>-11000</v>
      </c>
      <c r="E87" s="6">
        <f>IF(C87=0,"",(B87)/(C87))</f>
        <v>0</v>
      </c>
    </row>
    <row r="88" spans="1:5" x14ac:dyDescent="0.25">
      <c r="A88" s="3" t="s">
        <v>86</v>
      </c>
      <c r="B88" s="5">
        <f>83.94</f>
        <v>83.94</v>
      </c>
      <c r="C88" s="5">
        <f>2500</f>
        <v>2500</v>
      </c>
      <c r="D88" s="5">
        <f>(B88)-(C88)</f>
        <v>-2416.06</v>
      </c>
      <c r="E88" s="6">
        <f>IF(C88=0,"",(B88)/(C88))</f>
        <v>3.3576000000000002E-2</v>
      </c>
    </row>
    <row r="89" spans="1:5" x14ac:dyDescent="0.25">
      <c r="A89" s="3" t="s">
        <v>87</v>
      </c>
      <c r="B89" s="7">
        <f>(B87)+(B88)</f>
        <v>83.94</v>
      </c>
      <c r="C89" s="7">
        <f>(C87)+(C88)</f>
        <v>13500</v>
      </c>
      <c r="D89" s="7">
        <f>(B89)-(C89)</f>
        <v>-13416.06</v>
      </c>
      <c r="E89" s="8">
        <f>IF(C89=0,"",(B89)/(C89))</f>
        <v>6.2177777777777778E-3</v>
      </c>
    </row>
    <row r="90" spans="1:5" x14ac:dyDescent="0.25">
      <c r="A90" s="3" t="s">
        <v>88</v>
      </c>
      <c r="B90" s="7">
        <f>(B85)-(B89)</f>
        <v>135714.18</v>
      </c>
      <c r="C90" s="7">
        <f>(C85)-(C89)</f>
        <v>750849.91</v>
      </c>
      <c r="D90" s="7">
        <f>(B90)-(C90)</f>
        <v>-615135.73</v>
      </c>
      <c r="E90" s="8">
        <f>IF(C90=0,"",(B90)/(C90))</f>
        <v>0.1807474146197873</v>
      </c>
    </row>
    <row r="91" spans="1:5" x14ac:dyDescent="0.25">
      <c r="A91" s="3" t="s">
        <v>89</v>
      </c>
      <c r="B91" s="4"/>
      <c r="C91" s="4"/>
      <c r="D91" s="4"/>
      <c r="E91" s="4"/>
    </row>
    <row r="92" spans="1:5" x14ac:dyDescent="0.25">
      <c r="A92" s="3" t="s">
        <v>90</v>
      </c>
      <c r="B92" s="4"/>
      <c r="C92" s="4"/>
      <c r="D92" s="5">
        <f t="shared" ref="D92:D123" si="6">(B92)-(C92)</f>
        <v>0</v>
      </c>
      <c r="E92" s="6" t="str">
        <f t="shared" ref="E92:E123" si="7">IF(C92=0,"",(B92)/(C92))</f>
        <v/>
      </c>
    </row>
    <row r="93" spans="1:5" x14ac:dyDescent="0.25">
      <c r="A93" s="3" t="s">
        <v>91</v>
      </c>
      <c r="B93" s="5">
        <f>32572</f>
        <v>32572</v>
      </c>
      <c r="C93" s="5">
        <f>27000</f>
        <v>27000</v>
      </c>
      <c r="D93" s="5">
        <f t="shared" si="6"/>
        <v>5572</v>
      </c>
      <c r="E93" s="6">
        <f t="shared" si="7"/>
        <v>1.2063703703703703</v>
      </c>
    </row>
    <row r="94" spans="1:5" x14ac:dyDescent="0.25">
      <c r="A94" s="3" t="s">
        <v>92</v>
      </c>
      <c r="B94" s="7">
        <f>(B92)+(B93)</f>
        <v>32572</v>
      </c>
      <c r="C94" s="7">
        <f>(C92)+(C93)</f>
        <v>27000</v>
      </c>
      <c r="D94" s="7">
        <f t="shared" si="6"/>
        <v>5572</v>
      </c>
      <c r="E94" s="8">
        <f t="shared" si="7"/>
        <v>1.2063703703703703</v>
      </c>
    </row>
    <row r="95" spans="1:5" x14ac:dyDescent="0.25">
      <c r="A95" s="3" t="s">
        <v>93</v>
      </c>
      <c r="B95" s="4"/>
      <c r="C95" s="5">
        <f>8000</f>
        <v>8000</v>
      </c>
      <c r="D95" s="5">
        <f t="shared" si="6"/>
        <v>-8000</v>
      </c>
      <c r="E95" s="6">
        <f t="shared" si="7"/>
        <v>0</v>
      </c>
    </row>
    <row r="96" spans="1:5" x14ac:dyDescent="0.25">
      <c r="A96" s="3" t="s">
        <v>94</v>
      </c>
      <c r="B96" s="5">
        <f>43.95</f>
        <v>43.95</v>
      </c>
      <c r="C96" s="5">
        <f>2500</f>
        <v>2500</v>
      </c>
      <c r="D96" s="5">
        <f t="shared" si="6"/>
        <v>-2456.0500000000002</v>
      </c>
      <c r="E96" s="6">
        <f t="shared" si="7"/>
        <v>1.7580000000000002E-2</v>
      </c>
    </row>
    <row r="97" spans="1:5" x14ac:dyDescent="0.25">
      <c r="A97" s="3" t="s">
        <v>95</v>
      </c>
      <c r="B97" s="5">
        <f>1193</f>
        <v>1193</v>
      </c>
      <c r="C97" s="5">
        <f>17000</f>
        <v>17000</v>
      </c>
      <c r="D97" s="5">
        <f t="shared" si="6"/>
        <v>-15807</v>
      </c>
      <c r="E97" s="6">
        <f t="shared" si="7"/>
        <v>7.0176470588235298E-2</v>
      </c>
    </row>
    <row r="98" spans="1:5" x14ac:dyDescent="0.25">
      <c r="A98" s="3" t="s">
        <v>96</v>
      </c>
      <c r="B98" s="5">
        <f>400.99</f>
        <v>400.99</v>
      </c>
      <c r="C98" s="5">
        <f>1300</f>
        <v>1300</v>
      </c>
      <c r="D98" s="5">
        <f t="shared" si="6"/>
        <v>-899.01</v>
      </c>
      <c r="E98" s="6">
        <f t="shared" si="7"/>
        <v>0.30845384615384613</v>
      </c>
    </row>
    <row r="99" spans="1:5" x14ac:dyDescent="0.25">
      <c r="A99" s="3" t="s">
        <v>97</v>
      </c>
      <c r="B99" s="4"/>
      <c r="C99" s="4"/>
      <c r="D99" s="5">
        <f t="shared" si="6"/>
        <v>0</v>
      </c>
      <c r="E99" s="6" t="str">
        <f t="shared" si="7"/>
        <v/>
      </c>
    </row>
    <row r="100" spans="1:5" x14ac:dyDescent="0.25">
      <c r="A100" s="3" t="s">
        <v>98</v>
      </c>
      <c r="B100" s="4"/>
      <c r="C100" s="5">
        <f>1000</f>
        <v>1000</v>
      </c>
      <c r="D100" s="5">
        <f t="shared" si="6"/>
        <v>-1000</v>
      </c>
      <c r="E100" s="6">
        <f t="shared" si="7"/>
        <v>0</v>
      </c>
    </row>
    <row r="101" spans="1:5" x14ac:dyDescent="0.25">
      <c r="A101" s="3" t="s">
        <v>99</v>
      </c>
      <c r="B101" s="4"/>
      <c r="C101" s="5">
        <f>150</f>
        <v>150</v>
      </c>
      <c r="D101" s="5">
        <f t="shared" si="6"/>
        <v>-150</v>
      </c>
      <c r="E101" s="6">
        <f t="shared" si="7"/>
        <v>0</v>
      </c>
    </row>
    <row r="102" spans="1:5" x14ac:dyDescent="0.25">
      <c r="A102" s="3" t="s">
        <v>100</v>
      </c>
      <c r="B102" s="7">
        <f>((B99)+(B100))+(B101)</f>
        <v>0</v>
      </c>
      <c r="C102" s="7">
        <f>((C99)+(C100))+(C101)</f>
        <v>1150</v>
      </c>
      <c r="D102" s="7">
        <f t="shared" si="6"/>
        <v>-1150</v>
      </c>
      <c r="E102" s="8">
        <f t="shared" si="7"/>
        <v>0</v>
      </c>
    </row>
    <row r="103" spans="1:5" x14ac:dyDescent="0.25">
      <c r="A103" s="3" t="s">
        <v>101</v>
      </c>
      <c r="B103" s="4"/>
      <c r="C103" s="4"/>
      <c r="D103" s="5">
        <f t="shared" si="6"/>
        <v>0</v>
      </c>
      <c r="E103" s="6" t="str">
        <f t="shared" si="7"/>
        <v/>
      </c>
    </row>
    <row r="104" spans="1:5" x14ac:dyDescent="0.25">
      <c r="A104" s="3" t="s">
        <v>102</v>
      </c>
      <c r="B104" s="5">
        <f>1267.67</f>
        <v>1267.67</v>
      </c>
      <c r="C104" s="5">
        <f>14000</f>
        <v>14000</v>
      </c>
      <c r="D104" s="5">
        <f t="shared" si="6"/>
        <v>-12732.33</v>
      </c>
      <c r="E104" s="6">
        <f t="shared" si="7"/>
        <v>9.0547857142857152E-2</v>
      </c>
    </row>
    <row r="105" spans="1:5" x14ac:dyDescent="0.25">
      <c r="A105" s="3" t="s">
        <v>103</v>
      </c>
      <c r="B105" s="7">
        <f>(B103)+(B104)</f>
        <v>1267.67</v>
      </c>
      <c r="C105" s="7">
        <f>(C103)+(C104)</f>
        <v>14000</v>
      </c>
      <c r="D105" s="7">
        <f t="shared" si="6"/>
        <v>-12732.33</v>
      </c>
      <c r="E105" s="8">
        <f t="shared" si="7"/>
        <v>9.0547857142857152E-2</v>
      </c>
    </row>
    <row r="106" spans="1:5" x14ac:dyDescent="0.25">
      <c r="A106" s="3" t="s">
        <v>104</v>
      </c>
      <c r="B106" s="4"/>
      <c r="C106" s="4"/>
      <c r="D106" s="5">
        <f t="shared" si="6"/>
        <v>0</v>
      </c>
      <c r="E106" s="6" t="str">
        <f t="shared" si="7"/>
        <v/>
      </c>
    </row>
    <row r="107" spans="1:5" x14ac:dyDescent="0.25">
      <c r="A107" s="3" t="s">
        <v>105</v>
      </c>
      <c r="B107" s="5">
        <f>3306.51</f>
        <v>3306.51</v>
      </c>
      <c r="C107" s="5">
        <f>51000</f>
        <v>51000</v>
      </c>
      <c r="D107" s="5">
        <f t="shared" si="6"/>
        <v>-47693.49</v>
      </c>
      <c r="E107" s="6">
        <f t="shared" si="7"/>
        <v>6.4833529411764707E-2</v>
      </c>
    </row>
    <row r="108" spans="1:5" x14ac:dyDescent="0.25">
      <c r="A108" s="3" t="s">
        <v>106</v>
      </c>
      <c r="B108" s="5">
        <f>4336.01</f>
        <v>4336.01</v>
      </c>
      <c r="C108" s="5">
        <f>23200</f>
        <v>23200</v>
      </c>
      <c r="D108" s="5">
        <f t="shared" si="6"/>
        <v>-18863.989999999998</v>
      </c>
      <c r="E108" s="6">
        <f t="shared" si="7"/>
        <v>0.18689698275862071</v>
      </c>
    </row>
    <row r="109" spans="1:5" x14ac:dyDescent="0.25">
      <c r="A109" s="3" t="s">
        <v>107</v>
      </c>
      <c r="B109" s="5">
        <f>69.36</f>
        <v>69.36</v>
      </c>
      <c r="C109" s="5">
        <f>280</f>
        <v>280</v>
      </c>
      <c r="D109" s="5">
        <f t="shared" si="6"/>
        <v>-210.64</v>
      </c>
      <c r="E109" s="6">
        <f t="shared" si="7"/>
        <v>0.24771428571428572</v>
      </c>
    </row>
    <row r="110" spans="1:5" x14ac:dyDescent="0.25">
      <c r="A110" s="3" t="s">
        <v>108</v>
      </c>
      <c r="B110" s="7">
        <f>(((B106)+(B107))+(B108))+(B109)</f>
        <v>7711.88</v>
      </c>
      <c r="C110" s="7">
        <f>(((C106)+(C107))+(C108))+(C109)</f>
        <v>74480</v>
      </c>
      <c r="D110" s="7">
        <f t="shared" si="6"/>
        <v>-66768.12</v>
      </c>
      <c r="E110" s="8">
        <f t="shared" si="7"/>
        <v>0.10354296455424275</v>
      </c>
    </row>
    <row r="111" spans="1:5" x14ac:dyDescent="0.25">
      <c r="A111" s="3" t="s">
        <v>109</v>
      </c>
      <c r="B111" s="4"/>
      <c r="C111" s="4"/>
      <c r="D111" s="5">
        <f t="shared" si="6"/>
        <v>0</v>
      </c>
      <c r="E111" s="6" t="str">
        <f t="shared" si="7"/>
        <v/>
      </c>
    </row>
    <row r="112" spans="1:5" x14ac:dyDescent="0.25">
      <c r="A112" s="3" t="s">
        <v>110</v>
      </c>
      <c r="B112" s="4"/>
      <c r="C112" s="5">
        <f>4000</f>
        <v>4000</v>
      </c>
      <c r="D112" s="5">
        <f t="shared" si="6"/>
        <v>-4000</v>
      </c>
      <c r="E112" s="6">
        <f t="shared" si="7"/>
        <v>0</v>
      </c>
    </row>
    <row r="113" spans="1:5" x14ac:dyDescent="0.25">
      <c r="A113" s="3" t="s">
        <v>111</v>
      </c>
      <c r="B113" s="5">
        <f>4.19</f>
        <v>4.1900000000000004</v>
      </c>
      <c r="C113" s="5">
        <f>2000</f>
        <v>2000</v>
      </c>
      <c r="D113" s="5">
        <f t="shared" si="6"/>
        <v>-1995.81</v>
      </c>
      <c r="E113" s="6">
        <f t="shared" si="7"/>
        <v>2.0950000000000001E-3</v>
      </c>
    </row>
    <row r="114" spans="1:5" x14ac:dyDescent="0.25">
      <c r="A114" s="3" t="s">
        <v>112</v>
      </c>
      <c r="B114" s="5">
        <f>1532.15</f>
        <v>1532.15</v>
      </c>
      <c r="C114" s="5">
        <f>6000</f>
        <v>6000</v>
      </c>
      <c r="D114" s="5">
        <f t="shared" si="6"/>
        <v>-4467.8500000000004</v>
      </c>
      <c r="E114" s="6">
        <f t="shared" si="7"/>
        <v>0.25535833333333335</v>
      </c>
    </row>
    <row r="115" spans="1:5" x14ac:dyDescent="0.25">
      <c r="A115" s="3" t="s">
        <v>113</v>
      </c>
      <c r="B115" s="7">
        <f>(((B111)+(B112))+(B113))+(B114)</f>
        <v>1536.3400000000001</v>
      </c>
      <c r="C115" s="7">
        <f>(((C111)+(C112))+(C113))+(C114)</f>
        <v>12000</v>
      </c>
      <c r="D115" s="7">
        <f t="shared" si="6"/>
        <v>-10463.66</v>
      </c>
      <c r="E115" s="8">
        <f t="shared" si="7"/>
        <v>0.12802833333333336</v>
      </c>
    </row>
    <row r="116" spans="1:5" x14ac:dyDescent="0.25">
      <c r="A116" s="3" t="s">
        <v>114</v>
      </c>
      <c r="B116" s="5">
        <f>1052</f>
        <v>1052</v>
      </c>
      <c r="C116" s="5">
        <f>6000</f>
        <v>6000</v>
      </c>
      <c r="D116" s="5">
        <f t="shared" si="6"/>
        <v>-4948</v>
      </c>
      <c r="E116" s="6">
        <f t="shared" si="7"/>
        <v>0.17533333333333334</v>
      </c>
    </row>
    <row r="117" spans="1:5" x14ac:dyDescent="0.25">
      <c r="A117" s="3" t="s">
        <v>115</v>
      </c>
      <c r="B117" s="4"/>
      <c r="C117" s="4"/>
      <c r="D117" s="5">
        <f t="shared" si="6"/>
        <v>0</v>
      </c>
      <c r="E117" s="6" t="str">
        <f t="shared" si="7"/>
        <v/>
      </c>
    </row>
    <row r="118" spans="1:5" x14ac:dyDescent="0.25">
      <c r="A118" s="3" t="s">
        <v>116</v>
      </c>
      <c r="B118" s="4"/>
      <c r="C118" s="5">
        <f>750</f>
        <v>750</v>
      </c>
      <c r="D118" s="5">
        <f t="shared" si="6"/>
        <v>-750</v>
      </c>
      <c r="E118" s="6">
        <f t="shared" si="7"/>
        <v>0</v>
      </c>
    </row>
    <row r="119" spans="1:5" x14ac:dyDescent="0.25">
      <c r="A119" s="3" t="s">
        <v>117</v>
      </c>
      <c r="B119" s="5">
        <f>77.6</f>
        <v>77.599999999999994</v>
      </c>
      <c r="C119" s="5">
        <f>3500</f>
        <v>3500</v>
      </c>
      <c r="D119" s="5">
        <f t="shared" si="6"/>
        <v>-3422.4</v>
      </c>
      <c r="E119" s="6">
        <f t="shared" si="7"/>
        <v>2.2171428571428571E-2</v>
      </c>
    </row>
    <row r="120" spans="1:5" x14ac:dyDescent="0.25">
      <c r="A120" s="3" t="s">
        <v>118</v>
      </c>
      <c r="B120" s="7">
        <f>((B117)+(B118))+(B119)</f>
        <v>77.599999999999994</v>
      </c>
      <c r="C120" s="7">
        <f>((C117)+(C118))+(C119)</f>
        <v>4250</v>
      </c>
      <c r="D120" s="7">
        <f t="shared" si="6"/>
        <v>-4172.3999999999996</v>
      </c>
      <c r="E120" s="8">
        <f t="shared" si="7"/>
        <v>1.8258823529411765E-2</v>
      </c>
    </row>
    <row r="121" spans="1:5" x14ac:dyDescent="0.25">
      <c r="A121" s="3" t="s">
        <v>119</v>
      </c>
      <c r="B121" s="5">
        <f>476.79</f>
        <v>476.79</v>
      </c>
      <c r="C121" s="5">
        <f>3000</f>
        <v>3000</v>
      </c>
      <c r="D121" s="5">
        <f t="shared" si="6"/>
        <v>-2523.21</v>
      </c>
      <c r="E121" s="6">
        <f t="shared" si="7"/>
        <v>0.15893000000000002</v>
      </c>
    </row>
    <row r="122" spans="1:5" x14ac:dyDescent="0.25">
      <c r="A122" s="3" t="s">
        <v>120</v>
      </c>
      <c r="B122" s="4"/>
      <c r="C122" s="5">
        <f>1281.05</f>
        <v>1281.05</v>
      </c>
      <c r="D122" s="5">
        <f t="shared" si="6"/>
        <v>-1281.05</v>
      </c>
      <c r="E122" s="6">
        <f t="shared" si="7"/>
        <v>0</v>
      </c>
    </row>
    <row r="123" spans="1:5" x14ac:dyDescent="0.25">
      <c r="A123" s="3" t="s">
        <v>121</v>
      </c>
      <c r="B123" s="4"/>
      <c r="C123" s="4"/>
      <c r="D123" s="5">
        <f t="shared" si="6"/>
        <v>0</v>
      </c>
      <c r="E123" s="6" t="str">
        <f t="shared" si="7"/>
        <v/>
      </c>
    </row>
    <row r="124" spans="1:5" x14ac:dyDescent="0.25">
      <c r="A124" s="3" t="s">
        <v>122</v>
      </c>
      <c r="B124" s="5">
        <f>36657.08</f>
        <v>36657.08</v>
      </c>
      <c r="C124" s="5">
        <f>348022.79</f>
        <v>348022.79</v>
      </c>
      <c r="D124" s="5">
        <f t="shared" ref="D124:D155" si="8">(B124)-(C124)</f>
        <v>-311365.70999999996</v>
      </c>
      <c r="E124" s="6">
        <f t="shared" ref="E124:E155" si="9">IF(C124=0,"",(B124)/(C124))</f>
        <v>0.10532953890749512</v>
      </c>
    </row>
    <row r="125" spans="1:5" x14ac:dyDescent="0.25">
      <c r="A125" s="3" t="s">
        <v>123</v>
      </c>
      <c r="B125" s="4"/>
      <c r="C125" s="5">
        <f>3828.25</f>
        <v>3828.25</v>
      </c>
      <c r="D125" s="5">
        <f t="shared" si="8"/>
        <v>-3828.25</v>
      </c>
      <c r="E125" s="6">
        <f t="shared" si="9"/>
        <v>0</v>
      </c>
    </row>
    <row r="126" spans="1:5" x14ac:dyDescent="0.25">
      <c r="A126" s="3" t="s">
        <v>124</v>
      </c>
      <c r="B126" s="5">
        <f>3338.91</f>
        <v>3338.91</v>
      </c>
      <c r="C126" s="5">
        <f>32888.15</f>
        <v>32888.15</v>
      </c>
      <c r="D126" s="5">
        <f t="shared" si="8"/>
        <v>-29549.24</v>
      </c>
      <c r="E126" s="6">
        <f t="shared" si="9"/>
        <v>0.10152319300416715</v>
      </c>
    </row>
    <row r="127" spans="1:5" x14ac:dyDescent="0.25">
      <c r="A127" s="3" t="s">
        <v>125</v>
      </c>
      <c r="B127" s="5">
        <f>1004.31</f>
        <v>1004.31</v>
      </c>
      <c r="C127" s="5">
        <f>13307.87</f>
        <v>13307.87</v>
      </c>
      <c r="D127" s="5">
        <f t="shared" si="8"/>
        <v>-12303.560000000001</v>
      </c>
      <c r="E127" s="6">
        <f t="shared" si="9"/>
        <v>7.5467373817147285E-2</v>
      </c>
    </row>
    <row r="128" spans="1:5" x14ac:dyDescent="0.25">
      <c r="A128" s="3" t="s">
        <v>126</v>
      </c>
      <c r="B128" s="5">
        <f>9404.4</f>
        <v>9404.4</v>
      </c>
      <c r="C128" s="5">
        <f>112852.8</f>
        <v>112852.8</v>
      </c>
      <c r="D128" s="5">
        <f t="shared" si="8"/>
        <v>-103448.40000000001</v>
      </c>
      <c r="E128" s="6">
        <f t="shared" si="9"/>
        <v>8.3333333333333329E-2</v>
      </c>
    </row>
    <row r="129" spans="1:5" x14ac:dyDescent="0.25">
      <c r="A129" s="3" t="s">
        <v>127</v>
      </c>
      <c r="B129" s="7">
        <f>(((((B123)+(B124))+(B125))+(B126))+(B127))+(B128)</f>
        <v>50404.700000000004</v>
      </c>
      <c r="C129" s="7">
        <f>(((((C123)+(C124))+(C125))+(C126))+(C127))+(C128)</f>
        <v>510899.86</v>
      </c>
      <c r="D129" s="7">
        <f t="shared" si="8"/>
        <v>-460495.16</v>
      </c>
      <c r="E129" s="8">
        <f t="shared" si="9"/>
        <v>9.8658668647902945E-2</v>
      </c>
    </row>
    <row r="130" spans="1:5" x14ac:dyDescent="0.25">
      <c r="A130" s="3" t="s">
        <v>128</v>
      </c>
      <c r="B130" s="4"/>
      <c r="C130" s="4"/>
      <c r="D130" s="5">
        <f t="shared" si="8"/>
        <v>0</v>
      </c>
      <c r="E130" s="6" t="str">
        <f t="shared" si="9"/>
        <v/>
      </c>
    </row>
    <row r="131" spans="1:5" x14ac:dyDescent="0.25">
      <c r="A131" s="3" t="s">
        <v>129</v>
      </c>
      <c r="B131" s="4"/>
      <c r="C131" s="5">
        <f>17500</f>
        <v>17500</v>
      </c>
      <c r="D131" s="5">
        <f t="shared" si="8"/>
        <v>-17500</v>
      </c>
      <c r="E131" s="6">
        <f t="shared" si="9"/>
        <v>0</v>
      </c>
    </row>
    <row r="132" spans="1:5" x14ac:dyDescent="0.25">
      <c r="A132" s="3" t="s">
        <v>130</v>
      </c>
      <c r="B132" s="4"/>
      <c r="C132" s="5">
        <f>400</f>
        <v>400</v>
      </c>
      <c r="D132" s="5">
        <f t="shared" si="8"/>
        <v>-400</v>
      </c>
      <c r="E132" s="6">
        <f t="shared" si="9"/>
        <v>0</v>
      </c>
    </row>
    <row r="133" spans="1:5" x14ac:dyDescent="0.25">
      <c r="A133" s="3" t="s">
        <v>131</v>
      </c>
      <c r="B133" s="7">
        <f>((B130)+(B131))+(B132)</f>
        <v>0</v>
      </c>
      <c r="C133" s="7">
        <f>((C130)+(C131))+(C132)</f>
        <v>17900</v>
      </c>
      <c r="D133" s="7">
        <f t="shared" si="8"/>
        <v>-17900</v>
      </c>
      <c r="E133" s="8">
        <f t="shared" si="9"/>
        <v>0</v>
      </c>
    </row>
    <row r="134" spans="1:5" x14ac:dyDescent="0.25">
      <c r="A134" s="3" t="s">
        <v>132</v>
      </c>
      <c r="B134" s="4"/>
      <c r="C134" s="5">
        <f>1000</f>
        <v>1000</v>
      </c>
      <c r="D134" s="5">
        <f t="shared" si="8"/>
        <v>-1000</v>
      </c>
      <c r="E134" s="6">
        <f t="shared" si="9"/>
        <v>0</v>
      </c>
    </row>
    <row r="135" spans="1:5" x14ac:dyDescent="0.25">
      <c r="A135" s="3" t="s">
        <v>133</v>
      </c>
      <c r="B135" s="4"/>
      <c r="C135" s="4"/>
      <c r="D135" s="5">
        <f t="shared" si="8"/>
        <v>0</v>
      </c>
      <c r="E135" s="6" t="str">
        <f t="shared" si="9"/>
        <v/>
      </c>
    </row>
    <row r="136" spans="1:5" x14ac:dyDescent="0.25">
      <c r="A136" s="3" t="s">
        <v>134</v>
      </c>
      <c r="B136" s="4"/>
      <c r="C136" s="5">
        <f>75</f>
        <v>75</v>
      </c>
      <c r="D136" s="5">
        <f t="shared" si="8"/>
        <v>-75</v>
      </c>
      <c r="E136" s="6">
        <f t="shared" si="9"/>
        <v>0</v>
      </c>
    </row>
    <row r="137" spans="1:5" x14ac:dyDescent="0.25">
      <c r="A137" s="3" t="s">
        <v>135</v>
      </c>
      <c r="B137" s="5">
        <f>214.62</f>
        <v>214.62</v>
      </c>
      <c r="C137" s="5">
        <f>2750</f>
        <v>2750</v>
      </c>
      <c r="D137" s="5">
        <f t="shared" si="8"/>
        <v>-2535.38</v>
      </c>
      <c r="E137" s="6">
        <f t="shared" si="9"/>
        <v>7.8043636363636371E-2</v>
      </c>
    </row>
    <row r="138" spans="1:5" x14ac:dyDescent="0.25">
      <c r="A138" s="3" t="s">
        <v>136</v>
      </c>
      <c r="B138" s="5">
        <f>284.13</f>
        <v>284.13</v>
      </c>
      <c r="C138" s="5">
        <f>3500</f>
        <v>3500</v>
      </c>
      <c r="D138" s="5">
        <f t="shared" si="8"/>
        <v>-3215.87</v>
      </c>
      <c r="E138" s="6">
        <f t="shared" si="9"/>
        <v>8.1180000000000002E-2</v>
      </c>
    </row>
    <row r="139" spans="1:5" x14ac:dyDescent="0.25">
      <c r="A139" s="3" t="s">
        <v>137</v>
      </c>
      <c r="B139" s="5">
        <f>0</f>
        <v>0</v>
      </c>
      <c r="C139" s="5">
        <f>150</f>
        <v>150</v>
      </c>
      <c r="D139" s="5">
        <f t="shared" si="8"/>
        <v>-150</v>
      </c>
      <c r="E139" s="6">
        <f t="shared" si="9"/>
        <v>0</v>
      </c>
    </row>
    <row r="140" spans="1:5" x14ac:dyDescent="0.25">
      <c r="A140" s="3" t="s">
        <v>138</v>
      </c>
      <c r="B140" s="4"/>
      <c r="C140" s="5">
        <f>50</f>
        <v>50</v>
      </c>
      <c r="D140" s="5">
        <f t="shared" si="8"/>
        <v>-50</v>
      </c>
      <c r="E140" s="6">
        <f t="shared" si="9"/>
        <v>0</v>
      </c>
    </row>
    <row r="141" spans="1:5" x14ac:dyDescent="0.25">
      <c r="A141" s="3" t="s">
        <v>139</v>
      </c>
      <c r="B141" s="5">
        <f>198.9</f>
        <v>198.9</v>
      </c>
      <c r="C141" s="5">
        <f>1200</f>
        <v>1200</v>
      </c>
      <c r="D141" s="5">
        <f t="shared" si="8"/>
        <v>-1001.1</v>
      </c>
      <c r="E141" s="6">
        <f t="shared" si="9"/>
        <v>0.16575000000000001</v>
      </c>
    </row>
    <row r="142" spans="1:5" x14ac:dyDescent="0.25">
      <c r="A142" s="3" t="s">
        <v>140</v>
      </c>
      <c r="B142" s="7">
        <f>((((((B135)+(B136))+(B137))+(B138))+(B139))+(B140))+(B141)</f>
        <v>697.65</v>
      </c>
      <c r="C142" s="7">
        <f>((((((C135)+(C136))+(C137))+(C138))+(C139))+(C140))+(C141)</f>
        <v>7725</v>
      </c>
      <c r="D142" s="7">
        <f t="shared" si="8"/>
        <v>-7027.35</v>
      </c>
      <c r="E142" s="8">
        <f t="shared" si="9"/>
        <v>9.0310679611650485E-2</v>
      </c>
    </row>
    <row r="143" spans="1:5" x14ac:dyDescent="0.25">
      <c r="A143" s="3" t="s">
        <v>141</v>
      </c>
      <c r="B143" s="5">
        <f>245.9</f>
        <v>245.9</v>
      </c>
      <c r="C143" s="5">
        <f>1500</f>
        <v>1500</v>
      </c>
      <c r="D143" s="5">
        <f t="shared" si="8"/>
        <v>-1254.0999999999999</v>
      </c>
      <c r="E143" s="6">
        <f t="shared" si="9"/>
        <v>0.16393333333333335</v>
      </c>
    </row>
    <row r="144" spans="1:5" x14ac:dyDescent="0.25">
      <c r="A144" s="3" t="s">
        <v>142</v>
      </c>
      <c r="B144" s="5">
        <f>1951.99</f>
        <v>1951.99</v>
      </c>
      <c r="C144" s="5">
        <f>7500</f>
        <v>7500</v>
      </c>
      <c r="D144" s="5">
        <f t="shared" si="8"/>
        <v>-5548.01</v>
      </c>
      <c r="E144" s="6">
        <f t="shared" si="9"/>
        <v>0.26026533333333335</v>
      </c>
    </row>
    <row r="145" spans="1:5" x14ac:dyDescent="0.25">
      <c r="A145" s="3" t="s">
        <v>143</v>
      </c>
      <c r="B145" s="5">
        <f>781.88</f>
        <v>781.88</v>
      </c>
      <c r="C145" s="5">
        <f>6000</f>
        <v>6000</v>
      </c>
      <c r="D145" s="5">
        <f t="shared" si="8"/>
        <v>-5218.12</v>
      </c>
      <c r="E145" s="6">
        <f t="shared" si="9"/>
        <v>0.13031333333333334</v>
      </c>
    </row>
    <row r="146" spans="1:5" x14ac:dyDescent="0.25">
      <c r="A146" s="3" t="s">
        <v>144</v>
      </c>
      <c r="B146" s="4"/>
      <c r="C146" s="4"/>
      <c r="D146" s="5">
        <f t="shared" si="8"/>
        <v>0</v>
      </c>
      <c r="E146" s="6" t="str">
        <f t="shared" si="9"/>
        <v/>
      </c>
    </row>
    <row r="147" spans="1:5" x14ac:dyDescent="0.25">
      <c r="A147" s="3" t="s">
        <v>145</v>
      </c>
      <c r="B147" s="5">
        <f>10</f>
        <v>10</v>
      </c>
      <c r="C147" s="5">
        <f>10</f>
        <v>10</v>
      </c>
      <c r="D147" s="5">
        <f t="shared" si="8"/>
        <v>0</v>
      </c>
      <c r="E147" s="6">
        <f t="shared" si="9"/>
        <v>1</v>
      </c>
    </row>
    <row r="148" spans="1:5" x14ac:dyDescent="0.25">
      <c r="A148" s="3" t="s">
        <v>146</v>
      </c>
      <c r="B148" s="5">
        <f>1200</f>
        <v>1200</v>
      </c>
      <c r="C148" s="5">
        <f>1200</f>
        <v>1200</v>
      </c>
      <c r="D148" s="5">
        <f t="shared" si="8"/>
        <v>0</v>
      </c>
      <c r="E148" s="6">
        <f t="shared" si="9"/>
        <v>1</v>
      </c>
    </row>
    <row r="149" spans="1:5" x14ac:dyDescent="0.25">
      <c r="A149" s="3" t="s">
        <v>147</v>
      </c>
      <c r="B149" s="7">
        <f>((B146)+(B147))+(B148)</f>
        <v>1210</v>
      </c>
      <c r="C149" s="7">
        <f>((C146)+(C147))+(C148)</f>
        <v>1210</v>
      </c>
      <c r="D149" s="7">
        <f t="shared" si="8"/>
        <v>0</v>
      </c>
      <c r="E149" s="8">
        <f t="shared" si="9"/>
        <v>1</v>
      </c>
    </row>
    <row r="150" spans="1:5" x14ac:dyDescent="0.25">
      <c r="A150" s="3" t="s">
        <v>148</v>
      </c>
      <c r="B150" s="5">
        <f>232.59</f>
        <v>232.59</v>
      </c>
      <c r="C150" s="5">
        <f>6000</f>
        <v>6000</v>
      </c>
      <c r="D150" s="5">
        <f t="shared" si="8"/>
        <v>-5767.41</v>
      </c>
      <c r="E150" s="6">
        <f t="shared" si="9"/>
        <v>3.8765000000000001E-2</v>
      </c>
    </row>
    <row r="151" spans="1:5" x14ac:dyDescent="0.25">
      <c r="A151" s="3" t="s">
        <v>149</v>
      </c>
      <c r="B151" s="5">
        <f>7.33</f>
        <v>7.33</v>
      </c>
      <c r="C151" s="4"/>
      <c r="D151" s="5">
        <f t="shared" si="8"/>
        <v>7.33</v>
      </c>
      <c r="E151" s="6" t="str">
        <f t="shared" si="9"/>
        <v/>
      </c>
    </row>
    <row r="152" spans="1:5" x14ac:dyDescent="0.25">
      <c r="A152" s="3" t="s">
        <v>150</v>
      </c>
      <c r="B152" s="5">
        <f>11.19</f>
        <v>11.19</v>
      </c>
      <c r="C152" s="4"/>
      <c r="D152" s="5">
        <f t="shared" si="8"/>
        <v>11.19</v>
      </c>
      <c r="E152" s="6" t="str">
        <f t="shared" si="9"/>
        <v/>
      </c>
    </row>
    <row r="153" spans="1:5" x14ac:dyDescent="0.25">
      <c r="A153" s="3" t="s">
        <v>151</v>
      </c>
      <c r="B153" s="7">
        <f>((B150)+(B151))+(B152)</f>
        <v>251.11</v>
      </c>
      <c r="C153" s="7">
        <f>((C150)+(C151))+(C152)</f>
        <v>6000</v>
      </c>
      <c r="D153" s="7">
        <f t="shared" si="8"/>
        <v>-5748.89</v>
      </c>
      <c r="E153" s="8">
        <f t="shared" si="9"/>
        <v>4.1851666666666669E-2</v>
      </c>
    </row>
    <row r="154" spans="1:5" x14ac:dyDescent="0.25">
      <c r="A154" s="3" t="s">
        <v>152</v>
      </c>
      <c r="B154" s="5">
        <f>12</f>
        <v>12</v>
      </c>
      <c r="C154" s="5">
        <f>154</f>
        <v>154</v>
      </c>
      <c r="D154" s="5">
        <f t="shared" si="8"/>
        <v>-142</v>
      </c>
      <c r="E154" s="6">
        <f t="shared" si="9"/>
        <v>7.792207792207792E-2</v>
      </c>
    </row>
    <row r="155" spans="1:5" x14ac:dyDescent="0.25">
      <c r="A155" s="3" t="s">
        <v>153</v>
      </c>
      <c r="B155" s="4"/>
      <c r="C155" s="5">
        <f>250</f>
        <v>250</v>
      </c>
      <c r="D155" s="5">
        <f t="shared" si="8"/>
        <v>-250</v>
      </c>
      <c r="E155" s="6">
        <f t="shared" si="9"/>
        <v>0</v>
      </c>
    </row>
    <row r="156" spans="1:5" x14ac:dyDescent="0.25">
      <c r="A156" s="3" t="s">
        <v>154</v>
      </c>
      <c r="B156" s="4"/>
      <c r="C156" s="4"/>
      <c r="D156" s="5">
        <f t="shared" ref="D156:D187" si="10">(B156)-(C156)</f>
        <v>0</v>
      </c>
      <c r="E156" s="6" t="str">
        <f t="shared" ref="E156:E166" si="11">IF(C156=0,"",(B156)/(C156))</f>
        <v/>
      </c>
    </row>
    <row r="157" spans="1:5" x14ac:dyDescent="0.25">
      <c r="A157" s="3" t="s">
        <v>155</v>
      </c>
      <c r="B157" s="4"/>
      <c r="C157" s="5">
        <f>11500</f>
        <v>11500</v>
      </c>
      <c r="D157" s="5">
        <f t="shared" si="10"/>
        <v>-11500</v>
      </c>
      <c r="E157" s="6">
        <f t="shared" si="11"/>
        <v>0</v>
      </c>
    </row>
    <row r="158" spans="1:5" x14ac:dyDescent="0.25">
      <c r="A158" s="3" t="s">
        <v>156</v>
      </c>
      <c r="B158" s="7">
        <f>(B156)+(B157)</f>
        <v>0</v>
      </c>
      <c r="C158" s="7">
        <f>(C156)+(C157)</f>
        <v>11500</v>
      </c>
      <c r="D158" s="7">
        <f t="shared" si="10"/>
        <v>-11500</v>
      </c>
      <c r="E158" s="8">
        <f t="shared" si="11"/>
        <v>0</v>
      </c>
    </row>
    <row r="159" spans="1:5" x14ac:dyDescent="0.25">
      <c r="A159" s="3" t="s">
        <v>157</v>
      </c>
      <c r="B159" s="5">
        <f>59.9</f>
        <v>59.9</v>
      </c>
      <c r="C159" s="5">
        <f>1500</f>
        <v>1500</v>
      </c>
      <c r="D159" s="5">
        <f t="shared" si="10"/>
        <v>-1440.1</v>
      </c>
      <c r="E159" s="6">
        <f t="shared" si="11"/>
        <v>3.9933333333333335E-2</v>
      </c>
    </row>
    <row r="160" spans="1:5" x14ac:dyDescent="0.25">
      <c r="A160" s="3" t="s">
        <v>158</v>
      </c>
      <c r="B160" s="4"/>
      <c r="C160" s="4"/>
      <c r="D160" s="5">
        <f t="shared" si="10"/>
        <v>0</v>
      </c>
      <c r="E160" s="6" t="str">
        <f t="shared" si="11"/>
        <v/>
      </c>
    </row>
    <row r="161" spans="1:5" x14ac:dyDescent="0.25">
      <c r="A161" s="3" t="s">
        <v>159</v>
      </c>
      <c r="B161" s="4"/>
      <c r="C161" s="5">
        <f>750</f>
        <v>750</v>
      </c>
      <c r="D161" s="5">
        <f t="shared" si="10"/>
        <v>-750</v>
      </c>
      <c r="E161" s="6">
        <f t="shared" si="11"/>
        <v>0</v>
      </c>
    </row>
    <row r="162" spans="1:5" x14ac:dyDescent="0.25">
      <c r="A162" s="3" t="s">
        <v>160</v>
      </c>
      <c r="B162" s="5">
        <f>953.99</f>
        <v>953.99</v>
      </c>
      <c r="C162" s="5">
        <f>5000</f>
        <v>5000</v>
      </c>
      <c r="D162" s="5">
        <f t="shared" si="10"/>
        <v>-4046.01</v>
      </c>
      <c r="E162" s="6">
        <f t="shared" si="11"/>
        <v>0.190798</v>
      </c>
    </row>
    <row r="163" spans="1:5" x14ac:dyDescent="0.25">
      <c r="A163" s="3" t="s">
        <v>161</v>
      </c>
      <c r="B163" s="7">
        <f>((B160)+(B161))+(B162)</f>
        <v>953.99</v>
      </c>
      <c r="C163" s="7">
        <f>((C160)+(C161))+(C162)</f>
        <v>5750</v>
      </c>
      <c r="D163" s="7">
        <f t="shared" si="10"/>
        <v>-4796.01</v>
      </c>
      <c r="E163" s="8">
        <f t="shared" si="11"/>
        <v>0.16591130434782608</v>
      </c>
    </row>
    <row r="164" spans="1:5" x14ac:dyDescent="0.25">
      <c r="A164" s="3" t="s">
        <v>162</v>
      </c>
      <c r="B164" s="7">
        <f>((((((((((((((((((((((((((B94)+(B95))+(B96))+(B97))+(B98))+(B102))+(B105))+(B110))+(B115))+(B116))+(B120))+(B121))+(B122))+(B129))+(B133))+(B134))+(B142))+(B143))+(B144))+(B145))+(B149))+(B153))+(B154))+(B155))+(B158))+(B159))+(B163)</f>
        <v>102901.33999999998</v>
      </c>
      <c r="C164" s="7">
        <f>((((((((((((((((((((((((((C94)+(C95))+(C96))+(C97))+(C98))+(C102))+(C105))+(C110))+(C115))+(C116))+(C120))+(C121))+(C122))+(C129))+(C133))+(C134))+(C142))+(C143))+(C144))+(C145))+(C149))+(C153))+(C154))+(C155))+(C158))+(C159))+(C163)</f>
        <v>750849.90999999992</v>
      </c>
      <c r="D164" s="7">
        <f t="shared" si="10"/>
        <v>-647948.56999999995</v>
      </c>
      <c r="E164" s="8">
        <f t="shared" si="11"/>
        <v>0.13704648376397888</v>
      </c>
    </row>
    <row r="165" spans="1:5" x14ac:dyDescent="0.25">
      <c r="A165" s="3" t="s">
        <v>163</v>
      </c>
      <c r="B165" s="7">
        <f>(B90)-(B164)</f>
        <v>32812.840000000011</v>
      </c>
      <c r="C165" s="7">
        <f>(C90)-(C164)</f>
        <v>0</v>
      </c>
      <c r="D165" s="7">
        <f t="shared" si="10"/>
        <v>32812.840000000011</v>
      </c>
      <c r="E165" s="8" t="str">
        <f t="shared" si="11"/>
        <v/>
      </c>
    </row>
    <row r="166" spans="1:5" x14ac:dyDescent="0.25">
      <c r="A166" s="3" t="s">
        <v>164</v>
      </c>
      <c r="B166" s="9">
        <f>(B165)+(0)</f>
        <v>32812.840000000011</v>
      </c>
      <c r="C166" s="9">
        <f>(C165)+(0)</f>
        <v>0</v>
      </c>
      <c r="D166" s="9">
        <f t="shared" si="10"/>
        <v>32812.840000000011</v>
      </c>
      <c r="E166" s="10" t="str">
        <f t="shared" si="11"/>
        <v/>
      </c>
    </row>
    <row r="167" spans="1:5" x14ac:dyDescent="0.25">
      <c r="A167" s="3"/>
      <c r="B167" s="4"/>
      <c r="C167" s="4"/>
      <c r="D167" s="4"/>
      <c r="E167" s="4"/>
    </row>
    <row r="170" spans="1:5" x14ac:dyDescent="0.25">
      <c r="A170" s="13" t="s">
        <v>165</v>
      </c>
      <c r="B170" s="14"/>
      <c r="C170" s="14"/>
      <c r="D170" s="14"/>
      <c r="E170" s="14"/>
    </row>
  </sheetData>
  <mergeCells count="5">
    <mergeCell ref="B5:E5"/>
    <mergeCell ref="A170:E170"/>
    <mergeCell ref="A1:E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D2977-7C2C-4853-ACE8-442E37783ABD}">
  <sheetPr>
    <tabColor rgb="FFFF0000"/>
  </sheetPr>
  <dimension ref="A1:K53"/>
  <sheetViews>
    <sheetView topLeftCell="A18" workbookViewId="0">
      <selection activeCell="K36" sqref="I34:K36"/>
    </sheetView>
  </sheetViews>
  <sheetFormatPr defaultRowHeight="15" x14ac:dyDescent="0.25"/>
  <cols>
    <col min="1" max="1" width="30.140625" customWidth="1"/>
    <col min="2" max="5" width="18" customWidth="1"/>
    <col min="9" max="9" width="18.28515625" bestFit="1" customWidth="1"/>
    <col min="10" max="11" width="11.5703125" bestFit="1" customWidth="1"/>
  </cols>
  <sheetData>
    <row r="1" spans="1:11" ht="18" x14ac:dyDescent="0.25">
      <c r="A1" s="15" t="s">
        <v>166</v>
      </c>
      <c r="B1" s="14"/>
      <c r="C1" s="14"/>
      <c r="D1" s="14"/>
      <c r="E1" s="14"/>
    </row>
    <row r="2" spans="1:11" ht="18" x14ac:dyDescent="0.25">
      <c r="A2" s="15" t="s">
        <v>167</v>
      </c>
      <c r="B2" s="14"/>
      <c r="C2" s="14"/>
      <c r="D2" s="14"/>
      <c r="E2" s="14"/>
    </row>
    <row r="3" spans="1:11" x14ac:dyDescent="0.25">
      <c r="A3" s="16" t="s">
        <v>168</v>
      </c>
      <c r="B3" s="14"/>
      <c r="C3" s="14"/>
      <c r="D3" s="14"/>
      <c r="E3" s="14"/>
    </row>
    <row r="5" spans="1:11" x14ac:dyDescent="0.25">
      <c r="A5" s="1"/>
      <c r="B5" s="11" t="s">
        <v>0</v>
      </c>
      <c r="C5" s="12"/>
      <c r="D5" s="12"/>
      <c r="E5" s="12"/>
    </row>
    <row r="6" spans="1:11" x14ac:dyDescent="0.25">
      <c r="A6" s="1"/>
      <c r="B6" s="2" t="s">
        <v>1</v>
      </c>
      <c r="C6" s="2" t="s">
        <v>2</v>
      </c>
      <c r="D6" s="2" t="s">
        <v>3</v>
      </c>
      <c r="E6" s="2" t="s">
        <v>4</v>
      </c>
    </row>
    <row r="7" spans="1:11" x14ac:dyDescent="0.25">
      <c r="A7" s="3" t="s">
        <v>5</v>
      </c>
      <c r="B7" s="4"/>
      <c r="C7" s="4"/>
      <c r="D7" s="4"/>
      <c r="E7" s="4"/>
      <c r="J7" t="s">
        <v>1</v>
      </c>
      <c r="K7" t="s">
        <v>2</v>
      </c>
    </row>
    <row r="8" spans="1:11" x14ac:dyDescent="0.25">
      <c r="A8" s="3" t="s">
        <v>6</v>
      </c>
      <c r="B8" s="5">
        <f>133750</f>
        <v>133750</v>
      </c>
      <c r="C8" s="5">
        <f>543500</f>
        <v>543500</v>
      </c>
      <c r="D8" s="5">
        <f t="shared" ref="D8:D13" si="0">(B8)-(C8)</f>
        <v>-409750</v>
      </c>
      <c r="E8" s="6">
        <f t="shared" ref="E8:E13" si="1">IF(C8=0,"",(B8)/(C8))</f>
        <v>0.24609015639374426</v>
      </c>
      <c r="I8" t="s">
        <v>345</v>
      </c>
      <c r="J8" s="21">
        <f>B9</f>
        <v>1490.01</v>
      </c>
      <c r="K8" s="21">
        <f>C9</f>
        <v>54500</v>
      </c>
    </row>
    <row r="9" spans="1:11" x14ac:dyDescent="0.25">
      <c r="A9" s="3" t="s">
        <v>11</v>
      </c>
      <c r="B9" s="5">
        <f>1490.01</f>
        <v>1490.01</v>
      </c>
      <c r="C9" s="5">
        <f>54500</f>
        <v>54500</v>
      </c>
      <c r="D9" s="5">
        <f t="shared" si="0"/>
        <v>-53009.99</v>
      </c>
      <c r="E9" s="6">
        <f t="shared" si="1"/>
        <v>2.7339633027522934E-2</v>
      </c>
      <c r="I9" t="s">
        <v>344</v>
      </c>
      <c r="J9" s="21">
        <f>B11</f>
        <v>558.11</v>
      </c>
      <c r="K9" s="21">
        <f>C11</f>
        <v>161824.91</v>
      </c>
    </row>
    <row r="10" spans="1:11" x14ac:dyDescent="0.25">
      <c r="A10" s="3" t="s">
        <v>21</v>
      </c>
      <c r="B10" s="4"/>
      <c r="C10" s="5">
        <f>4500</f>
        <v>4500</v>
      </c>
      <c r="D10" s="5">
        <f t="shared" si="0"/>
        <v>-4500</v>
      </c>
      <c r="E10" s="6">
        <f t="shared" si="1"/>
        <v>0</v>
      </c>
      <c r="I10" t="s">
        <v>343</v>
      </c>
      <c r="J10" s="21">
        <f>B8</f>
        <v>133750</v>
      </c>
      <c r="K10" s="21">
        <f>C8</f>
        <v>543500</v>
      </c>
    </row>
    <row r="11" spans="1:11" x14ac:dyDescent="0.25">
      <c r="A11" s="3" t="s">
        <v>22</v>
      </c>
      <c r="B11" s="5">
        <f>558.11</f>
        <v>558.11</v>
      </c>
      <c r="C11" s="5">
        <f>161824.91</f>
        <v>161824.91</v>
      </c>
      <c r="D11" s="5">
        <f t="shared" si="0"/>
        <v>-161266.80000000002</v>
      </c>
      <c r="E11" s="6">
        <f t="shared" si="1"/>
        <v>3.4488509834487164E-3</v>
      </c>
    </row>
    <row r="12" spans="1:11" x14ac:dyDescent="0.25">
      <c r="A12" s="3" t="s">
        <v>82</v>
      </c>
      <c r="B12" s="4"/>
      <c r="C12" s="5">
        <f>25</f>
        <v>25</v>
      </c>
      <c r="D12" s="5">
        <f t="shared" si="0"/>
        <v>-25</v>
      </c>
      <c r="E12" s="6">
        <f t="shared" si="1"/>
        <v>0</v>
      </c>
    </row>
    <row r="13" spans="1:11" x14ac:dyDescent="0.25">
      <c r="A13" s="3" t="s">
        <v>83</v>
      </c>
      <c r="B13" s="9">
        <f>((((B8)+(B9))+(B10))+(B11))+(B12)</f>
        <v>135798.12</v>
      </c>
      <c r="C13" s="9">
        <f>((((C8)+(C9))+(C10))+(C11))+(C12)</f>
        <v>764349.91</v>
      </c>
      <c r="D13" s="9">
        <f t="shared" si="0"/>
        <v>-628551.79</v>
      </c>
      <c r="E13" s="10">
        <f t="shared" si="1"/>
        <v>0.17766486032555429</v>
      </c>
    </row>
    <row r="14" spans="1:11" x14ac:dyDescent="0.25">
      <c r="A14" s="3" t="s">
        <v>84</v>
      </c>
      <c r="B14" s="4"/>
      <c r="C14" s="4"/>
      <c r="D14" s="4"/>
      <c r="E14" s="4"/>
    </row>
    <row r="15" spans="1:11" x14ac:dyDescent="0.25">
      <c r="A15" s="3" t="s">
        <v>85</v>
      </c>
      <c r="B15" s="4"/>
      <c r="C15" s="5">
        <f>11000</f>
        <v>11000</v>
      </c>
      <c r="D15" s="5">
        <f>(B15)-(C15)</f>
        <v>-11000</v>
      </c>
      <c r="E15" s="6">
        <f>IF(C15=0,"",(B15)/(C15))</f>
        <v>0</v>
      </c>
    </row>
    <row r="16" spans="1:11" x14ac:dyDescent="0.25">
      <c r="A16" s="3" t="s">
        <v>86</v>
      </c>
      <c r="B16" s="5">
        <f>83.94</f>
        <v>83.94</v>
      </c>
      <c r="C16" s="5">
        <f>2500</f>
        <v>2500</v>
      </c>
      <c r="D16" s="5">
        <f>(B16)-(C16)</f>
        <v>-2416.06</v>
      </c>
      <c r="E16" s="6">
        <f>IF(C16=0,"",(B16)/(C16))</f>
        <v>3.3576000000000002E-2</v>
      </c>
    </row>
    <row r="17" spans="1:5" x14ac:dyDescent="0.25">
      <c r="A17" s="3" t="s">
        <v>87</v>
      </c>
      <c r="B17" s="9">
        <f>(B15)+(B16)</f>
        <v>83.94</v>
      </c>
      <c r="C17" s="9">
        <f>(C15)+(C16)</f>
        <v>13500</v>
      </c>
      <c r="D17" s="9">
        <f>(B17)-(C17)</f>
        <v>-13416.06</v>
      </c>
      <c r="E17" s="10">
        <f>IF(C17=0,"",(B17)/(C17))</f>
        <v>6.2177777777777778E-3</v>
      </c>
    </row>
    <row r="18" spans="1:5" x14ac:dyDescent="0.25">
      <c r="A18" s="3" t="s">
        <v>88</v>
      </c>
      <c r="B18" s="9">
        <f>(B13)-(B17)</f>
        <v>135714.18</v>
      </c>
      <c r="C18" s="9">
        <f>(C13)-(C17)</f>
        <v>750849.91</v>
      </c>
      <c r="D18" s="9">
        <f>(B18)-(C18)</f>
        <v>-615135.73</v>
      </c>
      <c r="E18" s="10">
        <f>IF(C18=0,"",(B18)/(C18))</f>
        <v>0.1807474146197873</v>
      </c>
    </row>
    <row r="19" spans="1:5" x14ac:dyDescent="0.25">
      <c r="A19" s="3" t="s">
        <v>89</v>
      </c>
      <c r="B19" s="4"/>
      <c r="C19" s="4"/>
      <c r="D19" s="4"/>
      <c r="E19" s="4"/>
    </row>
    <row r="20" spans="1:5" x14ac:dyDescent="0.25">
      <c r="A20" s="3" t="s">
        <v>90</v>
      </c>
      <c r="B20" s="5">
        <f>32572</f>
        <v>32572</v>
      </c>
      <c r="C20" s="5">
        <f>27000</f>
        <v>27000</v>
      </c>
      <c r="D20" s="5">
        <f t="shared" ref="D20:D49" si="2">(B20)-(C20)</f>
        <v>5572</v>
      </c>
      <c r="E20" s="6">
        <f t="shared" ref="E20:E49" si="3">IF(C20=0,"",(B20)/(C20))</f>
        <v>1.2063703703703703</v>
      </c>
    </row>
    <row r="21" spans="1:5" x14ac:dyDescent="0.25">
      <c r="A21" s="3" t="s">
        <v>93</v>
      </c>
      <c r="B21" s="4"/>
      <c r="C21" s="5">
        <f>8000</f>
        <v>8000</v>
      </c>
      <c r="D21" s="5">
        <f t="shared" si="2"/>
        <v>-8000</v>
      </c>
      <c r="E21" s="6">
        <f t="shared" si="3"/>
        <v>0</v>
      </c>
    </row>
    <row r="22" spans="1:5" x14ac:dyDescent="0.25">
      <c r="A22" s="3" t="s">
        <v>94</v>
      </c>
      <c r="B22" s="5">
        <f>43.95</f>
        <v>43.95</v>
      </c>
      <c r="C22" s="5">
        <f>2500</f>
        <v>2500</v>
      </c>
      <c r="D22" s="5">
        <f t="shared" si="2"/>
        <v>-2456.0500000000002</v>
      </c>
      <c r="E22" s="6">
        <f t="shared" si="3"/>
        <v>1.7580000000000002E-2</v>
      </c>
    </row>
    <row r="23" spans="1:5" x14ac:dyDescent="0.25">
      <c r="A23" s="3" t="s">
        <v>95</v>
      </c>
      <c r="B23" s="5">
        <f>1193</f>
        <v>1193</v>
      </c>
      <c r="C23" s="5">
        <f>17000</f>
        <v>17000</v>
      </c>
      <c r="D23" s="5">
        <f t="shared" si="2"/>
        <v>-15807</v>
      </c>
      <c r="E23" s="6">
        <f t="shared" si="3"/>
        <v>7.0176470588235298E-2</v>
      </c>
    </row>
    <row r="24" spans="1:5" x14ac:dyDescent="0.25">
      <c r="A24" s="3" t="s">
        <v>96</v>
      </c>
      <c r="B24" s="5">
        <f>400.99</f>
        <v>400.99</v>
      </c>
      <c r="C24" s="5">
        <f>1300</f>
        <v>1300</v>
      </c>
      <c r="D24" s="5">
        <f t="shared" si="2"/>
        <v>-899.01</v>
      </c>
      <c r="E24" s="6">
        <f t="shared" si="3"/>
        <v>0.30845384615384613</v>
      </c>
    </row>
    <row r="25" spans="1:5" x14ac:dyDescent="0.25">
      <c r="A25" s="3" t="s">
        <v>97</v>
      </c>
      <c r="B25" s="4"/>
      <c r="C25" s="5">
        <f>1150</f>
        <v>1150</v>
      </c>
      <c r="D25" s="5">
        <f t="shared" si="2"/>
        <v>-1150</v>
      </c>
      <c r="E25" s="6">
        <f t="shared" si="3"/>
        <v>0</v>
      </c>
    </row>
    <row r="26" spans="1:5" x14ac:dyDescent="0.25">
      <c r="A26" s="3" t="s">
        <v>101</v>
      </c>
      <c r="B26" s="5">
        <f>1267.67</f>
        <v>1267.67</v>
      </c>
      <c r="C26" s="5">
        <f>14000</f>
        <v>14000</v>
      </c>
      <c r="D26" s="5">
        <f t="shared" si="2"/>
        <v>-12732.33</v>
      </c>
      <c r="E26" s="6">
        <f t="shared" si="3"/>
        <v>9.0547857142857152E-2</v>
      </c>
    </row>
    <row r="27" spans="1:5" x14ac:dyDescent="0.25">
      <c r="A27" s="3" t="s">
        <v>104</v>
      </c>
      <c r="B27" s="5">
        <f>7711.88</f>
        <v>7711.88</v>
      </c>
      <c r="C27" s="5">
        <f>74480</f>
        <v>74480</v>
      </c>
      <c r="D27" s="5">
        <f t="shared" si="2"/>
        <v>-66768.12</v>
      </c>
      <c r="E27" s="6">
        <f t="shared" si="3"/>
        <v>0.10354296455424275</v>
      </c>
    </row>
    <row r="28" spans="1:5" x14ac:dyDescent="0.25">
      <c r="A28" s="3" t="s">
        <v>109</v>
      </c>
      <c r="B28" s="5">
        <f>1536.34</f>
        <v>1536.34</v>
      </c>
      <c r="C28" s="5">
        <f>12000</f>
        <v>12000</v>
      </c>
      <c r="D28" s="5">
        <f t="shared" si="2"/>
        <v>-10463.66</v>
      </c>
      <c r="E28" s="6">
        <f t="shared" si="3"/>
        <v>0.12802833333333333</v>
      </c>
    </row>
    <row r="29" spans="1:5" x14ac:dyDescent="0.25">
      <c r="A29" s="3" t="s">
        <v>114</v>
      </c>
      <c r="B29" s="5">
        <f>1052</f>
        <v>1052</v>
      </c>
      <c r="C29" s="5">
        <f>6000</f>
        <v>6000</v>
      </c>
      <c r="D29" s="5">
        <f t="shared" si="2"/>
        <v>-4948</v>
      </c>
      <c r="E29" s="6">
        <f t="shared" si="3"/>
        <v>0.17533333333333334</v>
      </c>
    </row>
    <row r="30" spans="1:5" x14ac:dyDescent="0.25">
      <c r="A30" s="3" t="s">
        <v>115</v>
      </c>
      <c r="B30" s="5">
        <f>77.6</f>
        <v>77.599999999999994</v>
      </c>
      <c r="C30" s="5">
        <f>4250</f>
        <v>4250</v>
      </c>
      <c r="D30" s="5">
        <f t="shared" si="2"/>
        <v>-4172.3999999999996</v>
      </c>
      <c r="E30" s="6">
        <f t="shared" si="3"/>
        <v>1.8258823529411765E-2</v>
      </c>
    </row>
    <row r="31" spans="1:5" x14ac:dyDescent="0.25">
      <c r="A31" s="3" t="s">
        <v>119</v>
      </c>
      <c r="B31" s="5">
        <f>476.79</f>
        <v>476.79</v>
      </c>
      <c r="C31" s="5">
        <f>3000</f>
        <v>3000</v>
      </c>
      <c r="D31" s="5">
        <f t="shared" si="2"/>
        <v>-2523.21</v>
      </c>
      <c r="E31" s="6">
        <f t="shared" si="3"/>
        <v>0.15893000000000002</v>
      </c>
    </row>
    <row r="32" spans="1:5" x14ac:dyDescent="0.25">
      <c r="A32" s="3" t="s">
        <v>120</v>
      </c>
      <c r="B32" s="4"/>
      <c r="C32" s="5">
        <f>1281.05</f>
        <v>1281.05</v>
      </c>
      <c r="D32" s="5">
        <f t="shared" si="2"/>
        <v>-1281.05</v>
      </c>
      <c r="E32" s="6">
        <f t="shared" si="3"/>
        <v>0</v>
      </c>
    </row>
    <row r="33" spans="1:11" x14ac:dyDescent="0.25">
      <c r="A33" s="3" t="s">
        <v>121</v>
      </c>
      <c r="B33" s="5">
        <f>50404.7</f>
        <v>50404.7</v>
      </c>
      <c r="C33" s="5">
        <f>510899.86</f>
        <v>510899.86</v>
      </c>
      <c r="D33" s="5">
        <f t="shared" si="2"/>
        <v>-460495.16</v>
      </c>
      <c r="E33" s="6">
        <f t="shared" si="3"/>
        <v>9.8658668647902931E-2</v>
      </c>
    </row>
    <row r="34" spans="1:11" x14ac:dyDescent="0.25">
      <c r="A34" s="3" t="s">
        <v>128</v>
      </c>
      <c r="B34" s="4"/>
      <c r="C34" s="5">
        <f>17900</f>
        <v>17900</v>
      </c>
      <c r="D34" s="5">
        <f t="shared" si="2"/>
        <v>-17900</v>
      </c>
      <c r="E34" s="6">
        <f t="shared" si="3"/>
        <v>0</v>
      </c>
      <c r="J34" t="s">
        <v>1</v>
      </c>
      <c r="K34" t="s">
        <v>2</v>
      </c>
    </row>
    <row r="35" spans="1:11" x14ac:dyDescent="0.25">
      <c r="A35" s="3" t="s">
        <v>132</v>
      </c>
      <c r="B35" s="4"/>
      <c r="C35" s="5">
        <f>1000</f>
        <v>1000</v>
      </c>
      <c r="D35" s="5">
        <f t="shared" si="2"/>
        <v>-1000</v>
      </c>
      <c r="E35" s="6">
        <f t="shared" si="3"/>
        <v>0</v>
      </c>
      <c r="I35" t="s">
        <v>347</v>
      </c>
      <c r="J35" s="21">
        <f>B40</f>
        <v>1210</v>
      </c>
      <c r="K35" s="21">
        <f>C40</f>
        <v>1210</v>
      </c>
    </row>
    <row r="36" spans="1:11" x14ac:dyDescent="0.25">
      <c r="A36" s="3" t="s">
        <v>133</v>
      </c>
      <c r="B36" s="5">
        <f>697.65</f>
        <v>697.65</v>
      </c>
      <c r="C36" s="5">
        <f>7725</f>
        <v>7725</v>
      </c>
      <c r="D36" s="5">
        <f t="shared" si="2"/>
        <v>-7027.35</v>
      </c>
      <c r="E36" s="6">
        <f t="shared" si="3"/>
        <v>9.0310679611650485E-2</v>
      </c>
      <c r="I36" t="s">
        <v>346</v>
      </c>
      <c r="J36" s="21">
        <f>B20</f>
        <v>32572</v>
      </c>
      <c r="K36" s="21">
        <f>C20</f>
        <v>27000</v>
      </c>
    </row>
    <row r="37" spans="1:11" x14ac:dyDescent="0.25">
      <c r="A37" s="3" t="s">
        <v>141</v>
      </c>
      <c r="B37" s="5">
        <f>245.9</f>
        <v>245.9</v>
      </c>
      <c r="C37" s="5">
        <f>1500</f>
        <v>1500</v>
      </c>
      <c r="D37" s="5">
        <f t="shared" si="2"/>
        <v>-1254.0999999999999</v>
      </c>
      <c r="E37" s="6">
        <f t="shared" si="3"/>
        <v>0.16393333333333335</v>
      </c>
    </row>
    <row r="38" spans="1:11" x14ac:dyDescent="0.25">
      <c r="A38" s="3" t="s">
        <v>142</v>
      </c>
      <c r="B38" s="5">
        <f>1951.99</f>
        <v>1951.99</v>
      </c>
      <c r="C38" s="5">
        <f>7500</f>
        <v>7500</v>
      </c>
      <c r="D38" s="5">
        <f t="shared" si="2"/>
        <v>-5548.01</v>
      </c>
      <c r="E38" s="6">
        <f t="shared" si="3"/>
        <v>0.26026533333333335</v>
      </c>
    </row>
    <row r="39" spans="1:11" x14ac:dyDescent="0.25">
      <c r="A39" s="3" t="s">
        <v>143</v>
      </c>
      <c r="B39" s="5">
        <f>781.88</f>
        <v>781.88</v>
      </c>
      <c r="C39" s="5">
        <f>6000</f>
        <v>6000</v>
      </c>
      <c r="D39" s="5">
        <f t="shared" si="2"/>
        <v>-5218.12</v>
      </c>
      <c r="E39" s="6">
        <f t="shared" si="3"/>
        <v>0.13031333333333334</v>
      </c>
    </row>
    <row r="40" spans="1:11" x14ac:dyDescent="0.25">
      <c r="A40" s="3" t="s">
        <v>144</v>
      </c>
      <c r="B40" s="5">
        <f>1210</f>
        <v>1210</v>
      </c>
      <c r="C40" s="5">
        <f>1210</f>
        <v>1210</v>
      </c>
      <c r="D40" s="5">
        <f t="shared" si="2"/>
        <v>0</v>
      </c>
      <c r="E40" s="6">
        <f t="shared" si="3"/>
        <v>1</v>
      </c>
    </row>
    <row r="41" spans="1:11" x14ac:dyDescent="0.25">
      <c r="A41" s="3" t="s">
        <v>148</v>
      </c>
      <c r="B41" s="5">
        <f>251.11</f>
        <v>251.11</v>
      </c>
      <c r="C41" s="5">
        <f>6000</f>
        <v>6000</v>
      </c>
      <c r="D41" s="5">
        <f t="shared" si="2"/>
        <v>-5748.89</v>
      </c>
      <c r="E41" s="6">
        <f t="shared" si="3"/>
        <v>4.1851666666666669E-2</v>
      </c>
    </row>
    <row r="42" spans="1:11" x14ac:dyDescent="0.25">
      <c r="A42" s="3" t="s">
        <v>152</v>
      </c>
      <c r="B42" s="5">
        <f>12</f>
        <v>12</v>
      </c>
      <c r="C42" s="5">
        <f>154</f>
        <v>154</v>
      </c>
      <c r="D42" s="5">
        <f t="shared" si="2"/>
        <v>-142</v>
      </c>
      <c r="E42" s="6">
        <f t="shared" si="3"/>
        <v>7.792207792207792E-2</v>
      </c>
    </row>
    <row r="43" spans="1:11" x14ac:dyDescent="0.25">
      <c r="A43" s="3" t="s">
        <v>153</v>
      </c>
      <c r="B43" s="4"/>
      <c r="C43" s="5">
        <f>250</f>
        <v>250</v>
      </c>
      <c r="D43" s="5">
        <f t="shared" si="2"/>
        <v>-250</v>
      </c>
      <c r="E43" s="6">
        <f t="shared" si="3"/>
        <v>0</v>
      </c>
    </row>
    <row r="44" spans="1:11" x14ac:dyDescent="0.25">
      <c r="A44" s="3" t="s">
        <v>154</v>
      </c>
      <c r="B44" s="4"/>
      <c r="C44" s="5">
        <f>11500</f>
        <v>11500</v>
      </c>
      <c r="D44" s="5">
        <f t="shared" si="2"/>
        <v>-11500</v>
      </c>
      <c r="E44" s="6">
        <f t="shared" si="3"/>
        <v>0</v>
      </c>
    </row>
    <row r="45" spans="1:11" x14ac:dyDescent="0.25">
      <c r="A45" s="3" t="s">
        <v>157</v>
      </c>
      <c r="B45" s="5">
        <f>59.9</f>
        <v>59.9</v>
      </c>
      <c r="C45" s="5">
        <f>1500</f>
        <v>1500</v>
      </c>
      <c r="D45" s="5">
        <f t="shared" si="2"/>
        <v>-1440.1</v>
      </c>
      <c r="E45" s="6">
        <f t="shared" si="3"/>
        <v>3.9933333333333335E-2</v>
      </c>
    </row>
    <row r="46" spans="1:11" x14ac:dyDescent="0.25">
      <c r="A46" s="3" t="s">
        <v>158</v>
      </c>
      <c r="B46" s="5">
        <f>953.99</f>
        <v>953.99</v>
      </c>
      <c r="C46" s="5">
        <f>5750</f>
        <v>5750</v>
      </c>
      <c r="D46" s="5">
        <f t="shared" si="2"/>
        <v>-4796.01</v>
      </c>
      <c r="E46" s="6">
        <f t="shared" si="3"/>
        <v>0.16591130434782608</v>
      </c>
    </row>
    <row r="47" spans="1:11" x14ac:dyDescent="0.25">
      <c r="A47" s="3" t="s">
        <v>162</v>
      </c>
      <c r="B47" s="9">
        <f>((((((((((((((((((((((((((B20)+(B21))+(B22))+(B23))+(B24))+(B25))+(B26))+(B27))+(B28))+(B29))+(B30))+(B31))+(B32))+(B33))+(B34))+(B35))+(B36))+(B37))+(B38))+(B39))+(B40))+(B41))+(B42))+(B43))+(B44))+(B45))+(B46)</f>
        <v>102901.33999999998</v>
      </c>
      <c r="C47" s="9">
        <f>((((((((((((((((((((((((((C20)+(C21))+(C22))+(C23))+(C24))+(C25))+(C26))+(C27))+(C28))+(C29))+(C30))+(C31))+(C32))+(C33))+(C34))+(C35))+(C36))+(C37))+(C38))+(C39))+(C40))+(C41))+(C42))+(C43))+(C44))+(C45))+(C46)</f>
        <v>750849.90999999992</v>
      </c>
      <c r="D47" s="9">
        <f t="shared" si="2"/>
        <v>-647948.56999999995</v>
      </c>
      <c r="E47" s="10">
        <f t="shared" si="3"/>
        <v>0.13704648376397888</v>
      </c>
    </row>
    <row r="48" spans="1:11" x14ac:dyDescent="0.25">
      <c r="A48" s="3" t="s">
        <v>163</v>
      </c>
      <c r="B48" s="9">
        <f>(B18)-(B47)</f>
        <v>32812.840000000011</v>
      </c>
      <c r="C48" s="9">
        <f>(C18)-(C47)</f>
        <v>0</v>
      </c>
      <c r="D48" s="9">
        <f t="shared" si="2"/>
        <v>32812.840000000011</v>
      </c>
      <c r="E48" s="10" t="str">
        <f t="shared" si="3"/>
        <v/>
      </c>
    </row>
    <row r="49" spans="1:5" x14ac:dyDescent="0.25">
      <c r="A49" s="3" t="s">
        <v>164</v>
      </c>
      <c r="B49" s="9">
        <f>(B48)+(0)</f>
        <v>32812.840000000011</v>
      </c>
      <c r="C49" s="9">
        <f>(C48)+(0)</f>
        <v>0</v>
      </c>
      <c r="D49" s="9">
        <f t="shared" si="2"/>
        <v>32812.840000000011</v>
      </c>
      <c r="E49" s="10" t="str">
        <f t="shared" si="3"/>
        <v/>
      </c>
    </row>
    <row r="50" spans="1:5" x14ac:dyDescent="0.25">
      <c r="A50" s="3"/>
      <c r="B50" s="4"/>
      <c r="C50" s="4"/>
      <c r="D50" s="4"/>
      <c r="E50" s="4"/>
    </row>
    <row r="53" spans="1:5" x14ac:dyDescent="0.25">
      <c r="A53" s="13" t="s">
        <v>169</v>
      </c>
      <c r="B53" s="14"/>
      <c r="C53" s="14"/>
      <c r="D53" s="14"/>
      <c r="E53" s="14"/>
    </row>
  </sheetData>
  <mergeCells count="5">
    <mergeCell ref="A1:E1"/>
    <mergeCell ref="A2:E2"/>
    <mergeCell ref="A3:E3"/>
    <mergeCell ref="B5:E5"/>
    <mergeCell ref="A53:E5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5D5FF-3BB7-4B6F-8347-9E3EE2FBD0AA}">
  <sheetPr>
    <tabColor rgb="FFFF0000"/>
  </sheetPr>
  <dimension ref="A1:L50"/>
  <sheetViews>
    <sheetView topLeftCell="A9" workbookViewId="0">
      <selection activeCell="L39" sqref="J38:L39"/>
    </sheetView>
  </sheetViews>
  <sheetFormatPr defaultRowHeight="15" x14ac:dyDescent="0.25"/>
  <cols>
    <col min="1" max="1" width="30.140625" customWidth="1"/>
    <col min="2" max="5" width="18" customWidth="1"/>
    <col min="10" max="10" width="18.28515625" bestFit="1" customWidth="1"/>
    <col min="11" max="12" width="11.5703125" bestFit="1" customWidth="1"/>
  </cols>
  <sheetData>
    <row r="1" spans="1:12" ht="18" x14ac:dyDescent="0.25">
      <c r="A1" s="15" t="s">
        <v>166</v>
      </c>
      <c r="B1" s="14"/>
      <c r="C1" s="14"/>
      <c r="D1" s="14"/>
      <c r="E1" s="14"/>
    </row>
    <row r="2" spans="1:12" ht="18" x14ac:dyDescent="0.25">
      <c r="A2" s="15" t="s">
        <v>170</v>
      </c>
      <c r="B2" s="14"/>
      <c r="C2" s="14"/>
      <c r="D2" s="14"/>
      <c r="E2" s="14"/>
    </row>
    <row r="3" spans="1:12" x14ac:dyDescent="0.25">
      <c r="A3" s="16" t="s">
        <v>171</v>
      </c>
      <c r="B3" s="14"/>
      <c r="C3" s="14"/>
      <c r="D3" s="14"/>
      <c r="E3" s="14"/>
    </row>
    <row r="5" spans="1:12" x14ac:dyDescent="0.25">
      <c r="A5" s="1"/>
      <c r="B5" s="11" t="s">
        <v>0</v>
      </c>
      <c r="C5" s="12"/>
      <c r="D5" s="12"/>
      <c r="E5" s="12"/>
    </row>
    <row r="6" spans="1:12" x14ac:dyDescent="0.25">
      <c r="A6" s="1"/>
      <c r="B6" s="2" t="s">
        <v>172</v>
      </c>
      <c r="C6" s="2" t="s">
        <v>173</v>
      </c>
      <c r="D6" s="2" t="s">
        <v>174</v>
      </c>
      <c r="E6" s="2" t="s">
        <v>175</v>
      </c>
    </row>
    <row r="7" spans="1:12" x14ac:dyDescent="0.25">
      <c r="A7" s="3" t="s">
        <v>5</v>
      </c>
      <c r="B7" s="4"/>
      <c r="C7" s="4"/>
      <c r="D7" s="4"/>
      <c r="E7" s="4"/>
    </row>
    <row r="8" spans="1:12" x14ac:dyDescent="0.25">
      <c r="A8" s="3" t="s">
        <v>6</v>
      </c>
      <c r="B8" s="5">
        <f>133750</f>
        <v>133750</v>
      </c>
      <c r="C8" s="5">
        <f>147500</f>
        <v>147500</v>
      </c>
      <c r="D8" s="5">
        <f>(B8)-(C8)</f>
        <v>-13750</v>
      </c>
      <c r="E8" s="6">
        <f>IF(ABS((C8))=0,"",((B8)-(C8))/(ABS((C8))))</f>
        <v>-9.3220338983050849E-2</v>
      </c>
      <c r="K8">
        <v>2023</v>
      </c>
      <c r="L8">
        <v>2022</v>
      </c>
    </row>
    <row r="9" spans="1:12" x14ac:dyDescent="0.25">
      <c r="A9" s="3" t="s">
        <v>11</v>
      </c>
      <c r="B9" s="5">
        <f>1490.01</f>
        <v>1490.01</v>
      </c>
      <c r="C9" s="5">
        <f>1981.01</f>
        <v>1981.01</v>
      </c>
      <c r="D9" s="5">
        <f>(B9)-(C9)</f>
        <v>-491</v>
      </c>
      <c r="E9" s="6">
        <f>IF(ABS((C9))=0,"",((B9)-(C9))/(ABS((C9))))</f>
        <v>-0.24785336772656372</v>
      </c>
      <c r="J9" t="s">
        <v>344</v>
      </c>
      <c r="K9" s="21">
        <f>B11</f>
        <v>511.11</v>
      </c>
      <c r="L9" s="21">
        <f>C11</f>
        <v>585.83000000000004</v>
      </c>
    </row>
    <row r="10" spans="1:12" x14ac:dyDescent="0.25">
      <c r="A10" s="3" t="s">
        <v>21</v>
      </c>
      <c r="B10" s="4"/>
      <c r="C10" s="5">
        <f>1415.91</f>
        <v>1415.91</v>
      </c>
      <c r="D10" s="5">
        <f>(B10)-(C10)</f>
        <v>-1415.91</v>
      </c>
      <c r="E10" s="6">
        <f>IF(ABS((C10))=0,"",((B10)-(C10))/(ABS((C10))))</f>
        <v>-1</v>
      </c>
      <c r="J10" t="s">
        <v>345</v>
      </c>
      <c r="K10" s="21">
        <f>B9</f>
        <v>1490.01</v>
      </c>
      <c r="L10" s="21">
        <f>C9</f>
        <v>1981.01</v>
      </c>
    </row>
    <row r="11" spans="1:12" x14ac:dyDescent="0.25">
      <c r="A11" s="3" t="s">
        <v>22</v>
      </c>
      <c r="B11" s="5">
        <f>511.11</f>
        <v>511.11</v>
      </c>
      <c r="C11" s="5">
        <f>585.83</f>
        <v>585.83000000000004</v>
      </c>
      <c r="D11" s="5">
        <f>(B11)-(C11)</f>
        <v>-74.720000000000027</v>
      </c>
      <c r="E11" s="6">
        <f>IF(ABS((C11))=0,"",((B11)-(C11))/(ABS((C11))))</f>
        <v>-0.12754553368724719</v>
      </c>
      <c r="J11" t="s">
        <v>343</v>
      </c>
      <c r="K11" s="21">
        <f>B8</f>
        <v>133750</v>
      </c>
      <c r="L11" s="21">
        <f>C8</f>
        <v>147500</v>
      </c>
    </row>
    <row r="12" spans="1:12" x14ac:dyDescent="0.25">
      <c r="A12" s="3" t="s">
        <v>83</v>
      </c>
      <c r="B12" s="9">
        <f>(((B8)+(B9))+(B10))+(B11)</f>
        <v>135751.12</v>
      </c>
      <c r="C12" s="9">
        <f>(((C8)+(C9))+(C10))+(C11)</f>
        <v>151482.75</v>
      </c>
      <c r="D12" s="9">
        <f>(B12)-(C12)</f>
        <v>-15731.630000000005</v>
      </c>
      <c r="E12" s="10">
        <f>IF(ABS((C12))=0,"",((B12)-(C12))/(ABS((C12))))</f>
        <v>-0.1038509665291923</v>
      </c>
    </row>
    <row r="13" spans="1:12" x14ac:dyDescent="0.25">
      <c r="A13" s="3" t="s">
        <v>84</v>
      </c>
      <c r="B13" s="4"/>
      <c r="C13" s="4"/>
      <c r="D13" s="4"/>
      <c r="E13" s="4"/>
    </row>
    <row r="14" spans="1:12" x14ac:dyDescent="0.25">
      <c r="A14" s="3" t="s">
        <v>85</v>
      </c>
      <c r="B14" s="4"/>
      <c r="C14" s="5">
        <f>337.86</f>
        <v>337.86</v>
      </c>
      <c r="D14" s="5">
        <f>(B14)-(C14)</f>
        <v>-337.86</v>
      </c>
      <c r="E14" s="6">
        <f>IF(ABS((C14))=0,"",((B14)-(C14))/(ABS((C14))))</f>
        <v>-1</v>
      </c>
    </row>
    <row r="15" spans="1:12" x14ac:dyDescent="0.25">
      <c r="A15" s="3" t="s">
        <v>86</v>
      </c>
      <c r="B15" s="5">
        <f>83.94</f>
        <v>83.94</v>
      </c>
      <c r="C15" s="4"/>
      <c r="D15" s="5">
        <f>(B15)-(C15)</f>
        <v>83.94</v>
      </c>
      <c r="E15" s="6" t="str">
        <f>IF(ABS((C15))=0,"",((B15)-(C15))/(ABS((C15))))</f>
        <v/>
      </c>
    </row>
    <row r="16" spans="1:12" x14ac:dyDescent="0.25">
      <c r="A16" s="3" t="s">
        <v>87</v>
      </c>
      <c r="B16" s="9">
        <f>(B14)+(B15)</f>
        <v>83.94</v>
      </c>
      <c r="C16" s="9">
        <f>(C14)+(C15)</f>
        <v>337.86</v>
      </c>
      <c r="D16" s="9">
        <f>(B16)-(C16)</f>
        <v>-253.92000000000002</v>
      </c>
      <c r="E16" s="10">
        <f>IF(ABS((C16))=0,"",((B16)-(C16))/(ABS((C16))))</f>
        <v>-0.75155389806428696</v>
      </c>
    </row>
    <row r="17" spans="1:5" x14ac:dyDescent="0.25">
      <c r="A17" s="3" t="s">
        <v>88</v>
      </c>
      <c r="B17" s="9">
        <f>(B12)-(B16)</f>
        <v>135667.18</v>
      </c>
      <c r="C17" s="9">
        <f>(C12)-(C16)</f>
        <v>151144.89000000001</v>
      </c>
      <c r="D17" s="9">
        <f>(B17)-(C17)</f>
        <v>-15477.710000000021</v>
      </c>
      <c r="E17" s="10">
        <f>IF(ABS((C17))=0,"",((B17)-(C17))/(ABS((C17))))</f>
        <v>-0.10240313119418076</v>
      </c>
    </row>
    <row r="18" spans="1:5" x14ac:dyDescent="0.25">
      <c r="A18" s="3" t="s">
        <v>89</v>
      </c>
      <c r="B18" s="4"/>
      <c r="C18" s="4"/>
      <c r="D18" s="4"/>
      <c r="E18" s="4"/>
    </row>
    <row r="19" spans="1:5" x14ac:dyDescent="0.25">
      <c r="A19" s="3" t="s">
        <v>90</v>
      </c>
      <c r="B19" s="5">
        <f>32572</f>
        <v>32572</v>
      </c>
      <c r="C19" s="5">
        <f>26353</f>
        <v>26353</v>
      </c>
      <c r="D19" s="5">
        <f t="shared" ref="D19:D41" si="0">(B19)-(C19)</f>
        <v>6219</v>
      </c>
      <c r="E19" s="6">
        <f t="shared" ref="E19:E41" si="1">IF(ABS((C19))=0,"",((B19)-(C19))/(ABS((C19))))</f>
        <v>0.23598831252608812</v>
      </c>
    </row>
    <row r="20" spans="1:5" x14ac:dyDescent="0.25">
      <c r="A20" s="3" t="s">
        <v>93</v>
      </c>
      <c r="B20" s="4"/>
      <c r="C20" s="5">
        <f>69</f>
        <v>69</v>
      </c>
      <c r="D20" s="5">
        <f t="shared" si="0"/>
        <v>-69</v>
      </c>
      <c r="E20" s="6">
        <f t="shared" si="1"/>
        <v>-1</v>
      </c>
    </row>
    <row r="21" spans="1:5" x14ac:dyDescent="0.25">
      <c r="A21" s="3" t="s">
        <v>94</v>
      </c>
      <c r="B21" s="5">
        <f>43.95</f>
        <v>43.95</v>
      </c>
      <c r="C21" s="5">
        <f>316.57</f>
        <v>316.57</v>
      </c>
      <c r="D21" s="5">
        <f t="shared" si="0"/>
        <v>-272.62</v>
      </c>
      <c r="E21" s="6">
        <f t="shared" si="1"/>
        <v>-0.86116814606564107</v>
      </c>
    </row>
    <row r="22" spans="1:5" x14ac:dyDescent="0.25">
      <c r="A22" s="3" t="s">
        <v>95</v>
      </c>
      <c r="B22" s="5">
        <f>1054</f>
        <v>1054</v>
      </c>
      <c r="C22" s="5">
        <f>1481.2</f>
        <v>1481.2</v>
      </c>
      <c r="D22" s="5">
        <f t="shared" si="0"/>
        <v>-427.20000000000005</v>
      </c>
      <c r="E22" s="6">
        <f t="shared" si="1"/>
        <v>-0.28841479881177429</v>
      </c>
    </row>
    <row r="23" spans="1:5" x14ac:dyDescent="0.25">
      <c r="A23" s="3" t="s">
        <v>96</v>
      </c>
      <c r="B23" s="5">
        <f>400.99</f>
        <v>400.99</v>
      </c>
      <c r="C23" s="5">
        <f>25.45</f>
        <v>25.45</v>
      </c>
      <c r="D23" s="5">
        <f t="shared" si="0"/>
        <v>375.54</v>
      </c>
      <c r="E23" s="6">
        <f t="shared" si="1"/>
        <v>14.755992141453833</v>
      </c>
    </row>
    <row r="24" spans="1:5" x14ac:dyDescent="0.25">
      <c r="A24" s="22" t="s">
        <v>348</v>
      </c>
      <c r="B24" s="4"/>
      <c r="C24" s="5">
        <f>1125</f>
        <v>1125</v>
      </c>
      <c r="D24" s="5">
        <f t="shared" si="0"/>
        <v>-1125</v>
      </c>
      <c r="E24" s="6">
        <f t="shared" si="1"/>
        <v>-1</v>
      </c>
    </row>
    <row r="25" spans="1:5" x14ac:dyDescent="0.25">
      <c r="A25" s="3" t="s">
        <v>104</v>
      </c>
      <c r="B25" s="5">
        <f>5821.47</f>
        <v>5821.47</v>
      </c>
      <c r="C25" s="5">
        <f>8568.76</f>
        <v>8568.76</v>
      </c>
      <c r="D25" s="5">
        <f t="shared" si="0"/>
        <v>-2747.29</v>
      </c>
      <c r="E25" s="6">
        <f t="shared" si="1"/>
        <v>-0.32061698542146122</v>
      </c>
    </row>
    <row r="26" spans="1:5" x14ac:dyDescent="0.25">
      <c r="A26" s="3" t="s">
        <v>109</v>
      </c>
      <c r="B26" s="5">
        <f>1536.34</f>
        <v>1536.34</v>
      </c>
      <c r="C26" s="5">
        <f>731.49</f>
        <v>731.49</v>
      </c>
      <c r="D26" s="5">
        <f t="shared" si="0"/>
        <v>804.84999999999991</v>
      </c>
      <c r="E26" s="6">
        <f t="shared" si="1"/>
        <v>1.1002884523370107</v>
      </c>
    </row>
    <row r="27" spans="1:5" x14ac:dyDescent="0.25">
      <c r="A27" s="3" t="s">
        <v>114</v>
      </c>
      <c r="B27" s="5">
        <f>797</f>
        <v>797</v>
      </c>
      <c r="C27" s="5">
        <f>315</f>
        <v>315</v>
      </c>
      <c r="D27" s="5">
        <f t="shared" si="0"/>
        <v>482</v>
      </c>
      <c r="E27" s="6">
        <f t="shared" si="1"/>
        <v>1.5301587301587301</v>
      </c>
    </row>
    <row r="28" spans="1:5" x14ac:dyDescent="0.25">
      <c r="A28" s="3" t="s">
        <v>115</v>
      </c>
      <c r="B28" s="5">
        <f>77.6</f>
        <v>77.599999999999994</v>
      </c>
      <c r="C28" s="4"/>
      <c r="D28" s="5">
        <f t="shared" si="0"/>
        <v>77.599999999999994</v>
      </c>
      <c r="E28" s="6" t="str">
        <f t="shared" si="1"/>
        <v/>
      </c>
    </row>
    <row r="29" spans="1:5" x14ac:dyDescent="0.25">
      <c r="A29" s="3" t="s">
        <v>119</v>
      </c>
      <c r="B29" s="5">
        <f>476.79</f>
        <v>476.79</v>
      </c>
      <c r="C29" s="4"/>
      <c r="D29" s="5">
        <f t="shared" si="0"/>
        <v>476.79</v>
      </c>
      <c r="E29" s="6" t="str">
        <f t="shared" si="1"/>
        <v/>
      </c>
    </row>
    <row r="30" spans="1:5" x14ac:dyDescent="0.25">
      <c r="A30" s="3" t="s">
        <v>121</v>
      </c>
      <c r="B30" s="5">
        <f>36671.25</f>
        <v>36671.25</v>
      </c>
      <c r="C30" s="5">
        <f>36234.83</f>
        <v>36234.83</v>
      </c>
      <c r="D30" s="5">
        <f t="shared" si="0"/>
        <v>436.41999999999825</v>
      </c>
      <c r="E30" s="6">
        <f t="shared" si="1"/>
        <v>1.2044212709152995E-2</v>
      </c>
    </row>
    <row r="31" spans="1:5" x14ac:dyDescent="0.25">
      <c r="A31" s="3" t="s">
        <v>133</v>
      </c>
      <c r="B31" s="5">
        <f>697.65</f>
        <v>697.65</v>
      </c>
      <c r="C31" s="5">
        <f>496.83</f>
        <v>496.83</v>
      </c>
      <c r="D31" s="5">
        <f t="shared" si="0"/>
        <v>200.82</v>
      </c>
      <c r="E31" s="6">
        <f t="shared" si="1"/>
        <v>0.40420264476782802</v>
      </c>
    </row>
    <row r="32" spans="1:5" x14ac:dyDescent="0.25">
      <c r="A32" s="3" t="s">
        <v>141</v>
      </c>
      <c r="B32" s="5">
        <f>245.9</f>
        <v>245.9</v>
      </c>
      <c r="C32" s="5">
        <f>0</f>
        <v>0</v>
      </c>
      <c r="D32" s="5">
        <f t="shared" si="0"/>
        <v>245.9</v>
      </c>
      <c r="E32" s="6" t="str">
        <f t="shared" si="1"/>
        <v/>
      </c>
    </row>
    <row r="33" spans="1:12" x14ac:dyDescent="0.25">
      <c r="A33" s="3" t="s">
        <v>142</v>
      </c>
      <c r="B33" s="5">
        <f>1831.99</f>
        <v>1831.99</v>
      </c>
      <c r="C33" s="5">
        <f>2495.48</f>
        <v>2495.48</v>
      </c>
      <c r="D33" s="5">
        <f t="shared" si="0"/>
        <v>-663.49</v>
      </c>
      <c r="E33" s="6">
        <f t="shared" si="1"/>
        <v>-0.26587670508278971</v>
      </c>
    </row>
    <row r="34" spans="1:12" x14ac:dyDescent="0.25">
      <c r="A34" s="3" t="s">
        <v>143</v>
      </c>
      <c r="B34" s="5">
        <f>781.88</f>
        <v>781.88</v>
      </c>
      <c r="C34" s="5">
        <f>814.73</f>
        <v>814.73</v>
      </c>
      <c r="D34" s="5">
        <f t="shared" si="0"/>
        <v>-32.850000000000023</v>
      </c>
      <c r="E34" s="6">
        <f t="shared" si="1"/>
        <v>-4.0320106047402236E-2</v>
      </c>
    </row>
    <row r="35" spans="1:12" x14ac:dyDescent="0.25">
      <c r="A35" s="3" t="s">
        <v>144</v>
      </c>
      <c r="B35" s="5">
        <f>1210</f>
        <v>1210</v>
      </c>
      <c r="C35" s="5">
        <f>1200</f>
        <v>1200</v>
      </c>
      <c r="D35" s="5">
        <f t="shared" si="0"/>
        <v>10</v>
      </c>
      <c r="E35" s="6">
        <f t="shared" si="1"/>
        <v>8.3333333333333332E-3</v>
      </c>
    </row>
    <row r="36" spans="1:12" x14ac:dyDescent="0.25">
      <c r="A36" s="3" t="s">
        <v>148</v>
      </c>
      <c r="B36" s="5">
        <f>249.91</f>
        <v>249.91</v>
      </c>
      <c r="C36" s="5">
        <f>267.92</f>
        <v>267.92</v>
      </c>
      <c r="D36" s="5">
        <f t="shared" si="0"/>
        <v>-18.010000000000019</v>
      </c>
      <c r="E36" s="6">
        <f t="shared" si="1"/>
        <v>-6.7221558674231185E-2</v>
      </c>
    </row>
    <row r="37" spans="1:12" x14ac:dyDescent="0.25">
      <c r="A37" s="3" t="s">
        <v>152</v>
      </c>
      <c r="B37" s="5">
        <f>12</f>
        <v>12</v>
      </c>
      <c r="C37" s="5">
        <f>7</f>
        <v>7</v>
      </c>
      <c r="D37" s="5">
        <f t="shared" si="0"/>
        <v>5</v>
      </c>
      <c r="E37" s="6">
        <f t="shared" si="1"/>
        <v>0.7142857142857143</v>
      </c>
    </row>
    <row r="38" spans="1:12" x14ac:dyDescent="0.25">
      <c r="A38" s="3" t="s">
        <v>157</v>
      </c>
      <c r="B38" s="5">
        <f>59.9</f>
        <v>59.9</v>
      </c>
      <c r="C38" s="5">
        <f>89.25</f>
        <v>89.25</v>
      </c>
      <c r="D38" s="5">
        <f t="shared" si="0"/>
        <v>-29.35</v>
      </c>
      <c r="E38" s="6">
        <f t="shared" si="1"/>
        <v>-0.3288515406162465</v>
      </c>
      <c r="K38">
        <v>2023</v>
      </c>
      <c r="L38">
        <v>2022</v>
      </c>
    </row>
    <row r="39" spans="1:12" x14ac:dyDescent="0.25">
      <c r="A39" s="3" t="s">
        <v>158</v>
      </c>
      <c r="B39" s="5">
        <f>953.99</f>
        <v>953.99</v>
      </c>
      <c r="C39" s="5">
        <f>2408.89</f>
        <v>2408.89</v>
      </c>
      <c r="D39" s="5">
        <f t="shared" si="0"/>
        <v>-1454.8999999999999</v>
      </c>
      <c r="E39" s="6">
        <f t="shared" si="1"/>
        <v>-0.60397112362955552</v>
      </c>
      <c r="J39" t="s">
        <v>349</v>
      </c>
      <c r="K39" s="21">
        <f>B19</f>
        <v>32572</v>
      </c>
      <c r="L39" s="21">
        <f>C19</f>
        <v>26353</v>
      </c>
    </row>
    <row r="40" spans="1:12" x14ac:dyDescent="0.25">
      <c r="A40" s="3" t="s">
        <v>162</v>
      </c>
      <c r="B40" s="9">
        <f>((((((((((((((((((((B19)+(B20))+(B21))+(B22))+(B23))+(B24))+(B25))+(B26))+(B27))+(B28))+(B29))+(B30))+(B31))+(B32))+(B33))+(B34))+(B35))+(B36))+(B37))+(B38))+(B39)</f>
        <v>85494.609999999986</v>
      </c>
      <c r="C40" s="9">
        <f>((((((((((((((((((((C19)+(C20))+(C21))+(C22))+(C23))+(C24))+(C25))+(C26))+(C27))+(C28))+(C29))+(C30))+(C31))+(C32))+(C33))+(C34))+(C35))+(C36))+(C37))+(C38))+(C39)</f>
        <v>83000.399999999994</v>
      </c>
      <c r="D40" s="9">
        <f t="shared" si="0"/>
        <v>2494.2099999999919</v>
      </c>
      <c r="E40" s="10">
        <f t="shared" si="1"/>
        <v>3.0050578069503182E-2</v>
      </c>
    </row>
    <row r="41" spans="1:12" x14ac:dyDescent="0.25">
      <c r="A41" s="3" t="s">
        <v>163</v>
      </c>
      <c r="B41" s="9">
        <f>(B17)-(B40)</f>
        <v>50172.570000000007</v>
      </c>
      <c r="C41" s="9">
        <f>(C17)-(C40)</f>
        <v>68144.49000000002</v>
      </c>
      <c r="D41" s="9">
        <f t="shared" si="0"/>
        <v>-17971.920000000013</v>
      </c>
      <c r="E41" s="10">
        <f t="shared" si="1"/>
        <v>-0.26373254829554094</v>
      </c>
    </row>
    <row r="42" spans="1:12" x14ac:dyDescent="0.25">
      <c r="A42" s="3" t="s">
        <v>176</v>
      </c>
      <c r="B42" s="4"/>
      <c r="C42" s="4"/>
      <c r="D42" s="4"/>
      <c r="E42" s="4"/>
    </row>
    <row r="43" spans="1:12" x14ac:dyDescent="0.25">
      <c r="A43" s="3" t="s">
        <v>177</v>
      </c>
      <c r="B43" s="4"/>
      <c r="C43" s="5">
        <f>0</f>
        <v>0</v>
      </c>
      <c r="D43" s="5">
        <f>(B43)-(C43)</f>
        <v>0</v>
      </c>
      <c r="E43" s="6" t="str">
        <f>IF(ABS((C43))=0,"",((B43)-(C43))/(ABS((C43))))</f>
        <v/>
      </c>
    </row>
    <row r="44" spans="1:12" x14ac:dyDescent="0.25">
      <c r="A44" s="3" t="s">
        <v>178</v>
      </c>
      <c r="B44" s="9">
        <f>B43</f>
        <v>0</v>
      </c>
      <c r="C44" s="9">
        <f>C43</f>
        <v>0</v>
      </c>
      <c r="D44" s="9">
        <f>(B44)-(C44)</f>
        <v>0</v>
      </c>
      <c r="E44" s="10" t="str">
        <f>IF(ABS((C44))=0,"",((B44)-(C44))/(ABS((C44))))</f>
        <v/>
      </c>
    </row>
    <row r="45" spans="1:12" x14ac:dyDescent="0.25">
      <c r="A45" s="3" t="s">
        <v>179</v>
      </c>
      <c r="B45" s="9">
        <f>(0)-(B44)</f>
        <v>0</v>
      </c>
      <c r="C45" s="9">
        <f>(0)-(C44)</f>
        <v>0</v>
      </c>
      <c r="D45" s="9">
        <f>(B45)-(C45)</f>
        <v>0</v>
      </c>
      <c r="E45" s="10" t="str">
        <f>IF(ABS((C45))=0,"",((B45)-(C45))/(ABS((C45))))</f>
        <v/>
      </c>
    </row>
    <row r="46" spans="1:12" x14ac:dyDescent="0.25">
      <c r="A46" s="3" t="s">
        <v>164</v>
      </c>
      <c r="B46" s="9">
        <f>(B41)+(B45)</f>
        <v>50172.570000000007</v>
      </c>
      <c r="C46" s="9">
        <f>(C41)+(C45)</f>
        <v>68144.49000000002</v>
      </c>
      <c r="D46" s="9">
        <f>(B46)-(C46)</f>
        <v>-17971.920000000013</v>
      </c>
      <c r="E46" s="10">
        <f>IF(ABS((C46))=0,"",((B46)-(C46))/(ABS((C46))))</f>
        <v>-0.26373254829554094</v>
      </c>
    </row>
    <row r="47" spans="1:12" x14ac:dyDescent="0.25">
      <c r="A47" s="3"/>
      <c r="B47" s="4"/>
      <c r="C47" s="4"/>
      <c r="D47" s="4"/>
      <c r="E47" s="4"/>
    </row>
    <row r="50" spans="1:5" x14ac:dyDescent="0.25">
      <c r="A50" s="13" t="s">
        <v>180</v>
      </c>
      <c r="B50" s="14"/>
      <c r="C50" s="14"/>
      <c r="D50" s="14"/>
      <c r="E50" s="14"/>
    </row>
  </sheetData>
  <mergeCells count="5">
    <mergeCell ref="A1:E1"/>
    <mergeCell ref="A2:E2"/>
    <mergeCell ref="A3:E3"/>
    <mergeCell ref="B5:E5"/>
    <mergeCell ref="A50:E5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C76BB-3B8A-44BB-A3E9-28AAE14CEF1D}">
  <dimension ref="A1:E122"/>
  <sheetViews>
    <sheetView topLeftCell="A24" workbookViewId="0">
      <selection activeCell="B21" sqref="B21"/>
    </sheetView>
  </sheetViews>
  <sheetFormatPr defaultRowHeight="15" x14ac:dyDescent="0.25"/>
  <cols>
    <col min="1" max="1" width="30.140625" customWidth="1"/>
    <col min="2" max="5" width="18" customWidth="1"/>
  </cols>
  <sheetData>
    <row r="1" spans="1:5" ht="18" x14ac:dyDescent="0.25">
      <c r="A1" s="15" t="s">
        <v>166</v>
      </c>
      <c r="B1" s="14"/>
      <c r="C1" s="14"/>
      <c r="D1" s="14"/>
      <c r="E1" s="14"/>
    </row>
    <row r="2" spans="1:5" ht="18" x14ac:dyDescent="0.25">
      <c r="A2" s="15" t="s">
        <v>170</v>
      </c>
      <c r="B2" s="14"/>
      <c r="C2" s="14"/>
      <c r="D2" s="14"/>
      <c r="E2" s="14"/>
    </row>
    <row r="3" spans="1:5" x14ac:dyDescent="0.25">
      <c r="A3" s="16" t="s">
        <v>171</v>
      </c>
      <c r="B3" s="14"/>
      <c r="C3" s="14"/>
      <c r="D3" s="14"/>
      <c r="E3" s="14"/>
    </row>
    <row r="5" spans="1:5" x14ac:dyDescent="0.25">
      <c r="A5" s="1"/>
      <c r="B5" s="11" t="s">
        <v>0</v>
      </c>
      <c r="C5" s="12"/>
      <c r="D5" s="12"/>
      <c r="E5" s="12"/>
    </row>
    <row r="6" spans="1:5" x14ac:dyDescent="0.25">
      <c r="A6" s="1"/>
      <c r="B6" s="2" t="s">
        <v>172</v>
      </c>
      <c r="C6" s="2" t="s">
        <v>173</v>
      </c>
      <c r="D6" s="2" t="s">
        <v>174</v>
      </c>
      <c r="E6" s="2" t="s">
        <v>175</v>
      </c>
    </row>
    <row r="7" spans="1:5" x14ac:dyDescent="0.25">
      <c r="A7" s="3" t="s">
        <v>5</v>
      </c>
      <c r="B7" s="4"/>
      <c r="C7" s="4"/>
      <c r="D7" s="4"/>
      <c r="E7" s="4"/>
    </row>
    <row r="8" spans="1:5" x14ac:dyDescent="0.25">
      <c r="A8" s="3" t="s">
        <v>6</v>
      </c>
      <c r="B8" s="4"/>
      <c r="C8" s="4"/>
      <c r="D8" s="5">
        <f t="shared" ref="D8:D52" si="0">(B8)-(C8)</f>
        <v>0</v>
      </c>
      <c r="E8" s="6" t="str">
        <f t="shared" ref="E8:E52" si="1">IF(ABS((C8))=0,"",((B8)-(C8))/(ABS((C8))))</f>
        <v/>
      </c>
    </row>
    <row r="9" spans="1:5" x14ac:dyDescent="0.25">
      <c r="A9" s="3" t="s">
        <v>7</v>
      </c>
      <c r="B9" s="4"/>
      <c r="C9" s="5">
        <f>25000</f>
        <v>25000</v>
      </c>
      <c r="D9" s="5">
        <f t="shared" si="0"/>
        <v>-25000</v>
      </c>
      <c r="E9" s="6">
        <f t="shared" si="1"/>
        <v>-1</v>
      </c>
    </row>
    <row r="10" spans="1:5" x14ac:dyDescent="0.25">
      <c r="A10" s="3" t="s">
        <v>8</v>
      </c>
      <c r="B10" s="5">
        <f>133750</f>
        <v>133750</v>
      </c>
      <c r="C10" s="5">
        <f>122500</f>
        <v>122500</v>
      </c>
      <c r="D10" s="5">
        <f t="shared" si="0"/>
        <v>11250</v>
      </c>
      <c r="E10" s="6">
        <f t="shared" si="1"/>
        <v>9.1836734693877556E-2</v>
      </c>
    </row>
    <row r="11" spans="1:5" x14ac:dyDescent="0.25">
      <c r="A11" s="3" t="s">
        <v>10</v>
      </c>
      <c r="B11" s="9">
        <f>((B8)+(B9))+(B10)</f>
        <v>133750</v>
      </c>
      <c r="C11" s="9">
        <f>((C8)+(C9))+(C10)</f>
        <v>147500</v>
      </c>
      <c r="D11" s="9">
        <f t="shared" si="0"/>
        <v>-13750</v>
      </c>
      <c r="E11" s="10">
        <f t="shared" si="1"/>
        <v>-9.3220338983050849E-2</v>
      </c>
    </row>
    <row r="12" spans="1:5" x14ac:dyDescent="0.25">
      <c r="A12" s="3" t="s">
        <v>11</v>
      </c>
      <c r="B12" s="4"/>
      <c r="C12" s="4"/>
      <c r="D12" s="5">
        <f t="shared" si="0"/>
        <v>0</v>
      </c>
      <c r="E12" s="6" t="str">
        <f t="shared" si="1"/>
        <v/>
      </c>
    </row>
    <row r="13" spans="1:5" x14ac:dyDescent="0.25">
      <c r="A13" s="3" t="s">
        <v>12</v>
      </c>
      <c r="B13" s="4"/>
      <c r="C13" s="4"/>
      <c r="D13" s="5">
        <f t="shared" si="0"/>
        <v>0</v>
      </c>
      <c r="E13" s="6" t="str">
        <f t="shared" si="1"/>
        <v/>
      </c>
    </row>
    <row r="14" spans="1:5" x14ac:dyDescent="0.25">
      <c r="A14" s="3" t="s">
        <v>13</v>
      </c>
      <c r="B14" s="5">
        <f>505.01</f>
        <v>505.01</v>
      </c>
      <c r="C14" s="5">
        <f>1056.01</f>
        <v>1056.01</v>
      </c>
      <c r="D14" s="5">
        <f t="shared" si="0"/>
        <v>-551</v>
      </c>
      <c r="E14" s="6">
        <f t="shared" si="1"/>
        <v>-0.52177536197573882</v>
      </c>
    </row>
    <row r="15" spans="1:5" x14ac:dyDescent="0.25">
      <c r="A15" s="3" t="s">
        <v>15</v>
      </c>
      <c r="B15" s="9">
        <f>(B13)+(B14)</f>
        <v>505.01</v>
      </c>
      <c r="C15" s="9">
        <f>(C13)+(C14)</f>
        <v>1056.01</v>
      </c>
      <c r="D15" s="9">
        <f t="shared" si="0"/>
        <v>-551</v>
      </c>
      <c r="E15" s="10">
        <f t="shared" si="1"/>
        <v>-0.52177536197573882</v>
      </c>
    </row>
    <row r="16" spans="1:5" x14ac:dyDescent="0.25">
      <c r="A16" s="3" t="s">
        <v>19</v>
      </c>
      <c r="B16" s="5">
        <f>985</f>
        <v>985</v>
      </c>
      <c r="C16" s="5">
        <f>925</f>
        <v>925</v>
      </c>
      <c r="D16" s="5">
        <f t="shared" si="0"/>
        <v>60</v>
      </c>
      <c r="E16" s="6">
        <f t="shared" si="1"/>
        <v>6.4864864864864868E-2</v>
      </c>
    </row>
    <row r="17" spans="1:5" x14ac:dyDescent="0.25">
      <c r="A17" s="3" t="s">
        <v>20</v>
      </c>
      <c r="B17" s="9">
        <f>((B12)+(B15))+(B16)</f>
        <v>1490.01</v>
      </c>
      <c r="C17" s="9">
        <f>((C12)+(C15))+(C16)</f>
        <v>1981.01</v>
      </c>
      <c r="D17" s="9">
        <f t="shared" si="0"/>
        <v>-491</v>
      </c>
      <c r="E17" s="10">
        <f t="shared" si="1"/>
        <v>-0.24785336772656372</v>
      </c>
    </row>
    <row r="18" spans="1:5" x14ac:dyDescent="0.25">
      <c r="A18" s="3" t="s">
        <v>21</v>
      </c>
      <c r="B18" s="4"/>
      <c r="C18" s="5">
        <f>1415.91</f>
        <v>1415.91</v>
      </c>
      <c r="D18" s="5">
        <f t="shared" si="0"/>
        <v>-1415.91</v>
      </c>
      <c r="E18" s="6">
        <f t="shared" si="1"/>
        <v>-1</v>
      </c>
    </row>
    <row r="19" spans="1:5" x14ac:dyDescent="0.25">
      <c r="A19" s="3" t="s">
        <v>22</v>
      </c>
      <c r="B19" s="4"/>
      <c r="C19" s="4"/>
      <c r="D19" s="5">
        <f t="shared" si="0"/>
        <v>0</v>
      </c>
      <c r="E19" s="6" t="str">
        <f t="shared" si="1"/>
        <v/>
      </c>
    </row>
    <row r="20" spans="1:5" x14ac:dyDescent="0.25">
      <c r="A20" s="3" t="s">
        <v>24</v>
      </c>
      <c r="B20" s="4"/>
      <c r="C20" s="4"/>
      <c r="D20" s="5">
        <f t="shared" si="0"/>
        <v>0</v>
      </c>
      <c r="E20" s="6" t="str">
        <f t="shared" si="1"/>
        <v/>
      </c>
    </row>
    <row r="21" spans="1:5" x14ac:dyDescent="0.25">
      <c r="A21" s="3" t="s">
        <v>28</v>
      </c>
      <c r="B21" s="5">
        <f>162</f>
        <v>162</v>
      </c>
      <c r="C21" s="5">
        <f>63</f>
        <v>63</v>
      </c>
      <c r="D21" s="5">
        <f t="shared" si="0"/>
        <v>99</v>
      </c>
      <c r="E21" s="6">
        <f t="shared" si="1"/>
        <v>1.5714285714285714</v>
      </c>
    </row>
    <row r="22" spans="1:5" x14ac:dyDescent="0.25">
      <c r="A22" s="3" t="s">
        <v>30</v>
      </c>
      <c r="B22" s="9">
        <f>(B20)+(B21)</f>
        <v>162</v>
      </c>
      <c r="C22" s="9">
        <f>(C20)+(C21)</f>
        <v>63</v>
      </c>
      <c r="D22" s="9">
        <f t="shared" si="0"/>
        <v>99</v>
      </c>
      <c r="E22" s="10">
        <f t="shared" si="1"/>
        <v>1.5714285714285714</v>
      </c>
    </row>
    <row r="23" spans="1:5" x14ac:dyDescent="0.25">
      <c r="A23" s="3" t="s">
        <v>31</v>
      </c>
      <c r="B23" s="4"/>
      <c r="C23" s="4"/>
      <c r="D23" s="5">
        <f t="shared" si="0"/>
        <v>0</v>
      </c>
      <c r="E23" s="6" t="str">
        <f t="shared" si="1"/>
        <v/>
      </c>
    </row>
    <row r="24" spans="1:5" x14ac:dyDescent="0.25">
      <c r="A24" s="3" t="s">
        <v>32</v>
      </c>
      <c r="B24" s="5">
        <f>10</f>
        <v>10</v>
      </c>
      <c r="C24" s="4"/>
      <c r="D24" s="5">
        <f t="shared" si="0"/>
        <v>10</v>
      </c>
      <c r="E24" s="6" t="str">
        <f t="shared" si="1"/>
        <v/>
      </c>
    </row>
    <row r="25" spans="1:5" x14ac:dyDescent="0.25">
      <c r="A25" s="3" t="s">
        <v>33</v>
      </c>
      <c r="B25" s="5">
        <f>0</f>
        <v>0</v>
      </c>
      <c r="C25" s="4"/>
      <c r="D25" s="5">
        <f t="shared" si="0"/>
        <v>0</v>
      </c>
      <c r="E25" s="6" t="str">
        <f t="shared" si="1"/>
        <v/>
      </c>
    </row>
    <row r="26" spans="1:5" x14ac:dyDescent="0.25">
      <c r="A26" s="3" t="s">
        <v>34</v>
      </c>
      <c r="B26" s="9">
        <f>((B23)+(B24))+(B25)</f>
        <v>10</v>
      </c>
      <c r="C26" s="9">
        <f>((C23)+(C24))+(C25)</f>
        <v>0</v>
      </c>
      <c r="D26" s="9">
        <f t="shared" si="0"/>
        <v>10</v>
      </c>
      <c r="E26" s="10" t="str">
        <f t="shared" si="1"/>
        <v/>
      </c>
    </row>
    <row r="27" spans="1:5" x14ac:dyDescent="0.25">
      <c r="A27" s="3" t="s">
        <v>35</v>
      </c>
      <c r="B27" s="4"/>
      <c r="C27" s="4"/>
      <c r="D27" s="5">
        <f t="shared" si="0"/>
        <v>0</v>
      </c>
      <c r="E27" s="6" t="str">
        <f t="shared" si="1"/>
        <v/>
      </c>
    </row>
    <row r="28" spans="1:5" x14ac:dyDescent="0.25">
      <c r="A28" s="3" t="s">
        <v>36</v>
      </c>
      <c r="B28" s="5">
        <f>60</f>
        <v>60</v>
      </c>
      <c r="C28" s="4"/>
      <c r="D28" s="5">
        <f t="shared" si="0"/>
        <v>60</v>
      </c>
      <c r="E28" s="6" t="str">
        <f t="shared" si="1"/>
        <v/>
      </c>
    </row>
    <row r="29" spans="1:5" x14ac:dyDescent="0.25">
      <c r="A29" s="3" t="s">
        <v>37</v>
      </c>
      <c r="B29" s="9">
        <f>(B27)+(B28)</f>
        <v>60</v>
      </c>
      <c r="C29" s="9">
        <f>(C27)+(C28)</f>
        <v>0</v>
      </c>
      <c r="D29" s="9">
        <f t="shared" si="0"/>
        <v>60</v>
      </c>
      <c r="E29" s="10" t="str">
        <f t="shared" si="1"/>
        <v/>
      </c>
    </row>
    <row r="30" spans="1:5" x14ac:dyDescent="0.25">
      <c r="A30" s="3" t="s">
        <v>38</v>
      </c>
      <c r="B30" s="4"/>
      <c r="C30" s="4"/>
      <c r="D30" s="5">
        <f t="shared" si="0"/>
        <v>0</v>
      </c>
      <c r="E30" s="6" t="str">
        <f t="shared" si="1"/>
        <v/>
      </c>
    </row>
    <row r="31" spans="1:5" x14ac:dyDescent="0.25">
      <c r="A31" s="3" t="s">
        <v>40</v>
      </c>
      <c r="B31" s="5">
        <f>79.89</f>
        <v>79.89</v>
      </c>
      <c r="C31" s="5">
        <f>148.83</f>
        <v>148.83000000000001</v>
      </c>
      <c r="D31" s="5">
        <f t="shared" si="0"/>
        <v>-68.940000000000012</v>
      </c>
      <c r="E31" s="6">
        <f t="shared" si="1"/>
        <v>-0.46321306188268496</v>
      </c>
    </row>
    <row r="32" spans="1:5" x14ac:dyDescent="0.25">
      <c r="A32" s="3" t="s">
        <v>41</v>
      </c>
      <c r="B32" s="5">
        <f>19.98</f>
        <v>19.98</v>
      </c>
      <c r="C32" s="5">
        <f>42.97</f>
        <v>42.97</v>
      </c>
      <c r="D32" s="5">
        <f t="shared" si="0"/>
        <v>-22.99</v>
      </c>
      <c r="E32" s="6">
        <f t="shared" si="1"/>
        <v>-0.53502443565278102</v>
      </c>
    </row>
    <row r="33" spans="1:5" x14ac:dyDescent="0.25">
      <c r="A33" s="3" t="s">
        <v>42</v>
      </c>
      <c r="B33" s="5">
        <f>67.34</f>
        <v>67.34</v>
      </c>
      <c r="C33" s="5">
        <f>60.65</f>
        <v>60.65</v>
      </c>
      <c r="D33" s="5">
        <f t="shared" si="0"/>
        <v>6.6900000000000048</v>
      </c>
      <c r="E33" s="6">
        <f t="shared" si="1"/>
        <v>0.11030502885408087</v>
      </c>
    </row>
    <row r="34" spans="1:5" x14ac:dyDescent="0.25">
      <c r="A34" s="3" t="s">
        <v>43</v>
      </c>
      <c r="B34" s="4"/>
      <c r="C34" s="5">
        <f>3</f>
        <v>3</v>
      </c>
      <c r="D34" s="5">
        <f t="shared" si="0"/>
        <v>-3</v>
      </c>
      <c r="E34" s="6">
        <f t="shared" si="1"/>
        <v>-1</v>
      </c>
    </row>
    <row r="35" spans="1:5" x14ac:dyDescent="0.25">
      <c r="A35" s="3" t="s">
        <v>47</v>
      </c>
      <c r="B35" s="5">
        <f>16.95</f>
        <v>16.95</v>
      </c>
      <c r="C35" s="5">
        <f>10</f>
        <v>10</v>
      </c>
      <c r="D35" s="5">
        <f t="shared" si="0"/>
        <v>6.9499999999999993</v>
      </c>
      <c r="E35" s="6">
        <f t="shared" si="1"/>
        <v>0.69499999999999995</v>
      </c>
    </row>
    <row r="36" spans="1:5" x14ac:dyDescent="0.25">
      <c r="A36" s="3" t="s">
        <v>51</v>
      </c>
      <c r="B36" s="4"/>
      <c r="C36" s="5">
        <f>66</f>
        <v>66</v>
      </c>
      <c r="D36" s="5">
        <f t="shared" si="0"/>
        <v>-66</v>
      </c>
      <c r="E36" s="6">
        <f t="shared" si="1"/>
        <v>-1</v>
      </c>
    </row>
    <row r="37" spans="1:5" x14ac:dyDescent="0.25">
      <c r="A37" s="3" t="s">
        <v>52</v>
      </c>
      <c r="B37" s="5">
        <f>8.85</f>
        <v>8.85</v>
      </c>
      <c r="C37" s="5">
        <f>28.5</f>
        <v>28.5</v>
      </c>
      <c r="D37" s="5">
        <f t="shared" si="0"/>
        <v>-19.649999999999999</v>
      </c>
      <c r="E37" s="6">
        <f t="shared" si="1"/>
        <v>-0.68947368421052624</v>
      </c>
    </row>
    <row r="38" spans="1:5" x14ac:dyDescent="0.25">
      <c r="A38" s="3" t="s">
        <v>53</v>
      </c>
      <c r="B38" s="5">
        <f>23.5</f>
        <v>23.5</v>
      </c>
      <c r="C38" s="4"/>
      <c r="D38" s="5">
        <f t="shared" si="0"/>
        <v>23.5</v>
      </c>
      <c r="E38" s="6" t="str">
        <f t="shared" si="1"/>
        <v/>
      </c>
    </row>
    <row r="39" spans="1:5" x14ac:dyDescent="0.25">
      <c r="A39" s="3" t="s">
        <v>55</v>
      </c>
      <c r="B39" s="4"/>
      <c r="C39" s="5">
        <f>10.35</f>
        <v>10.35</v>
      </c>
      <c r="D39" s="5">
        <f t="shared" si="0"/>
        <v>-10.35</v>
      </c>
      <c r="E39" s="6">
        <f t="shared" si="1"/>
        <v>-1</v>
      </c>
    </row>
    <row r="40" spans="1:5" x14ac:dyDescent="0.25">
      <c r="A40" s="3" t="s">
        <v>56</v>
      </c>
      <c r="B40" s="5">
        <f>48</f>
        <v>48</v>
      </c>
      <c r="C40" s="5">
        <f>10</f>
        <v>10</v>
      </c>
      <c r="D40" s="5">
        <f t="shared" si="0"/>
        <v>38</v>
      </c>
      <c r="E40" s="6">
        <f t="shared" si="1"/>
        <v>3.8</v>
      </c>
    </row>
    <row r="41" spans="1:5" x14ac:dyDescent="0.25">
      <c r="A41" s="3" t="s">
        <v>57</v>
      </c>
      <c r="B41" s="4"/>
      <c r="C41" s="5">
        <f>10</f>
        <v>10</v>
      </c>
      <c r="D41" s="5">
        <f t="shared" si="0"/>
        <v>-10</v>
      </c>
      <c r="E41" s="6">
        <f t="shared" si="1"/>
        <v>-1</v>
      </c>
    </row>
    <row r="42" spans="1:5" x14ac:dyDescent="0.25">
      <c r="A42" s="3" t="s">
        <v>58</v>
      </c>
      <c r="B42" s="5">
        <f>-4.4</f>
        <v>-4.4000000000000004</v>
      </c>
      <c r="C42" s="5">
        <f>-32.47</f>
        <v>-32.47</v>
      </c>
      <c r="D42" s="5">
        <f t="shared" si="0"/>
        <v>28.07</v>
      </c>
      <c r="E42" s="6">
        <f t="shared" si="1"/>
        <v>0.86449029873729599</v>
      </c>
    </row>
    <row r="43" spans="1:5" x14ac:dyDescent="0.25">
      <c r="A43" s="3" t="s">
        <v>59</v>
      </c>
      <c r="B43" s="4"/>
      <c r="C43" s="5">
        <f>9</f>
        <v>9</v>
      </c>
      <c r="D43" s="5">
        <f t="shared" si="0"/>
        <v>-9</v>
      </c>
      <c r="E43" s="6">
        <f t="shared" si="1"/>
        <v>-1</v>
      </c>
    </row>
    <row r="44" spans="1:5" x14ac:dyDescent="0.25">
      <c r="A44" s="3" t="s">
        <v>60</v>
      </c>
      <c r="B44" s="4"/>
      <c r="C44" s="5">
        <f>37</f>
        <v>37</v>
      </c>
      <c r="D44" s="5">
        <f t="shared" si="0"/>
        <v>-37</v>
      </c>
      <c r="E44" s="6">
        <f t="shared" si="1"/>
        <v>-1</v>
      </c>
    </row>
    <row r="45" spans="1:5" x14ac:dyDescent="0.25">
      <c r="A45" s="3" t="s">
        <v>62</v>
      </c>
      <c r="B45" s="4"/>
      <c r="C45" s="5">
        <f>35</f>
        <v>35</v>
      </c>
      <c r="D45" s="5">
        <f t="shared" si="0"/>
        <v>-35</v>
      </c>
      <c r="E45" s="6">
        <f t="shared" si="1"/>
        <v>-1</v>
      </c>
    </row>
    <row r="46" spans="1:5" x14ac:dyDescent="0.25">
      <c r="A46" s="3" t="s">
        <v>65</v>
      </c>
      <c r="B46" s="5">
        <f>2</f>
        <v>2</v>
      </c>
      <c r="C46" s="4"/>
      <c r="D46" s="5">
        <f t="shared" si="0"/>
        <v>2</v>
      </c>
      <c r="E46" s="6" t="str">
        <f t="shared" si="1"/>
        <v/>
      </c>
    </row>
    <row r="47" spans="1:5" x14ac:dyDescent="0.25">
      <c r="A47" s="3" t="s">
        <v>67</v>
      </c>
      <c r="B47" s="5">
        <f>16</f>
        <v>16</v>
      </c>
      <c r="C47" s="5">
        <f>24</f>
        <v>24</v>
      </c>
      <c r="D47" s="5">
        <f t="shared" si="0"/>
        <v>-8</v>
      </c>
      <c r="E47" s="6">
        <f t="shared" si="1"/>
        <v>-0.33333333333333331</v>
      </c>
    </row>
    <row r="48" spans="1:5" x14ac:dyDescent="0.25">
      <c r="A48" s="3" t="s">
        <v>70</v>
      </c>
      <c r="B48" s="4"/>
      <c r="C48" s="5">
        <f>60</f>
        <v>60</v>
      </c>
      <c r="D48" s="5">
        <f t="shared" si="0"/>
        <v>-60</v>
      </c>
      <c r="E48" s="6">
        <f t="shared" si="1"/>
        <v>-1</v>
      </c>
    </row>
    <row r="49" spans="1:5" x14ac:dyDescent="0.25">
      <c r="A49" s="3" t="s">
        <v>74</v>
      </c>
      <c r="B49" s="5">
        <f>1</f>
        <v>1</v>
      </c>
      <c r="C49" s="4"/>
      <c r="D49" s="5">
        <f t="shared" si="0"/>
        <v>1</v>
      </c>
      <c r="E49" s="6" t="str">
        <f t="shared" si="1"/>
        <v/>
      </c>
    </row>
    <row r="50" spans="1:5" x14ac:dyDescent="0.25">
      <c r="A50" s="3" t="s">
        <v>80</v>
      </c>
      <c r="B50" s="9">
        <f>(((((((((((((((((((B30)+(B31))+(B32))+(B33))+(B34))+(B35))+(B36))+(B37))+(B38))+(B39))+(B40))+(B41))+(B42))+(B43))+(B44))+(B45))+(B46))+(B47))+(B48))+(B49)</f>
        <v>279.11</v>
      </c>
      <c r="C50" s="9">
        <f>(((((((((((((((((((C30)+(C31))+(C32))+(C33))+(C34))+(C35))+(C36))+(C37))+(C38))+(C39))+(C40))+(C41))+(C42))+(C43))+(C44))+(C45))+(C46))+(C47))+(C48))+(C49)</f>
        <v>522.83000000000004</v>
      </c>
      <c r="D50" s="9">
        <f t="shared" si="0"/>
        <v>-243.72000000000003</v>
      </c>
      <c r="E50" s="10">
        <f t="shared" si="1"/>
        <v>-0.46615534686226884</v>
      </c>
    </row>
    <row r="51" spans="1:5" x14ac:dyDescent="0.25">
      <c r="A51" s="3" t="s">
        <v>81</v>
      </c>
      <c r="B51" s="9">
        <f>((((B19)+(B22))+(B26))+(B29))+(B50)</f>
        <v>511.11</v>
      </c>
      <c r="C51" s="9">
        <f>((((C19)+(C22))+(C26))+(C29))+(C50)</f>
        <v>585.83000000000004</v>
      </c>
      <c r="D51" s="9">
        <f t="shared" si="0"/>
        <v>-74.720000000000027</v>
      </c>
      <c r="E51" s="10">
        <f t="shared" si="1"/>
        <v>-0.12754553368724719</v>
      </c>
    </row>
    <row r="52" spans="1:5" x14ac:dyDescent="0.25">
      <c r="A52" s="3" t="s">
        <v>83</v>
      </c>
      <c r="B52" s="9">
        <f>(((B11)+(B17))+(B18))+(B51)</f>
        <v>135751.12</v>
      </c>
      <c r="C52" s="9">
        <f>(((C11)+(C17))+(C18))+(C51)</f>
        <v>151482.75</v>
      </c>
      <c r="D52" s="9">
        <f t="shared" si="0"/>
        <v>-15731.630000000005</v>
      </c>
      <c r="E52" s="10">
        <f t="shared" si="1"/>
        <v>-0.1038509665291923</v>
      </c>
    </row>
    <row r="53" spans="1:5" x14ac:dyDescent="0.25">
      <c r="A53" s="3" t="s">
        <v>84</v>
      </c>
      <c r="B53" s="4"/>
      <c r="C53" s="4"/>
      <c r="D53" s="4"/>
      <c r="E53" s="4"/>
    </row>
    <row r="54" spans="1:5" x14ac:dyDescent="0.25">
      <c r="A54" s="3" t="s">
        <v>85</v>
      </c>
      <c r="B54" s="4"/>
      <c r="C54" s="5">
        <f>337.86</f>
        <v>337.86</v>
      </c>
      <c r="D54" s="5">
        <f>(B54)-(C54)</f>
        <v>-337.86</v>
      </c>
      <c r="E54" s="6">
        <f>IF(ABS((C54))=0,"",((B54)-(C54))/(ABS((C54))))</f>
        <v>-1</v>
      </c>
    </row>
    <row r="55" spans="1:5" x14ac:dyDescent="0.25">
      <c r="A55" s="3" t="s">
        <v>86</v>
      </c>
      <c r="B55" s="5">
        <f>83.94</f>
        <v>83.94</v>
      </c>
      <c r="C55" s="4"/>
      <c r="D55" s="5">
        <f>(B55)-(C55)</f>
        <v>83.94</v>
      </c>
      <c r="E55" s="6" t="str">
        <f>IF(ABS((C55))=0,"",((B55)-(C55))/(ABS((C55))))</f>
        <v/>
      </c>
    </row>
    <row r="56" spans="1:5" x14ac:dyDescent="0.25">
      <c r="A56" s="3" t="s">
        <v>87</v>
      </c>
      <c r="B56" s="9">
        <f>(B54)+(B55)</f>
        <v>83.94</v>
      </c>
      <c r="C56" s="9">
        <f>(C54)+(C55)</f>
        <v>337.86</v>
      </c>
      <c r="D56" s="9">
        <f>(B56)-(C56)</f>
        <v>-253.92000000000002</v>
      </c>
      <c r="E56" s="10">
        <f>IF(ABS((C56))=0,"",((B56)-(C56))/(ABS((C56))))</f>
        <v>-0.75155389806428696</v>
      </c>
    </row>
    <row r="57" spans="1:5" x14ac:dyDescent="0.25">
      <c r="A57" s="3" t="s">
        <v>88</v>
      </c>
      <c r="B57" s="9">
        <f>(B52)-(B56)</f>
        <v>135667.18</v>
      </c>
      <c r="C57" s="9">
        <f>(C52)-(C56)</f>
        <v>151144.89000000001</v>
      </c>
      <c r="D57" s="9">
        <f>(B57)-(C57)</f>
        <v>-15477.710000000021</v>
      </c>
      <c r="E57" s="10">
        <f>IF(ABS((C57))=0,"",((B57)-(C57))/(ABS((C57))))</f>
        <v>-0.10240313119418076</v>
      </c>
    </row>
    <row r="58" spans="1:5" x14ac:dyDescent="0.25">
      <c r="A58" s="3" t="s">
        <v>89</v>
      </c>
      <c r="B58" s="4"/>
      <c r="C58" s="4"/>
      <c r="D58" s="4"/>
      <c r="E58" s="4"/>
    </row>
    <row r="59" spans="1:5" x14ac:dyDescent="0.25">
      <c r="A59" s="3" t="s">
        <v>90</v>
      </c>
      <c r="B59" s="4"/>
      <c r="C59" s="4"/>
      <c r="D59" s="5">
        <f t="shared" ref="D59:D113" si="2">(B59)-(C59)</f>
        <v>0</v>
      </c>
      <c r="E59" s="6" t="str">
        <f t="shared" ref="E59:E113" si="3">IF(ABS((C59))=0,"",((B59)-(C59))/(ABS((C59))))</f>
        <v/>
      </c>
    </row>
    <row r="60" spans="1:5" x14ac:dyDescent="0.25">
      <c r="A60" s="3" t="s">
        <v>91</v>
      </c>
      <c r="B60" s="5">
        <f>32572</f>
        <v>32572</v>
      </c>
      <c r="C60" s="5">
        <f>26353</f>
        <v>26353</v>
      </c>
      <c r="D60" s="5">
        <f t="shared" si="2"/>
        <v>6219</v>
      </c>
      <c r="E60" s="6">
        <f t="shared" si="3"/>
        <v>0.23598831252608812</v>
      </c>
    </row>
    <row r="61" spans="1:5" x14ac:dyDescent="0.25">
      <c r="A61" s="3" t="s">
        <v>92</v>
      </c>
      <c r="B61" s="9">
        <f>(B59)+(B60)</f>
        <v>32572</v>
      </c>
      <c r="C61" s="9">
        <f>(C59)+(C60)</f>
        <v>26353</v>
      </c>
      <c r="D61" s="9">
        <f t="shared" si="2"/>
        <v>6219</v>
      </c>
      <c r="E61" s="10">
        <f t="shared" si="3"/>
        <v>0.23598831252608812</v>
      </c>
    </row>
    <row r="62" spans="1:5" x14ac:dyDescent="0.25">
      <c r="A62" s="3" t="s">
        <v>93</v>
      </c>
      <c r="B62" s="4"/>
      <c r="C62" s="5">
        <f>69</f>
        <v>69</v>
      </c>
      <c r="D62" s="5">
        <f t="shared" si="2"/>
        <v>-69</v>
      </c>
      <c r="E62" s="6">
        <f t="shared" si="3"/>
        <v>-1</v>
      </c>
    </row>
    <row r="63" spans="1:5" x14ac:dyDescent="0.25">
      <c r="A63" s="3" t="s">
        <v>94</v>
      </c>
      <c r="B63" s="5">
        <f>43.95</f>
        <v>43.95</v>
      </c>
      <c r="C63" s="5">
        <f>316.57</f>
        <v>316.57</v>
      </c>
      <c r="D63" s="5">
        <f t="shared" si="2"/>
        <v>-272.62</v>
      </c>
      <c r="E63" s="6">
        <f t="shared" si="3"/>
        <v>-0.86116814606564107</v>
      </c>
    </row>
    <row r="64" spans="1:5" x14ac:dyDescent="0.25">
      <c r="A64" s="3" t="s">
        <v>95</v>
      </c>
      <c r="B64" s="5">
        <f>1054</f>
        <v>1054</v>
      </c>
      <c r="C64" s="5">
        <f>1481.2</f>
        <v>1481.2</v>
      </c>
      <c r="D64" s="5">
        <f t="shared" si="2"/>
        <v>-427.20000000000005</v>
      </c>
      <c r="E64" s="6">
        <f t="shared" si="3"/>
        <v>-0.28841479881177429</v>
      </c>
    </row>
    <row r="65" spans="1:5" x14ac:dyDescent="0.25">
      <c r="A65" s="3" t="s">
        <v>96</v>
      </c>
      <c r="B65" s="5">
        <f>400.99</f>
        <v>400.99</v>
      </c>
      <c r="C65" s="5">
        <f>25.45</f>
        <v>25.45</v>
      </c>
      <c r="D65" s="5">
        <f t="shared" si="2"/>
        <v>375.54</v>
      </c>
      <c r="E65" s="6">
        <f t="shared" si="3"/>
        <v>14.755992141453833</v>
      </c>
    </row>
    <row r="66" spans="1:5" x14ac:dyDescent="0.25">
      <c r="A66" s="3" t="s">
        <v>101</v>
      </c>
      <c r="B66" s="4"/>
      <c r="C66" s="4"/>
      <c r="D66" s="5">
        <f t="shared" si="2"/>
        <v>0</v>
      </c>
      <c r="E66" s="6" t="str">
        <f t="shared" si="3"/>
        <v/>
      </c>
    </row>
    <row r="67" spans="1:5" x14ac:dyDescent="0.25">
      <c r="A67" s="3" t="s">
        <v>102</v>
      </c>
      <c r="B67" s="4"/>
      <c r="C67" s="5">
        <f>1125</f>
        <v>1125</v>
      </c>
      <c r="D67" s="5">
        <f t="shared" si="2"/>
        <v>-1125</v>
      </c>
      <c r="E67" s="6">
        <f t="shared" si="3"/>
        <v>-1</v>
      </c>
    </row>
    <row r="68" spans="1:5" x14ac:dyDescent="0.25">
      <c r="A68" s="3" t="s">
        <v>103</v>
      </c>
      <c r="B68" s="9">
        <f>(B66)+(B67)</f>
        <v>0</v>
      </c>
      <c r="C68" s="9">
        <f>(C66)+(C67)</f>
        <v>1125</v>
      </c>
      <c r="D68" s="9">
        <f t="shared" si="2"/>
        <v>-1125</v>
      </c>
      <c r="E68" s="10">
        <f t="shared" si="3"/>
        <v>-1</v>
      </c>
    </row>
    <row r="69" spans="1:5" x14ac:dyDescent="0.25">
      <c r="A69" s="3" t="s">
        <v>104</v>
      </c>
      <c r="B69" s="4"/>
      <c r="C69" s="4"/>
      <c r="D69" s="5">
        <f t="shared" si="2"/>
        <v>0</v>
      </c>
      <c r="E69" s="6" t="str">
        <f t="shared" si="3"/>
        <v/>
      </c>
    </row>
    <row r="70" spans="1:5" x14ac:dyDescent="0.25">
      <c r="A70" s="3" t="s">
        <v>105</v>
      </c>
      <c r="B70" s="5">
        <f>3306.51</f>
        <v>3306.51</v>
      </c>
      <c r="C70" s="5">
        <f>7807.52</f>
        <v>7807.52</v>
      </c>
      <c r="D70" s="5">
        <f t="shared" si="2"/>
        <v>-4501.01</v>
      </c>
      <c r="E70" s="6">
        <f t="shared" si="3"/>
        <v>-0.57649676209603051</v>
      </c>
    </row>
    <row r="71" spans="1:5" x14ac:dyDescent="0.25">
      <c r="A71" s="3" t="s">
        <v>106</v>
      </c>
      <c r="B71" s="5">
        <f>2445.6</f>
        <v>2445.6</v>
      </c>
      <c r="C71" s="5">
        <f>691.88</f>
        <v>691.88</v>
      </c>
      <c r="D71" s="5">
        <f t="shared" si="2"/>
        <v>1753.7199999999998</v>
      </c>
      <c r="E71" s="6">
        <f t="shared" si="3"/>
        <v>2.5347170029484878</v>
      </c>
    </row>
    <row r="72" spans="1:5" x14ac:dyDescent="0.25">
      <c r="A72" s="3" t="s">
        <v>107</v>
      </c>
      <c r="B72" s="5">
        <f>69.36</f>
        <v>69.36</v>
      </c>
      <c r="C72" s="5">
        <f>69.36</f>
        <v>69.36</v>
      </c>
      <c r="D72" s="5">
        <f t="shared" si="2"/>
        <v>0</v>
      </c>
      <c r="E72" s="6">
        <f t="shared" si="3"/>
        <v>0</v>
      </c>
    </row>
    <row r="73" spans="1:5" x14ac:dyDescent="0.25">
      <c r="A73" s="3" t="s">
        <v>108</v>
      </c>
      <c r="B73" s="9">
        <f>(((B69)+(B70))+(B71))+(B72)</f>
        <v>5821.47</v>
      </c>
      <c r="C73" s="9">
        <f>(((C69)+(C70))+(C71))+(C72)</f>
        <v>8568.76</v>
      </c>
      <c r="D73" s="9">
        <f t="shared" si="2"/>
        <v>-2747.29</v>
      </c>
      <c r="E73" s="10">
        <f t="shared" si="3"/>
        <v>-0.32061698542146122</v>
      </c>
    </row>
    <row r="74" spans="1:5" x14ac:dyDescent="0.25">
      <c r="A74" s="3" t="s">
        <v>109</v>
      </c>
      <c r="B74" s="4"/>
      <c r="C74" s="4"/>
      <c r="D74" s="5">
        <f t="shared" si="2"/>
        <v>0</v>
      </c>
      <c r="E74" s="6" t="str">
        <f t="shared" si="3"/>
        <v/>
      </c>
    </row>
    <row r="75" spans="1:5" x14ac:dyDescent="0.25">
      <c r="A75" s="3" t="s">
        <v>111</v>
      </c>
      <c r="B75" s="5">
        <f>4.19</f>
        <v>4.1900000000000004</v>
      </c>
      <c r="C75" s="5">
        <f>554.97</f>
        <v>554.97</v>
      </c>
      <c r="D75" s="5">
        <f t="shared" si="2"/>
        <v>-550.78</v>
      </c>
      <c r="E75" s="6">
        <f t="shared" si="3"/>
        <v>-0.99245004234463119</v>
      </c>
    </row>
    <row r="76" spans="1:5" x14ac:dyDescent="0.25">
      <c r="A76" s="3" t="s">
        <v>112</v>
      </c>
      <c r="B76" s="5">
        <f>1532.15</f>
        <v>1532.15</v>
      </c>
      <c r="C76" s="5">
        <f>176.52</f>
        <v>176.52</v>
      </c>
      <c r="D76" s="5">
        <f t="shared" si="2"/>
        <v>1355.63</v>
      </c>
      <c r="E76" s="6">
        <f t="shared" si="3"/>
        <v>7.6797530024926353</v>
      </c>
    </row>
    <row r="77" spans="1:5" x14ac:dyDescent="0.25">
      <c r="A77" s="3" t="s">
        <v>113</v>
      </c>
      <c r="B77" s="9">
        <f>((B74)+(B75))+(B76)</f>
        <v>1536.3400000000001</v>
      </c>
      <c r="C77" s="9">
        <f>((C74)+(C75))+(C76)</f>
        <v>731.49</v>
      </c>
      <c r="D77" s="9">
        <f t="shared" si="2"/>
        <v>804.85000000000014</v>
      </c>
      <c r="E77" s="10">
        <f t="shared" si="3"/>
        <v>1.1002884523370109</v>
      </c>
    </row>
    <row r="78" spans="1:5" x14ac:dyDescent="0.25">
      <c r="A78" s="3" t="s">
        <v>114</v>
      </c>
      <c r="B78" s="5">
        <f>797</f>
        <v>797</v>
      </c>
      <c r="C78" s="5">
        <f>315</f>
        <v>315</v>
      </c>
      <c r="D78" s="5">
        <f t="shared" si="2"/>
        <v>482</v>
      </c>
      <c r="E78" s="6">
        <f t="shared" si="3"/>
        <v>1.5301587301587301</v>
      </c>
    </row>
    <row r="79" spans="1:5" x14ac:dyDescent="0.25">
      <c r="A79" s="3" t="s">
        <v>115</v>
      </c>
      <c r="B79" s="4"/>
      <c r="C79" s="4"/>
      <c r="D79" s="5">
        <f t="shared" si="2"/>
        <v>0</v>
      </c>
      <c r="E79" s="6" t="str">
        <f t="shared" si="3"/>
        <v/>
      </c>
    </row>
    <row r="80" spans="1:5" x14ac:dyDescent="0.25">
      <c r="A80" s="3" t="s">
        <v>117</v>
      </c>
      <c r="B80" s="5">
        <f>77.6</f>
        <v>77.599999999999994</v>
      </c>
      <c r="C80" s="4"/>
      <c r="D80" s="5">
        <f t="shared" si="2"/>
        <v>77.599999999999994</v>
      </c>
      <c r="E80" s="6" t="str">
        <f t="shared" si="3"/>
        <v/>
      </c>
    </row>
    <row r="81" spans="1:5" x14ac:dyDescent="0.25">
      <c r="A81" s="3" t="s">
        <v>118</v>
      </c>
      <c r="B81" s="9">
        <f>(B79)+(B80)</f>
        <v>77.599999999999994</v>
      </c>
      <c r="C81" s="9">
        <f>(C79)+(C80)</f>
        <v>0</v>
      </c>
      <c r="D81" s="9">
        <f t="shared" si="2"/>
        <v>77.599999999999994</v>
      </c>
      <c r="E81" s="10" t="str">
        <f t="shared" si="3"/>
        <v/>
      </c>
    </row>
    <row r="82" spans="1:5" x14ac:dyDescent="0.25">
      <c r="A82" s="3" t="s">
        <v>119</v>
      </c>
      <c r="B82" s="5">
        <f>476.79</f>
        <v>476.79</v>
      </c>
      <c r="C82" s="4"/>
      <c r="D82" s="5">
        <f t="shared" si="2"/>
        <v>476.79</v>
      </c>
      <c r="E82" s="6" t="str">
        <f t="shared" si="3"/>
        <v/>
      </c>
    </row>
    <row r="83" spans="1:5" x14ac:dyDescent="0.25">
      <c r="A83" s="3" t="s">
        <v>121</v>
      </c>
      <c r="B83" s="4"/>
      <c r="C83" s="4"/>
      <c r="D83" s="5">
        <f t="shared" si="2"/>
        <v>0</v>
      </c>
      <c r="E83" s="6" t="str">
        <f t="shared" si="3"/>
        <v/>
      </c>
    </row>
    <row r="84" spans="1:5" x14ac:dyDescent="0.25">
      <c r="A84" s="3" t="s">
        <v>122</v>
      </c>
      <c r="B84" s="5">
        <f>24377.01</f>
        <v>24377.01</v>
      </c>
      <c r="C84" s="5">
        <f>23541.1</f>
        <v>23541.1</v>
      </c>
      <c r="D84" s="5">
        <f t="shared" si="2"/>
        <v>835.90999999999985</v>
      </c>
      <c r="E84" s="6">
        <f t="shared" si="3"/>
        <v>3.5508536134675098E-2</v>
      </c>
    </row>
    <row r="85" spans="1:5" x14ac:dyDescent="0.25">
      <c r="A85" s="3" t="s">
        <v>124</v>
      </c>
      <c r="B85" s="5">
        <f>2220.3</f>
        <v>2220.3000000000002</v>
      </c>
      <c r="C85" s="5">
        <f>2228.51</f>
        <v>2228.5100000000002</v>
      </c>
      <c r="D85" s="5">
        <f t="shared" si="2"/>
        <v>-8.2100000000000364</v>
      </c>
      <c r="E85" s="6">
        <f t="shared" si="3"/>
        <v>-3.6840759072205354E-3</v>
      </c>
    </row>
    <row r="86" spans="1:5" x14ac:dyDescent="0.25">
      <c r="A86" s="3" t="s">
        <v>125</v>
      </c>
      <c r="B86" s="5">
        <f>669.54</f>
        <v>669.54</v>
      </c>
      <c r="C86" s="5">
        <f>1153.42</f>
        <v>1153.42</v>
      </c>
      <c r="D86" s="5">
        <f t="shared" si="2"/>
        <v>-483.88000000000011</v>
      </c>
      <c r="E86" s="6">
        <f t="shared" si="3"/>
        <v>-0.4195176085034073</v>
      </c>
    </row>
    <row r="87" spans="1:5" x14ac:dyDescent="0.25">
      <c r="A87" s="3" t="s">
        <v>126</v>
      </c>
      <c r="B87" s="5">
        <f>9404.4</f>
        <v>9404.4</v>
      </c>
      <c r="C87" s="5">
        <f>9311.8</f>
        <v>9311.7999999999993</v>
      </c>
      <c r="D87" s="5">
        <f t="shared" si="2"/>
        <v>92.600000000000364</v>
      </c>
      <c r="E87" s="6">
        <f t="shared" si="3"/>
        <v>9.9443716574669095E-3</v>
      </c>
    </row>
    <row r="88" spans="1:5" x14ac:dyDescent="0.25">
      <c r="A88" s="3" t="s">
        <v>127</v>
      </c>
      <c r="B88" s="9">
        <f>((((B83)+(B84))+(B85))+(B86))+(B87)</f>
        <v>36671.25</v>
      </c>
      <c r="C88" s="9">
        <f>((((C83)+(C84))+(C85))+(C86))+(C87)</f>
        <v>36234.83</v>
      </c>
      <c r="D88" s="9">
        <f t="shared" si="2"/>
        <v>436.41999999999825</v>
      </c>
      <c r="E88" s="10">
        <f t="shared" si="3"/>
        <v>1.2044212709152995E-2</v>
      </c>
    </row>
    <row r="89" spans="1:5" x14ac:dyDescent="0.25">
      <c r="A89" s="3" t="s">
        <v>133</v>
      </c>
      <c r="B89" s="4"/>
      <c r="C89" s="4"/>
      <c r="D89" s="5">
        <f t="shared" si="2"/>
        <v>0</v>
      </c>
      <c r="E89" s="6" t="str">
        <f t="shared" si="3"/>
        <v/>
      </c>
    </row>
    <row r="90" spans="1:5" x14ac:dyDescent="0.25">
      <c r="A90" s="3" t="s">
        <v>134</v>
      </c>
      <c r="B90" s="4"/>
      <c r="C90" s="5">
        <f>19.75</f>
        <v>19.75</v>
      </c>
      <c r="D90" s="5">
        <f t="shared" si="2"/>
        <v>-19.75</v>
      </c>
      <c r="E90" s="6">
        <f t="shared" si="3"/>
        <v>-1</v>
      </c>
    </row>
    <row r="91" spans="1:5" x14ac:dyDescent="0.25">
      <c r="A91" s="3" t="s">
        <v>135</v>
      </c>
      <c r="B91" s="5">
        <f>214.62</f>
        <v>214.62</v>
      </c>
      <c r="C91" s="5">
        <f>234.37</f>
        <v>234.37</v>
      </c>
      <c r="D91" s="5">
        <f t="shared" si="2"/>
        <v>-19.75</v>
      </c>
      <c r="E91" s="6">
        <f t="shared" si="3"/>
        <v>-8.4268464393907075E-2</v>
      </c>
    </row>
    <row r="92" spans="1:5" x14ac:dyDescent="0.25">
      <c r="A92" s="3" t="s">
        <v>136</v>
      </c>
      <c r="B92" s="5">
        <f>284.13</f>
        <v>284.13</v>
      </c>
      <c r="C92" s="5">
        <f>242.71</f>
        <v>242.71</v>
      </c>
      <c r="D92" s="5">
        <f t="shared" si="2"/>
        <v>41.419999999999987</v>
      </c>
      <c r="E92" s="6">
        <f t="shared" si="3"/>
        <v>0.17065633884059159</v>
      </c>
    </row>
    <row r="93" spans="1:5" x14ac:dyDescent="0.25">
      <c r="A93" s="3" t="s">
        <v>137</v>
      </c>
      <c r="B93" s="5">
        <f>0</f>
        <v>0</v>
      </c>
      <c r="C93" s="4"/>
      <c r="D93" s="5">
        <f t="shared" si="2"/>
        <v>0</v>
      </c>
      <c r="E93" s="6" t="str">
        <f t="shared" si="3"/>
        <v/>
      </c>
    </row>
    <row r="94" spans="1:5" x14ac:dyDescent="0.25">
      <c r="A94" s="3" t="s">
        <v>139</v>
      </c>
      <c r="B94" s="5">
        <f>198.9</f>
        <v>198.9</v>
      </c>
      <c r="C94" s="4"/>
      <c r="D94" s="5">
        <f t="shared" si="2"/>
        <v>198.9</v>
      </c>
      <c r="E94" s="6" t="str">
        <f t="shared" si="3"/>
        <v/>
      </c>
    </row>
    <row r="95" spans="1:5" x14ac:dyDescent="0.25">
      <c r="A95" s="3" t="s">
        <v>140</v>
      </c>
      <c r="B95" s="9">
        <f>(((((B89)+(B90))+(B91))+(B92))+(B93))+(B94)</f>
        <v>697.65</v>
      </c>
      <c r="C95" s="9">
        <f>(((((C89)+(C90))+(C91))+(C92))+(C93))+(C94)</f>
        <v>496.83000000000004</v>
      </c>
      <c r="D95" s="9">
        <f t="shared" si="2"/>
        <v>200.81999999999994</v>
      </c>
      <c r="E95" s="10">
        <f t="shared" si="3"/>
        <v>0.40420264476782786</v>
      </c>
    </row>
    <row r="96" spans="1:5" x14ac:dyDescent="0.25">
      <c r="A96" s="3" t="s">
        <v>141</v>
      </c>
      <c r="B96" s="5">
        <f>245.9</f>
        <v>245.9</v>
      </c>
      <c r="C96" s="5">
        <f>0</f>
        <v>0</v>
      </c>
      <c r="D96" s="5">
        <f t="shared" si="2"/>
        <v>245.9</v>
      </c>
      <c r="E96" s="6" t="str">
        <f t="shared" si="3"/>
        <v/>
      </c>
    </row>
    <row r="97" spans="1:5" x14ac:dyDescent="0.25">
      <c r="A97" s="3" t="s">
        <v>142</v>
      </c>
      <c r="B97" s="5">
        <f>1831.99</f>
        <v>1831.99</v>
      </c>
      <c r="C97" s="5">
        <f>2495.48</f>
        <v>2495.48</v>
      </c>
      <c r="D97" s="5">
        <f t="shared" si="2"/>
        <v>-663.49</v>
      </c>
      <c r="E97" s="6">
        <f t="shared" si="3"/>
        <v>-0.26587670508278971</v>
      </c>
    </row>
    <row r="98" spans="1:5" x14ac:dyDescent="0.25">
      <c r="A98" s="3" t="s">
        <v>143</v>
      </c>
      <c r="B98" s="5">
        <f>781.88</f>
        <v>781.88</v>
      </c>
      <c r="C98" s="5">
        <f>814.73</f>
        <v>814.73</v>
      </c>
      <c r="D98" s="5">
        <f t="shared" si="2"/>
        <v>-32.850000000000023</v>
      </c>
      <c r="E98" s="6">
        <f t="shared" si="3"/>
        <v>-4.0320106047402236E-2</v>
      </c>
    </row>
    <row r="99" spans="1:5" x14ac:dyDescent="0.25">
      <c r="A99" s="3" t="s">
        <v>144</v>
      </c>
      <c r="B99" s="4"/>
      <c r="C99" s="4"/>
      <c r="D99" s="5">
        <f t="shared" si="2"/>
        <v>0</v>
      </c>
      <c r="E99" s="6" t="str">
        <f t="shared" si="3"/>
        <v/>
      </c>
    </row>
    <row r="100" spans="1:5" x14ac:dyDescent="0.25">
      <c r="A100" s="3" t="s">
        <v>145</v>
      </c>
      <c r="B100" s="5">
        <f>10</f>
        <v>10</v>
      </c>
      <c r="C100" s="4"/>
      <c r="D100" s="5">
        <f t="shared" si="2"/>
        <v>10</v>
      </c>
      <c r="E100" s="6" t="str">
        <f t="shared" si="3"/>
        <v/>
      </c>
    </row>
    <row r="101" spans="1:5" x14ac:dyDescent="0.25">
      <c r="A101" s="3" t="s">
        <v>146</v>
      </c>
      <c r="B101" s="5">
        <f>1200</f>
        <v>1200</v>
      </c>
      <c r="C101" s="5">
        <f>1200</f>
        <v>1200</v>
      </c>
      <c r="D101" s="5">
        <f t="shared" si="2"/>
        <v>0</v>
      </c>
      <c r="E101" s="6">
        <f t="shared" si="3"/>
        <v>0</v>
      </c>
    </row>
    <row r="102" spans="1:5" x14ac:dyDescent="0.25">
      <c r="A102" s="3" t="s">
        <v>147</v>
      </c>
      <c r="B102" s="9">
        <f>((B99)+(B100))+(B101)</f>
        <v>1210</v>
      </c>
      <c r="C102" s="9">
        <f>((C99)+(C100))+(C101)</f>
        <v>1200</v>
      </c>
      <c r="D102" s="9">
        <f t="shared" si="2"/>
        <v>10</v>
      </c>
      <c r="E102" s="10">
        <f t="shared" si="3"/>
        <v>8.3333333333333332E-3</v>
      </c>
    </row>
    <row r="103" spans="1:5" x14ac:dyDescent="0.25">
      <c r="A103" s="3" t="s">
        <v>148</v>
      </c>
      <c r="B103" s="5">
        <f>232.59</f>
        <v>232.59</v>
      </c>
      <c r="C103" s="5">
        <f>247.94</f>
        <v>247.94</v>
      </c>
      <c r="D103" s="5">
        <f t="shared" si="2"/>
        <v>-15.349999999999994</v>
      </c>
      <c r="E103" s="6">
        <f t="shared" si="3"/>
        <v>-6.191013954989108E-2</v>
      </c>
    </row>
    <row r="104" spans="1:5" x14ac:dyDescent="0.25">
      <c r="A104" s="3" t="s">
        <v>149</v>
      </c>
      <c r="B104" s="5">
        <f>7.33</f>
        <v>7.33</v>
      </c>
      <c r="C104" s="4"/>
      <c r="D104" s="5">
        <f t="shared" si="2"/>
        <v>7.33</v>
      </c>
      <c r="E104" s="6" t="str">
        <f t="shared" si="3"/>
        <v/>
      </c>
    </row>
    <row r="105" spans="1:5" x14ac:dyDescent="0.25">
      <c r="A105" s="3" t="s">
        <v>150</v>
      </c>
      <c r="B105" s="5">
        <f>9.99</f>
        <v>9.99</v>
      </c>
      <c r="C105" s="5">
        <f>19.98</f>
        <v>19.98</v>
      </c>
      <c r="D105" s="5">
        <f t="shared" si="2"/>
        <v>-9.99</v>
      </c>
      <c r="E105" s="6">
        <f t="shared" si="3"/>
        <v>-0.5</v>
      </c>
    </row>
    <row r="106" spans="1:5" x14ac:dyDescent="0.25">
      <c r="A106" s="3" t="s">
        <v>151</v>
      </c>
      <c r="B106" s="9">
        <f>((B103)+(B104))+(B105)</f>
        <v>249.91000000000003</v>
      </c>
      <c r="C106" s="9">
        <f>((C103)+(C104))+(C105)</f>
        <v>267.92</v>
      </c>
      <c r="D106" s="9">
        <f t="shared" si="2"/>
        <v>-18.009999999999991</v>
      </c>
      <c r="E106" s="10">
        <f t="shared" si="3"/>
        <v>-6.7221558674231074E-2</v>
      </c>
    </row>
    <row r="107" spans="1:5" x14ac:dyDescent="0.25">
      <c r="A107" s="3" t="s">
        <v>152</v>
      </c>
      <c r="B107" s="5">
        <f>12</f>
        <v>12</v>
      </c>
      <c r="C107" s="5">
        <f>7</f>
        <v>7</v>
      </c>
      <c r="D107" s="5">
        <f t="shared" si="2"/>
        <v>5</v>
      </c>
      <c r="E107" s="6">
        <f t="shared" si="3"/>
        <v>0.7142857142857143</v>
      </c>
    </row>
    <row r="108" spans="1:5" x14ac:dyDescent="0.25">
      <c r="A108" s="3" t="s">
        <v>157</v>
      </c>
      <c r="B108" s="5">
        <f>59.9</f>
        <v>59.9</v>
      </c>
      <c r="C108" s="5">
        <f>89.25</f>
        <v>89.25</v>
      </c>
      <c r="D108" s="5">
        <f t="shared" si="2"/>
        <v>-29.35</v>
      </c>
      <c r="E108" s="6">
        <f t="shared" si="3"/>
        <v>-0.3288515406162465</v>
      </c>
    </row>
    <row r="109" spans="1:5" x14ac:dyDescent="0.25">
      <c r="A109" s="3" t="s">
        <v>158</v>
      </c>
      <c r="B109" s="4"/>
      <c r="C109" s="4"/>
      <c r="D109" s="5">
        <f t="shared" si="2"/>
        <v>0</v>
      </c>
      <c r="E109" s="6" t="str">
        <f t="shared" si="3"/>
        <v/>
      </c>
    </row>
    <row r="110" spans="1:5" x14ac:dyDescent="0.25">
      <c r="A110" s="3" t="s">
        <v>160</v>
      </c>
      <c r="B110" s="5">
        <f>953.99</f>
        <v>953.99</v>
      </c>
      <c r="C110" s="5">
        <f>2408.89</f>
        <v>2408.89</v>
      </c>
      <c r="D110" s="5">
        <f t="shared" si="2"/>
        <v>-1454.8999999999999</v>
      </c>
      <c r="E110" s="6">
        <f t="shared" si="3"/>
        <v>-0.60397112362955552</v>
      </c>
    </row>
    <row r="111" spans="1:5" x14ac:dyDescent="0.25">
      <c r="A111" s="3" t="s">
        <v>161</v>
      </c>
      <c r="B111" s="9">
        <f>(B109)+(B110)</f>
        <v>953.99</v>
      </c>
      <c r="C111" s="9">
        <f>(C109)+(C110)</f>
        <v>2408.89</v>
      </c>
      <c r="D111" s="9">
        <f t="shared" si="2"/>
        <v>-1454.8999999999999</v>
      </c>
      <c r="E111" s="10">
        <f t="shared" si="3"/>
        <v>-0.60397112362955552</v>
      </c>
    </row>
    <row r="112" spans="1:5" x14ac:dyDescent="0.25">
      <c r="A112" s="3" t="s">
        <v>162</v>
      </c>
      <c r="B112" s="9">
        <f>((((((((((((((((((((B61)+(B62))+(B63))+(B64))+(B65))+(B68))+(B73))+(B77))+(B78))+(B81))+(B82))+(B88))+(B95))+(B96))+(B97))+(B98))+(B102))+(B106))+(B107))+(B108))+(B111)</f>
        <v>85494.61</v>
      </c>
      <c r="C112" s="9">
        <f>((((((((((((((((((((C61)+(C62))+(C63))+(C64))+(C65))+(C68))+(C73))+(C77))+(C78))+(C81))+(C82))+(C88))+(C95))+(C96))+(C97))+(C98))+(C102))+(C106))+(C107))+(C108))+(C111)</f>
        <v>83000.399999999994</v>
      </c>
      <c r="D112" s="9">
        <f t="shared" si="2"/>
        <v>2494.2100000000064</v>
      </c>
      <c r="E112" s="10">
        <f t="shared" si="3"/>
        <v>3.0050578069503359E-2</v>
      </c>
    </row>
    <row r="113" spans="1:5" x14ac:dyDescent="0.25">
      <c r="A113" s="3" t="s">
        <v>163</v>
      </c>
      <c r="B113" s="9">
        <f>(B57)-(B112)</f>
        <v>50172.569999999992</v>
      </c>
      <c r="C113" s="9">
        <f>(C57)-(C112)</f>
        <v>68144.49000000002</v>
      </c>
      <c r="D113" s="9">
        <f t="shared" si="2"/>
        <v>-17971.920000000027</v>
      </c>
      <c r="E113" s="10">
        <f t="shared" si="3"/>
        <v>-0.26373254829554116</v>
      </c>
    </row>
    <row r="114" spans="1:5" x14ac:dyDescent="0.25">
      <c r="A114" s="3" t="s">
        <v>176</v>
      </c>
      <c r="B114" s="4"/>
      <c r="C114" s="4"/>
      <c r="D114" s="4"/>
      <c r="E114" s="4"/>
    </row>
    <row r="115" spans="1:5" x14ac:dyDescent="0.25">
      <c r="A115" s="3" t="s">
        <v>177</v>
      </c>
      <c r="B115" s="4"/>
      <c r="C115" s="5">
        <f>0</f>
        <v>0</v>
      </c>
      <c r="D115" s="5">
        <f>(B115)-(C115)</f>
        <v>0</v>
      </c>
      <c r="E115" s="6" t="str">
        <f>IF(ABS((C115))=0,"",((B115)-(C115))/(ABS((C115))))</f>
        <v/>
      </c>
    </row>
    <row r="116" spans="1:5" x14ac:dyDescent="0.25">
      <c r="A116" s="3" t="s">
        <v>178</v>
      </c>
      <c r="B116" s="9">
        <f>B115</f>
        <v>0</v>
      </c>
      <c r="C116" s="9">
        <f>C115</f>
        <v>0</v>
      </c>
      <c r="D116" s="9">
        <f>(B116)-(C116)</f>
        <v>0</v>
      </c>
      <c r="E116" s="10" t="str">
        <f>IF(ABS((C116))=0,"",((B116)-(C116))/(ABS((C116))))</f>
        <v/>
      </c>
    </row>
    <row r="117" spans="1:5" x14ac:dyDescent="0.25">
      <c r="A117" s="3" t="s">
        <v>179</v>
      </c>
      <c r="B117" s="9">
        <f>(0)-(B116)</f>
        <v>0</v>
      </c>
      <c r="C117" s="9">
        <f>(0)-(C116)</f>
        <v>0</v>
      </c>
      <c r="D117" s="9">
        <f>(B117)-(C117)</f>
        <v>0</v>
      </c>
      <c r="E117" s="10" t="str">
        <f>IF(ABS((C117))=0,"",((B117)-(C117))/(ABS((C117))))</f>
        <v/>
      </c>
    </row>
    <row r="118" spans="1:5" x14ac:dyDescent="0.25">
      <c r="A118" s="3" t="s">
        <v>164</v>
      </c>
      <c r="B118" s="9">
        <f>(B113)+(B117)</f>
        <v>50172.569999999992</v>
      </c>
      <c r="C118" s="9">
        <f>(C113)+(C117)</f>
        <v>68144.49000000002</v>
      </c>
      <c r="D118" s="9">
        <f>(B118)-(C118)</f>
        <v>-17971.920000000027</v>
      </c>
      <c r="E118" s="10">
        <f>IF(ABS((C118))=0,"",((B118)-(C118))/(ABS((C118))))</f>
        <v>-0.26373254829554116</v>
      </c>
    </row>
    <row r="119" spans="1:5" x14ac:dyDescent="0.25">
      <c r="A119" s="3"/>
      <c r="B119" s="4"/>
      <c r="C119" s="4"/>
      <c r="D119" s="4"/>
      <c r="E119" s="4"/>
    </row>
    <row r="122" spans="1:5" x14ac:dyDescent="0.25">
      <c r="A122" s="13" t="s">
        <v>181</v>
      </c>
      <c r="B122" s="14"/>
      <c r="C122" s="14"/>
      <c r="D122" s="14"/>
      <c r="E122" s="14"/>
    </row>
  </sheetData>
  <mergeCells count="5">
    <mergeCell ref="A1:E1"/>
    <mergeCell ref="A2:E2"/>
    <mergeCell ref="A3:E3"/>
    <mergeCell ref="B5:E5"/>
    <mergeCell ref="A122:E1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BBCE7-6335-4659-B8C2-E98CCEDAD5F2}">
  <sheetPr>
    <tabColor rgb="FFFF0000"/>
  </sheetPr>
  <dimension ref="A1:J72"/>
  <sheetViews>
    <sheetView tabSelected="1" topLeftCell="A26" workbookViewId="0">
      <selection activeCell="J41" sqref="H38:J41"/>
    </sheetView>
  </sheetViews>
  <sheetFormatPr defaultRowHeight="15" x14ac:dyDescent="0.25"/>
  <cols>
    <col min="1" max="1" width="41.28515625" customWidth="1"/>
    <col min="2" max="5" width="18" customWidth="1"/>
    <col min="8" max="8" width="20.140625" bestFit="1" customWidth="1"/>
    <col min="9" max="10" width="13.28515625" bestFit="1" customWidth="1"/>
  </cols>
  <sheetData>
    <row r="1" spans="1:10" ht="18" x14ac:dyDescent="0.25">
      <c r="A1" s="15" t="s">
        <v>166</v>
      </c>
      <c r="B1" s="14"/>
      <c r="C1" s="14"/>
      <c r="D1" s="14"/>
      <c r="E1" s="14"/>
    </row>
    <row r="2" spans="1:10" ht="18" x14ac:dyDescent="0.25">
      <c r="A2" s="15" t="s">
        <v>182</v>
      </c>
      <c r="B2" s="14"/>
      <c r="C2" s="14"/>
      <c r="D2" s="14"/>
      <c r="E2" s="14"/>
    </row>
    <row r="3" spans="1:10" x14ac:dyDescent="0.25">
      <c r="A3" s="16" t="s">
        <v>183</v>
      </c>
      <c r="B3" s="14"/>
      <c r="C3" s="14"/>
      <c r="D3" s="14"/>
      <c r="E3" s="14"/>
    </row>
    <row r="5" spans="1:10" x14ac:dyDescent="0.25">
      <c r="A5" s="1"/>
      <c r="B5" s="11" t="s">
        <v>0</v>
      </c>
      <c r="C5" s="12"/>
      <c r="D5" s="12"/>
      <c r="E5" s="12"/>
    </row>
    <row r="6" spans="1:10" ht="24.75" x14ac:dyDescent="0.25">
      <c r="A6" s="1"/>
      <c r="B6" s="2" t="s">
        <v>184</v>
      </c>
      <c r="C6" s="2" t="s">
        <v>185</v>
      </c>
      <c r="D6" s="2" t="s">
        <v>174</v>
      </c>
      <c r="E6" s="2" t="s">
        <v>175</v>
      </c>
    </row>
    <row r="7" spans="1:10" x14ac:dyDescent="0.25">
      <c r="A7" s="3" t="s">
        <v>186</v>
      </c>
      <c r="B7" s="4"/>
      <c r="C7" s="4"/>
      <c r="D7" s="4"/>
      <c r="E7" s="4"/>
    </row>
    <row r="8" spans="1:10" x14ac:dyDescent="0.25">
      <c r="A8" s="3" t="s">
        <v>187</v>
      </c>
      <c r="B8" s="4"/>
      <c r="C8" s="4"/>
      <c r="D8" s="4"/>
      <c r="E8" s="4"/>
      <c r="I8">
        <v>2023</v>
      </c>
      <c r="J8">
        <v>2022</v>
      </c>
    </row>
    <row r="9" spans="1:10" x14ac:dyDescent="0.25">
      <c r="A9" s="3" t="s">
        <v>188</v>
      </c>
      <c r="B9" s="4"/>
      <c r="C9" s="4"/>
      <c r="D9" s="4"/>
      <c r="E9" s="4"/>
      <c r="H9" t="s">
        <v>350</v>
      </c>
      <c r="I9" s="21">
        <f>B23</f>
        <v>1131740</v>
      </c>
      <c r="J9" s="21">
        <f>C23</f>
        <v>1391721</v>
      </c>
    </row>
    <row r="10" spans="1:10" x14ac:dyDescent="0.25">
      <c r="A10" s="3" t="s">
        <v>189</v>
      </c>
      <c r="B10" s="5">
        <f>28936.44</f>
        <v>28936.44</v>
      </c>
      <c r="C10" s="5">
        <f>48214.84</f>
        <v>48214.84</v>
      </c>
      <c r="D10" s="5">
        <f t="shared" ref="D10:D16" si="0">(B10)-(C10)</f>
        <v>-19278.399999999998</v>
      </c>
      <c r="E10" s="6">
        <f t="shared" ref="E10:E16" si="1">IF(ABS((C10))=0,"",((B10)-(C10))/(ABS((C10))))</f>
        <v>-0.39984369957465377</v>
      </c>
      <c r="H10" t="s">
        <v>352</v>
      </c>
      <c r="I10" s="23">
        <f>B20</f>
        <v>101.25</v>
      </c>
      <c r="J10" s="23">
        <f>C20</f>
        <v>0</v>
      </c>
    </row>
    <row r="11" spans="1:10" x14ac:dyDescent="0.25">
      <c r="A11" s="3" t="s">
        <v>190</v>
      </c>
      <c r="B11" s="5">
        <f>68729.68</f>
        <v>68729.679999999993</v>
      </c>
      <c r="C11" s="5">
        <f>68455.86</f>
        <v>68455.86</v>
      </c>
      <c r="D11" s="5">
        <f t="shared" si="0"/>
        <v>273.81999999999243</v>
      </c>
      <c r="E11" s="6">
        <f t="shared" si="1"/>
        <v>3.9999497486408386E-3</v>
      </c>
      <c r="H11" t="s">
        <v>351</v>
      </c>
      <c r="I11" s="23">
        <f>B16</f>
        <v>359611.82</v>
      </c>
      <c r="J11" s="23">
        <f>C16</f>
        <v>356632.72</v>
      </c>
    </row>
    <row r="12" spans="1:10" x14ac:dyDescent="0.25">
      <c r="A12" s="3" t="s">
        <v>191</v>
      </c>
      <c r="B12" s="5">
        <f>793.87</f>
        <v>793.87</v>
      </c>
      <c r="C12" s="5">
        <f>793.87</f>
        <v>793.87</v>
      </c>
      <c r="D12" s="5">
        <f t="shared" si="0"/>
        <v>0</v>
      </c>
      <c r="E12" s="6">
        <f t="shared" si="1"/>
        <v>0</v>
      </c>
    </row>
    <row r="13" spans="1:10" x14ac:dyDescent="0.25">
      <c r="A13" s="3" t="s">
        <v>192</v>
      </c>
      <c r="B13" s="5">
        <f>42659.06</f>
        <v>42659.06</v>
      </c>
      <c r="C13" s="5">
        <f>37632.91</f>
        <v>37632.910000000003</v>
      </c>
      <c r="D13" s="5">
        <f t="shared" si="0"/>
        <v>5026.1499999999942</v>
      </c>
      <c r="E13" s="6">
        <f t="shared" si="1"/>
        <v>0.13355730396612947</v>
      </c>
    </row>
    <row r="14" spans="1:10" x14ac:dyDescent="0.25">
      <c r="A14" s="3" t="s">
        <v>193</v>
      </c>
      <c r="B14" s="5">
        <f>218313.74</f>
        <v>218313.74</v>
      </c>
      <c r="C14" s="5">
        <f>201343.21</f>
        <v>201343.21</v>
      </c>
      <c r="D14" s="5">
        <f t="shared" si="0"/>
        <v>16970.53</v>
      </c>
      <c r="E14" s="6">
        <f t="shared" si="1"/>
        <v>8.4286577133641599E-2</v>
      </c>
    </row>
    <row r="15" spans="1:10" x14ac:dyDescent="0.25">
      <c r="A15" s="3" t="s">
        <v>194</v>
      </c>
      <c r="B15" s="5">
        <f>179.03</f>
        <v>179.03</v>
      </c>
      <c r="C15" s="5">
        <f>192.03</f>
        <v>192.03</v>
      </c>
      <c r="D15" s="5">
        <f t="shared" si="0"/>
        <v>-13</v>
      </c>
      <c r="E15" s="6">
        <f t="shared" si="1"/>
        <v>-6.769775555902724E-2</v>
      </c>
    </row>
    <row r="16" spans="1:10" x14ac:dyDescent="0.25">
      <c r="A16" s="3" t="s">
        <v>195</v>
      </c>
      <c r="B16" s="9">
        <f>(((((B10)+(B11))+(B12))+(B13))+(B14))+(B15)</f>
        <v>359611.82</v>
      </c>
      <c r="C16" s="9">
        <f>(((((C10)+(C11))+(C12))+(C13))+(C14))+(C15)</f>
        <v>356632.72</v>
      </c>
      <c r="D16" s="9">
        <f t="shared" si="0"/>
        <v>2979.1000000000349</v>
      </c>
      <c r="E16" s="10">
        <f t="shared" si="1"/>
        <v>8.3534118798747215E-3</v>
      </c>
    </row>
    <row r="17" spans="1:5" x14ac:dyDescent="0.25">
      <c r="A17" s="3" t="s">
        <v>196</v>
      </c>
      <c r="B17" s="4"/>
      <c r="C17" s="4"/>
      <c r="D17" s="4"/>
      <c r="E17" s="4"/>
    </row>
    <row r="18" spans="1:5" x14ac:dyDescent="0.25">
      <c r="A18" s="3" t="s">
        <v>197</v>
      </c>
      <c r="B18" s="5">
        <f>101.25</f>
        <v>101.25</v>
      </c>
      <c r="C18" s="5">
        <f>0</f>
        <v>0</v>
      </c>
      <c r="D18" s="5">
        <f>(B18)-(C18)</f>
        <v>101.25</v>
      </c>
      <c r="E18" s="6" t="str">
        <f>IF(ABS((C18))=0,"",((B18)-(C18))/(ABS((C18))))</f>
        <v/>
      </c>
    </row>
    <row r="19" spans="1:5" x14ac:dyDescent="0.25">
      <c r="A19" s="3" t="s">
        <v>198</v>
      </c>
      <c r="B19" s="5">
        <f>0</f>
        <v>0</v>
      </c>
      <c r="C19" s="5">
        <f>0</f>
        <v>0</v>
      </c>
      <c r="D19" s="5">
        <f>(B19)-(C19)</f>
        <v>0</v>
      </c>
      <c r="E19" s="6" t="str">
        <f>IF(ABS((C19))=0,"",((B19)-(C19))/(ABS((C19))))</f>
        <v/>
      </c>
    </row>
    <row r="20" spans="1:5" x14ac:dyDescent="0.25">
      <c r="A20" s="3" t="s">
        <v>199</v>
      </c>
      <c r="B20" s="9">
        <f>(B18)+(B19)</f>
        <v>101.25</v>
      </c>
      <c r="C20" s="9">
        <f>(C18)+(C19)</f>
        <v>0</v>
      </c>
      <c r="D20" s="9">
        <f>(B20)-(C20)</f>
        <v>101.25</v>
      </c>
      <c r="E20" s="10" t="str">
        <f>IF(ABS((C20))=0,"",((B20)-(C20))/(ABS((C20))))</f>
        <v/>
      </c>
    </row>
    <row r="21" spans="1:5" x14ac:dyDescent="0.25">
      <c r="A21" s="3" t="s">
        <v>200</v>
      </c>
      <c r="B21" s="4"/>
      <c r="C21" s="4"/>
      <c r="D21" s="4"/>
      <c r="E21" s="4"/>
    </row>
    <row r="22" spans="1:5" x14ac:dyDescent="0.25">
      <c r="A22" s="3" t="s">
        <v>201</v>
      </c>
      <c r="B22" s="5">
        <f>3073.02</f>
        <v>3073.02</v>
      </c>
      <c r="C22" s="5">
        <f>1727.93</f>
        <v>1727.93</v>
      </c>
      <c r="D22" s="5">
        <f t="shared" ref="D22:D30" si="2">(B22)-(C22)</f>
        <v>1345.09</v>
      </c>
      <c r="E22" s="6">
        <f t="shared" ref="E22:E30" si="3">IF(ABS((C22))=0,"",((B22)-(C22))/(ABS((C22))))</f>
        <v>0.77844009884659671</v>
      </c>
    </row>
    <row r="23" spans="1:5" x14ac:dyDescent="0.25">
      <c r="A23" s="3" t="s">
        <v>202</v>
      </c>
      <c r="B23" s="5">
        <f>1131740</f>
        <v>1131740</v>
      </c>
      <c r="C23" s="5">
        <f>1391721</f>
        <v>1391721</v>
      </c>
      <c r="D23" s="5">
        <f t="shared" si="2"/>
        <v>-259981</v>
      </c>
      <c r="E23" s="6">
        <f t="shared" si="3"/>
        <v>-0.18680540136995849</v>
      </c>
    </row>
    <row r="24" spans="1:5" x14ac:dyDescent="0.25">
      <c r="A24" s="3" t="s">
        <v>203</v>
      </c>
      <c r="B24" s="5">
        <f>19637.42</f>
        <v>19637.419999999998</v>
      </c>
      <c r="C24" s="5">
        <f>19423.42</f>
        <v>19423.419999999998</v>
      </c>
      <c r="D24" s="5">
        <f t="shared" si="2"/>
        <v>214</v>
      </c>
      <c r="E24" s="6">
        <f t="shared" si="3"/>
        <v>1.1017627173793287E-2</v>
      </c>
    </row>
    <row r="25" spans="1:5" x14ac:dyDescent="0.25">
      <c r="A25" s="3" t="s">
        <v>204</v>
      </c>
      <c r="B25" s="5">
        <f>0</f>
        <v>0</v>
      </c>
      <c r="C25" s="5">
        <f>0</f>
        <v>0</v>
      </c>
      <c r="D25" s="5">
        <f t="shared" si="2"/>
        <v>0</v>
      </c>
      <c r="E25" s="6" t="str">
        <f t="shared" si="3"/>
        <v/>
      </c>
    </row>
    <row r="26" spans="1:5" x14ac:dyDescent="0.25">
      <c r="A26" s="3" t="s">
        <v>205</v>
      </c>
      <c r="B26" s="5">
        <f>600</f>
        <v>600</v>
      </c>
      <c r="C26" s="5">
        <f>600</f>
        <v>600</v>
      </c>
      <c r="D26" s="5">
        <f t="shared" si="2"/>
        <v>0</v>
      </c>
      <c r="E26" s="6">
        <f t="shared" si="3"/>
        <v>0</v>
      </c>
    </row>
    <row r="27" spans="1:5" x14ac:dyDescent="0.25">
      <c r="A27" s="3" t="s">
        <v>206</v>
      </c>
      <c r="B27" s="5">
        <f>9.31</f>
        <v>9.31</v>
      </c>
      <c r="C27" s="5">
        <f>9.31</f>
        <v>9.31</v>
      </c>
      <c r="D27" s="5">
        <f t="shared" si="2"/>
        <v>0</v>
      </c>
      <c r="E27" s="6">
        <f t="shared" si="3"/>
        <v>0</v>
      </c>
    </row>
    <row r="28" spans="1:5" x14ac:dyDescent="0.25">
      <c r="A28" s="3" t="s">
        <v>207</v>
      </c>
      <c r="B28" s="5">
        <f>0</f>
        <v>0</v>
      </c>
      <c r="C28" s="5">
        <f>0</f>
        <v>0</v>
      </c>
      <c r="D28" s="5">
        <f t="shared" si="2"/>
        <v>0</v>
      </c>
      <c r="E28" s="6" t="str">
        <f t="shared" si="3"/>
        <v/>
      </c>
    </row>
    <row r="29" spans="1:5" x14ac:dyDescent="0.25">
      <c r="A29" s="3" t="s">
        <v>208</v>
      </c>
      <c r="B29" s="9">
        <f>((((((B22)+(B23))+(B24))+(B25))+(B26))+(B27))+(B28)</f>
        <v>1155059.75</v>
      </c>
      <c r="C29" s="9">
        <f>((((((C22)+(C23))+(C24))+(C25))+(C26))+(C27))+(C28)</f>
        <v>1413481.66</v>
      </c>
      <c r="D29" s="9">
        <f t="shared" si="2"/>
        <v>-258421.90999999992</v>
      </c>
      <c r="E29" s="10">
        <f t="shared" si="3"/>
        <v>-0.18282650374112383</v>
      </c>
    </row>
    <row r="30" spans="1:5" x14ac:dyDescent="0.25">
      <c r="A30" s="3" t="s">
        <v>209</v>
      </c>
      <c r="B30" s="9">
        <f>((B16)+(B20))+(B29)</f>
        <v>1514772.82</v>
      </c>
      <c r="C30" s="9">
        <f>((C16)+(C20))+(C29)</f>
        <v>1770114.38</v>
      </c>
      <c r="D30" s="9">
        <f t="shared" si="2"/>
        <v>-255341.55999999982</v>
      </c>
      <c r="E30" s="10">
        <f t="shared" si="3"/>
        <v>-0.1442514466212064</v>
      </c>
    </row>
    <row r="31" spans="1:5" x14ac:dyDescent="0.25">
      <c r="A31" s="3" t="s">
        <v>210</v>
      </c>
      <c r="B31" s="4"/>
      <c r="C31" s="4"/>
      <c r="D31" s="4"/>
      <c r="E31" s="4"/>
    </row>
    <row r="32" spans="1:5" x14ac:dyDescent="0.25">
      <c r="A32" s="3" t="s">
        <v>211</v>
      </c>
      <c r="B32" s="5">
        <f>74227</f>
        <v>74227</v>
      </c>
      <c r="C32" s="5">
        <f>74227</f>
        <v>74227</v>
      </c>
      <c r="D32" s="5">
        <f>(B32)-(C32)</f>
        <v>0</v>
      </c>
      <c r="E32" s="6">
        <f>IF(ABS((C32))=0,"",((B32)-(C32))/(ABS((C32))))</f>
        <v>0</v>
      </c>
    </row>
    <row r="33" spans="1:10" x14ac:dyDescent="0.25">
      <c r="A33" s="3" t="s">
        <v>212</v>
      </c>
      <c r="B33" s="5">
        <f>6873.07</f>
        <v>6873.07</v>
      </c>
      <c r="C33" s="5">
        <f>6873.07</f>
        <v>6873.07</v>
      </c>
      <c r="D33" s="5">
        <f>(B33)-(C33)</f>
        <v>0</v>
      </c>
      <c r="E33" s="6">
        <f>IF(ABS((C33))=0,"",((B33)-(C33))/(ABS((C33))))</f>
        <v>0</v>
      </c>
    </row>
    <row r="34" spans="1:10" x14ac:dyDescent="0.25">
      <c r="A34" s="3" t="s">
        <v>213</v>
      </c>
      <c r="B34" s="5">
        <f>22684.64</f>
        <v>22684.639999999999</v>
      </c>
      <c r="C34" s="5">
        <f>22684.64</f>
        <v>22684.639999999999</v>
      </c>
      <c r="D34" s="5">
        <f>(B34)-(C34)</f>
        <v>0</v>
      </c>
      <c r="E34" s="6">
        <f>IF(ABS((C34))=0,"",((B34)-(C34))/(ABS((C34))))</f>
        <v>0</v>
      </c>
    </row>
    <row r="35" spans="1:10" x14ac:dyDescent="0.25">
      <c r="A35" s="3" t="s">
        <v>214</v>
      </c>
      <c r="B35" s="9">
        <f>((B32)+(B33))+(B34)</f>
        <v>103784.71</v>
      </c>
      <c r="C35" s="9">
        <f>((C32)+(C33))+(C34)</f>
        <v>103784.71</v>
      </c>
      <c r="D35" s="9">
        <f>(B35)-(C35)</f>
        <v>0</v>
      </c>
      <c r="E35" s="10">
        <f>IF(ABS((C35))=0,"",((B35)-(C35))/(ABS((C35))))</f>
        <v>0</v>
      </c>
    </row>
    <row r="36" spans="1:10" x14ac:dyDescent="0.25">
      <c r="A36" s="3" t="s">
        <v>215</v>
      </c>
      <c r="B36" s="4"/>
      <c r="C36" s="4"/>
      <c r="D36" s="4"/>
      <c r="E36" s="4"/>
    </row>
    <row r="37" spans="1:10" x14ac:dyDescent="0.25">
      <c r="A37" s="3" t="s">
        <v>216</v>
      </c>
      <c r="B37" s="5">
        <f>1283.09</f>
        <v>1283.0899999999999</v>
      </c>
      <c r="C37" s="5">
        <f>1283.09</f>
        <v>1283.0899999999999</v>
      </c>
      <c r="D37" s="5">
        <f>(B37)-(C37)</f>
        <v>0</v>
      </c>
      <c r="E37" s="6">
        <f>IF(ABS((C37))=0,"",((B37)-(C37))/(ABS((C37))))</f>
        <v>0</v>
      </c>
    </row>
    <row r="38" spans="1:10" x14ac:dyDescent="0.25">
      <c r="A38" s="3" t="s">
        <v>217</v>
      </c>
      <c r="B38" s="9">
        <f>B37</f>
        <v>1283.0899999999999</v>
      </c>
      <c r="C38" s="9">
        <f>C37</f>
        <v>1283.0899999999999</v>
      </c>
      <c r="D38" s="9">
        <f>(B38)-(C38)</f>
        <v>0</v>
      </c>
      <c r="E38" s="10">
        <f>IF(ABS((C38))=0,"",((B38)-(C38))/(ABS((C38))))</f>
        <v>0</v>
      </c>
      <c r="I38">
        <v>2023</v>
      </c>
      <c r="J38">
        <v>2022</v>
      </c>
    </row>
    <row r="39" spans="1:10" x14ac:dyDescent="0.25">
      <c r="A39" s="3" t="s">
        <v>218</v>
      </c>
      <c r="B39" s="9">
        <f>((B30)+(B35))+(B38)</f>
        <v>1619840.62</v>
      </c>
      <c r="C39" s="9">
        <f>((C30)+(C35))+(C38)</f>
        <v>1875182.18</v>
      </c>
      <c r="D39" s="9">
        <f>(B39)-(C39)</f>
        <v>-255341.55999999982</v>
      </c>
      <c r="E39" s="10">
        <f>IF(ABS((C39))=0,"",((B39)-(C39))/(ABS((C39))))</f>
        <v>-0.13616893479651127</v>
      </c>
      <c r="H39" t="s">
        <v>354</v>
      </c>
      <c r="I39" s="23">
        <f>B48</f>
        <v>1822.27</v>
      </c>
      <c r="J39" s="23">
        <f>C47</f>
        <v>5879.7</v>
      </c>
    </row>
    <row r="40" spans="1:10" x14ac:dyDescent="0.25">
      <c r="A40" s="3" t="s">
        <v>219</v>
      </c>
      <c r="B40" s="4"/>
      <c r="C40" s="4"/>
      <c r="D40" s="4"/>
      <c r="E40" s="4"/>
      <c r="H40" t="s">
        <v>353</v>
      </c>
      <c r="I40" s="23">
        <f>B45</f>
        <v>6064.23</v>
      </c>
      <c r="J40" s="23">
        <f>C45</f>
        <v>508.65</v>
      </c>
    </row>
    <row r="41" spans="1:10" x14ac:dyDescent="0.25">
      <c r="A41" s="3" t="s">
        <v>220</v>
      </c>
      <c r="B41" s="4"/>
      <c r="C41" s="4"/>
      <c r="D41" s="4"/>
      <c r="E41" s="4"/>
      <c r="H41" t="s">
        <v>355</v>
      </c>
      <c r="I41" s="21">
        <f>B66</f>
        <v>50172.57</v>
      </c>
      <c r="J41" s="21">
        <f>C66</f>
        <v>68144.490000000005</v>
      </c>
    </row>
    <row r="42" spans="1:10" x14ac:dyDescent="0.25">
      <c r="A42" s="3" t="s">
        <v>221</v>
      </c>
      <c r="B42" s="4"/>
      <c r="C42" s="4"/>
      <c r="D42" s="4"/>
      <c r="E42" s="4"/>
    </row>
    <row r="43" spans="1:10" x14ac:dyDescent="0.25">
      <c r="A43" s="3" t="s">
        <v>222</v>
      </c>
      <c r="B43" s="4"/>
      <c r="C43" s="4"/>
      <c r="D43" s="4"/>
      <c r="E43" s="4"/>
    </row>
    <row r="44" spans="1:10" x14ac:dyDescent="0.25">
      <c r="A44" s="3" t="s">
        <v>223</v>
      </c>
      <c r="B44" s="5">
        <f>6064.23</f>
        <v>6064.23</v>
      </c>
      <c r="C44" s="5">
        <f>508.65</f>
        <v>508.65</v>
      </c>
      <c r="D44" s="5">
        <f>(B44)-(C44)</f>
        <v>5555.58</v>
      </c>
      <c r="E44" s="6">
        <f>IF(ABS((C44))=0,"",((B44)-(C44))/(ABS((C44))))</f>
        <v>10.922205838985551</v>
      </c>
    </row>
    <row r="45" spans="1:10" x14ac:dyDescent="0.25">
      <c r="A45" s="3" t="s">
        <v>224</v>
      </c>
      <c r="B45" s="9">
        <f>B44</f>
        <v>6064.23</v>
      </c>
      <c r="C45" s="9">
        <f>C44</f>
        <v>508.65</v>
      </c>
      <c r="D45" s="9">
        <f>(B45)-(C45)</f>
        <v>5555.58</v>
      </c>
      <c r="E45" s="10">
        <f>IF(ABS((C45))=0,"",((B45)-(C45))/(ABS((C45))))</f>
        <v>10.922205838985551</v>
      </c>
    </row>
    <row r="46" spans="1:10" x14ac:dyDescent="0.25">
      <c r="A46" s="3" t="s">
        <v>225</v>
      </c>
      <c r="B46" s="4"/>
      <c r="C46" s="4"/>
      <c r="D46" s="4"/>
      <c r="E46" s="4"/>
    </row>
    <row r="47" spans="1:10" x14ac:dyDescent="0.25">
      <c r="A47" s="3" t="s">
        <v>226</v>
      </c>
      <c r="B47" s="5">
        <f>1822.27</f>
        <v>1822.27</v>
      </c>
      <c r="C47" s="5">
        <f>5879.7</f>
        <v>5879.7</v>
      </c>
      <c r="D47" s="5">
        <f>(B47)-(C47)</f>
        <v>-4057.43</v>
      </c>
      <c r="E47" s="6">
        <f>IF(ABS((C47))=0,"",((B47)-(C47))/(ABS((C47))))</f>
        <v>-0.6900743235199075</v>
      </c>
    </row>
    <row r="48" spans="1:10" x14ac:dyDescent="0.25">
      <c r="A48" s="3" t="s">
        <v>227</v>
      </c>
      <c r="B48" s="9">
        <f>B47</f>
        <v>1822.27</v>
      </c>
      <c r="C48" s="9">
        <f>C47</f>
        <v>5879.7</v>
      </c>
      <c r="D48" s="9">
        <f>(B48)-(C48)</f>
        <v>-4057.43</v>
      </c>
      <c r="E48" s="10">
        <f>IF(ABS((C48))=0,"",((B48)-(C48))/(ABS((C48))))</f>
        <v>-0.6900743235199075</v>
      </c>
    </row>
    <row r="49" spans="1:5" x14ac:dyDescent="0.25">
      <c r="A49" s="3" t="s">
        <v>228</v>
      </c>
      <c r="B49" s="4"/>
      <c r="C49" s="4"/>
      <c r="D49" s="4"/>
      <c r="E49" s="4"/>
    </row>
    <row r="50" spans="1:5" x14ac:dyDescent="0.25">
      <c r="A50" s="3" t="s">
        <v>229</v>
      </c>
      <c r="B50" s="5">
        <f>13.5</f>
        <v>13.5</v>
      </c>
      <c r="C50" s="5">
        <f>13.5</f>
        <v>13.5</v>
      </c>
      <c r="D50" s="5">
        <f t="shared" ref="D50:D60" si="4">(B50)-(C50)</f>
        <v>0</v>
      </c>
      <c r="E50" s="6">
        <f t="shared" ref="E50:E60" si="5">IF(ABS((C50))=0,"",((B50)-(C50))/(ABS((C50))))</f>
        <v>0</v>
      </c>
    </row>
    <row r="51" spans="1:5" x14ac:dyDescent="0.25">
      <c r="A51" s="3" t="s">
        <v>230</v>
      </c>
      <c r="B51" s="5">
        <f>0</f>
        <v>0</v>
      </c>
      <c r="C51" s="5">
        <f>0</f>
        <v>0</v>
      </c>
      <c r="D51" s="5">
        <f t="shared" si="4"/>
        <v>0</v>
      </c>
      <c r="E51" s="6" t="str">
        <f t="shared" si="5"/>
        <v/>
      </c>
    </row>
    <row r="52" spans="1:5" x14ac:dyDescent="0.25">
      <c r="A52" s="3" t="s">
        <v>231</v>
      </c>
      <c r="B52" s="5">
        <f>34</f>
        <v>34</v>
      </c>
      <c r="C52" s="5">
        <f>34</f>
        <v>34</v>
      </c>
      <c r="D52" s="5">
        <f t="shared" si="4"/>
        <v>0</v>
      </c>
      <c r="E52" s="6">
        <f t="shared" si="5"/>
        <v>0</v>
      </c>
    </row>
    <row r="53" spans="1:5" x14ac:dyDescent="0.25">
      <c r="A53" s="3" t="s">
        <v>232</v>
      </c>
      <c r="B53" s="5">
        <f>23924.25</f>
        <v>23924.25</v>
      </c>
      <c r="C53" s="5">
        <f>23924.25</f>
        <v>23924.25</v>
      </c>
      <c r="D53" s="5">
        <f t="shared" si="4"/>
        <v>0</v>
      </c>
      <c r="E53" s="6">
        <f t="shared" si="5"/>
        <v>0</v>
      </c>
    </row>
    <row r="54" spans="1:5" x14ac:dyDescent="0.25">
      <c r="A54" s="3" t="s">
        <v>233</v>
      </c>
      <c r="B54" s="5">
        <f>-71994.62</f>
        <v>-71994.62</v>
      </c>
      <c r="C54" s="5">
        <f>-66691.73</f>
        <v>-66691.73</v>
      </c>
      <c r="D54" s="5">
        <f t="shared" si="4"/>
        <v>-5302.8899999999994</v>
      </c>
      <c r="E54" s="6">
        <f t="shared" si="5"/>
        <v>-7.9513456915872471E-2</v>
      </c>
    </row>
    <row r="55" spans="1:5" x14ac:dyDescent="0.25">
      <c r="A55" s="3" t="s">
        <v>234</v>
      </c>
      <c r="B55" s="5">
        <f>24114</f>
        <v>24114</v>
      </c>
      <c r="C55" s="5">
        <f>24114</f>
        <v>24114</v>
      </c>
      <c r="D55" s="5">
        <f t="shared" si="4"/>
        <v>0</v>
      </c>
      <c r="E55" s="6">
        <f t="shared" si="5"/>
        <v>0</v>
      </c>
    </row>
    <row r="56" spans="1:5" x14ac:dyDescent="0.25">
      <c r="A56" s="3" t="s">
        <v>235</v>
      </c>
      <c r="B56" s="5">
        <f>0</f>
        <v>0</v>
      </c>
      <c r="C56" s="5">
        <f>0</f>
        <v>0</v>
      </c>
      <c r="D56" s="5">
        <f t="shared" si="4"/>
        <v>0</v>
      </c>
      <c r="E56" s="6" t="str">
        <f t="shared" si="5"/>
        <v/>
      </c>
    </row>
    <row r="57" spans="1:5" x14ac:dyDescent="0.25">
      <c r="A57" s="3" t="s">
        <v>236</v>
      </c>
      <c r="B57" s="5">
        <f>82063.9</f>
        <v>82063.899999999994</v>
      </c>
      <c r="C57" s="5">
        <f>72551.16</f>
        <v>72551.16</v>
      </c>
      <c r="D57" s="5">
        <f t="shared" si="4"/>
        <v>9512.7399999999907</v>
      </c>
      <c r="E57" s="6">
        <f t="shared" si="5"/>
        <v>0.13111768302532986</v>
      </c>
    </row>
    <row r="58" spans="1:5" x14ac:dyDescent="0.25">
      <c r="A58" s="3" t="s">
        <v>237</v>
      </c>
      <c r="B58" s="9">
        <f>(((((((B50)+(B51))+(B52))+(B53))+(B54))+(B55))+(B56))+(B57)</f>
        <v>58155.03</v>
      </c>
      <c r="C58" s="9">
        <f>(((((((C50)+(C51))+(C52))+(C53))+(C54))+(C55))+(C56))+(C57)</f>
        <v>53945.180000000008</v>
      </c>
      <c r="D58" s="9">
        <f t="shared" si="4"/>
        <v>4209.8499999999913</v>
      </c>
      <c r="E58" s="10">
        <f t="shared" si="5"/>
        <v>7.803940963770982E-2</v>
      </c>
    </row>
    <row r="59" spans="1:5" x14ac:dyDescent="0.25">
      <c r="A59" s="3" t="s">
        <v>238</v>
      </c>
      <c r="B59" s="9">
        <f>((B45)+(B48))+(B58)</f>
        <v>66041.53</v>
      </c>
      <c r="C59" s="9">
        <f>((C45)+(C48))+(C58)</f>
        <v>60333.530000000006</v>
      </c>
      <c r="D59" s="9">
        <f t="shared" si="4"/>
        <v>5707.9999999999927</v>
      </c>
      <c r="E59" s="10">
        <f t="shared" si="5"/>
        <v>9.4607426417781165E-2</v>
      </c>
    </row>
    <row r="60" spans="1:5" x14ac:dyDescent="0.25">
      <c r="A60" s="3" t="s">
        <v>239</v>
      </c>
      <c r="B60" s="9">
        <f>B59</f>
        <v>66041.53</v>
      </c>
      <c r="C60" s="9">
        <f>C59</f>
        <v>60333.530000000006</v>
      </c>
      <c r="D60" s="9">
        <f t="shared" si="4"/>
        <v>5707.9999999999927</v>
      </c>
      <c r="E60" s="10">
        <f t="shared" si="5"/>
        <v>9.4607426417781165E-2</v>
      </c>
    </row>
    <row r="61" spans="1:5" x14ac:dyDescent="0.25">
      <c r="A61" s="3" t="s">
        <v>240</v>
      </c>
      <c r="B61" s="4"/>
      <c r="C61" s="4"/>
      <c r="D61" s="4"/>
      <c r="E61" s="4"/>
    </row>
    <row r="62" spans="1:5" x14ac:dyDescent="0.25">
      <c r="A62" s="3" t="s">
        <v>241</v>
      </c>
      <c r="B62" s="5">
        <f>11429.62</f>
        <v>11429.62</v>
      </c>
      <c r="C62" s="5">
        <f>11429.62</f>
        <v>11429.62</v>
      </c>
      <c r="D62" s="5">
        <f t="shared" ref="D62:D68" si="6">(B62)-(C62)</f>
        <v>0</v>
      </c>
      <c r="E62" s="6">
        <f t="shared" ref="E62:E68" si="7">IF(ABS((C62))=0,"",((B62)-(C62))/(ABS((C62))))</f>
        <v>0</v>
      </c>
    </row>
    <row r="63" spans="1:5" x14ac:dyDescent="0.25">
      <c r="A63" s="3" t="s">
        <v>242</v>
      </c>
      <c r="B63" s="5">
        <f>268820.72</f>
        <v>268820.71999999997</v>
      </c>
      <c r="C63" s="5">
        <f>251917.36</f>
        <v>251917.36</v>
      </c>
      <c r="D63" s="5">
        <f t="shared" si="6"/>
        <v>16903.359999999986</v>
      </c>
      <c r="E63" s="6">
        <f t="shared" si="7"/>
        <v>6.7098829552675474E-2</v>
      </c>
    </row>
    <row r="64" spans="1:5" x14ac:dyDescent="0.25">
      <c r="A64" s="3" t="s">
        <v>243</v>
      </c>
      <c r="B64" s="5">
        <f>1131740</f>
        <v>1131740</v>
      </c>
      <c r="C64" s="5">
        <f>1391721</f>
        <v>1391721</v>
      </c>
      <c r="D64" s="5">
        <f t="shared" si="6"/>
        <v>-259981</v>
      </c>
      <c r="E64" s="6">
        <f t="shared" si="7"/>
        <v>-0.18680540136995849</v>
      </c>
    </row>
    <row r="65" spans="1:5" x14ac:dyDescent="0.25">
      <c r="A65" s="3" t="s">
        <v>244</v>
      </c>
      <c r="B65" s="5">
        <f>91636.18</f>
        <v>91636.18</v>
      </c>
      <c r="C65" s="5">
        <f>91636.18</f>
        <v>91636.18</v>
      </c>
      <c r="D65" s="5">
        <f t="shared" si="6"/>
        <v>0</v>
      </c>
      <c r="E65" s="6">
        <f t="shared" si="7"/>
        <v>0</v>
      </c>
    </row>
    <row r="66" spans="1:5" x14ac:dyDescent="0.25">
      <c r="A66" s="3" t="s">
        <v>245</v>
      </c>
      <c r="B66" s="5">
        <f>50172.57</f>
        <v>50172.57</v>
      </c>
      <c r="C66" s="5">
        <f>68144.49</f>
        <v>68144.490000000005</v>
      </c>
      <c r="D66" s="5">
        <f t="shared" si="6"/>
        <v>-17971.920000000006</v>
      </c>
      <c r="E66" s="6">
        <f t="shared" si="7"/>
        <v>-0.26373254829554088</v>
      </c>
    </row>
    <row r="67" spans="1:5" x14ac:dyDescent="0.25">
      <c r="A67" s="3" t="s">
        <v>246</v>
      </c>
      <c r="B67" s="9">
        <f>((((B62)+(B63))+(B64))+(B65))+(B66)</f>
        <v>1553799.0899999999</v>
      </c>
      <c r="C67" s="9">
        <f>((((C62)+(C63))+(C64))+(C65))+(C66)</f>
        <v>1814848.65</v>
      </c>
      <c r="D67" s="9">
        <f t="shared" si="6"/>
        <v>-261049.56000000006</v>
      </c>
      <c r="E67" s="10">
        <f t="shared" si="7"/>
        <v>-0.1438409533489198</v>
      </c>
    </row>
    <row r="68" spans="1:5" x14ac:dyDescent="0.25">
      <c r="A68" s="3" t="s">
        <v>247</v>
      </c>
      <c r="B68" s="9">
        <f>(B60)+(B67)</f>
        <v>1619840.6199999999</v>
      </c>
      <c r="C68" s="9">
        <f>(C60)+(C67)</f>
        <v>1875182.18</v>
      </c>
      <c r="D68" s="9">
        <f t="shared" si="6"/>
        <v>-255341.56000000006</v>
      </c>
      <c r="E68" s="10">
        <f t="shared" si="7"/>
        <v>-0.13616893479651138</v>
      </c>
    </row>
    <row r="69" spans="1:5" x14ac:dyDescent="0.25">
      <c r="A69" s="3"/>
      <c r="B69" s="4"/>
      <c r="C69" s="4"/>
      <c r="D69" s="4"/>
      <c r="E69" s="4"/>
    </row>
    <row r="72" spans="1:5" x14ac:dyDescent="0.25">
      <c r="A72" s="13" t="s">
        <v>248</v>
      </c>
      <c r="B72" s="14"/>
      <c r="C72" s="14"/>
      <c r="D72" s="14"/>
      <c r="E72" s="14"/>
    </row>
  </sheetData>
  <mergeCells count="5">
    <mergeCell ref="A1:E1"/>
    <mergeCell ref="A2:E2"/>
    <mergeCell ref="A3:E3"/>
    <mergeCell ref="B5:E5"/>
    <mergeCell ref="A72:E7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13E5E-3882-4B49-8C71-3452DA07E670}">
  <dimension ref="A1:G18"/>
  <sheetViews>
    <sheetView workbookViewId="0">
      <selection sqref="A1:G18"/>
    </sheetView>
  </sheetViews>
  <sheetFormatPr defaultRowHeight="15" x14ac:dyDescent="0.25"/>
  <cols>
    <col min="1" max="1" width="25.7109375" customWidth="1"/>
    <col min="2" max="7" width="12.85546875" customWidth="1"/>
  </cols>
  <sheetData>
    <row r="1" spans="1:7" ht="18" x14ac:dyDescent="0.25">
      <c r="A1" s="15" t="s">
        <v>166</v>
      </c>
      <c r="B1" s="14"/>
      <c r="C1" s="14"/>
      <c r="D1" s="14"/>
      <c r="E1" s="14"/>
      <c r="F1" s="14"/>
      <c r="G1" s="14"/>
    </row>
    <row r="2" spans="1:7" ht="18" x14ac:dyDescent="0.25">
      <c r="A2" s="15" t="s">
        <v>269</v>
      </c>
      <c r="B2" s="14"/>
      <c r="C2" s="14"/>
      <c r="D2" s="14"/>
      <c r="E2" s="14"/>
      <c r="F2" s="14"/>
      <c r="G2" s="14"/>
    </row>
    <row r="3" spans="1:7" x14ac:dyDescent="0.25">
      <c r="A3" s="16" t="s">
        <v>183</v>
      </c>
      <c r="B3" s="14"/>
      <c r="C3" s="14"/>
      <c r="D3" s="14"/>
      <c r="E3" s="14"/>
      <c r="F3" s="14"/>
      <c r="G3" s="14"/>
    </row>
    <row r="5" spans="1:7" x14ac:dyDescent="0.25">
      <c r="A5" s="1"/>
      <c r="B5" s="2" t="s">
        <v>250</v>
      </c>
      <c r="C5" s="2" t="s">
        <v>251</v>
      </c>
      <c r="D5" s="2" t="s">
        <v>252</v>
      </c>
      <c r="E5" s="2" t="s">
        <v>253</v>
      </c>
      <c r="F5" s="2" t="s">
        <v>254</v>
      </c>
      <c r="G5" s="2" t="s">
        <v>0</v>
      </c>
    </row>
    <row r="6" spans="1:7" x14ac:dyDescent="0.25">
      <c r="A6" s="3" t="s">
        <v>270</v>
      </c>
      <c r="B6" s="4"/>
      <c r="C6" s="4"/>
      <c r="D6" s="4"/>
      <c r="E6" s="4"/>
      <c r="F6" s="5">
        <f>0</f>
        <v>0</v>
      </c>
      <c r="G6" s="5">
        <f t="shared" ref="G6:G14" si="0">((((B6)+(C6))+(D6))+(E6))+(F6)</f>
        <v>0</v>
      </c>
    </row>
    <row r="7" spans="1:7" x14ac:dyDescent="0.25">
      <c r="A7" s="3" t="s">
        <v>271</v>
      </c>
      <c r="B7" s="4"/>
      <c r="C7" s="4"/>
      <c r="D7" s="4"/>
      <c r="E7" s="4"/>
      <c r="F7" s="5">
        <f>0</f>
        <v>0</v>
      </c>
      <c r="G7" s="5">
        <f t="shared" si="0"/>
        <v>0</v>
      </c>
    </row>
    <row r="8" spans="1:7" x14ac:dyDescent="0.25">
      <c r="A8" s="3" t="s">
        <v>272</v>
      </c>
      <c r="B8" s="4"/>
      <c r="C8" s="4"/>
      <c r="D8" s="4"/>
      <c r="E8" s="4"/>
      <c r="F8" s="5">
        <f>0</f>
        <v>0</v>
      </c>
      <c r="G8" s="5">
        <f t="shared" si="0"/>
        <v>0</v>
      </c>
    </row>
    <row r="9" spans="1:7" x14ac:dyDescent="0.25">
      <c r="A9" s="3" t="s">
        <v>273</v>
      </c>
      <c r="B9" s="4"/>
      <c r="C9" s="4"/>
      <c r="D9" s="4"/>
      <c r="E9" s="4"/>
      <c r="F9" s="5">
        <f>13.1</f>
        <v>13.1</v>
      </c>
      <c r="G9" s="5">
        <f t="shared" si="0"/>
        <v>13.1</v>
      </c>
    </row>
    <row r="10" spans="1:7" x14ac:dyDescent="0.25">
      <c r="A10" s="3" t="s">
        <v>274</v>
      </c>
      <c r="B10" s="4"/>
      <c r="C10" s="4"/>
      <c r="D10" s="4"/>
      <c r="E10" s="4"/>
      <c r="F10" s="5">
        <f>0</f>
        <v>0</v>
      </c>
      <c r="G10" s="5">
        <f t="shared" si="0"/>
        <v>0</v>
      </c>
    </row>
    <row r="11" spans="1:7" x14ac:dyDescent="0.25">
      <c r="A11" s="3" t="s">
        <v>275</v>
      </c>
      <c r="B11" s="4"/>
      <c r="C11" s="4"/>
      <c r="D11" s="4"/>
      <c r="E11" s="4"/>
      <c r="F11" s="5">
        <f>0</f>
        <v>0</v>
      </c>
      <c r="G11" s="5">
        <f t="shared" si="0"/>
        <v>0</v>
      </c>
    </row>
    <row r="12" spans="1:7" x14ac:dyDescent="0.25">
      <c r="A12" s="3" t="s">
        <v>276</v>
      </c>
      <c r="B12" s="4"/>
      <c r="C12" s="4"/>
      <c r="D12" s="4"/>
      <c r="E12" s="4"/>
      <c r="F12" s="5">
        <f>88.15</f>
        <v>88.15</v>
      </c>
      <c r="G12" s="5">
        <f t="shared" si="0"/>
        <v>88.15</v>
      </c>
    </row>
    <row r="13" spans="1:7" x14ac:dyDescent="0.25">
      <c r="A13" s="3" t="s">
        <v>277</v>
      </c>
      <c r="B13" s="4"/>
      <c r="C13" s="4"/>
      <c r="D13" s="4"/>
      <c r="E13" s="4"/>
      <c r="F13" s="5">
        <f>0</f>
        <v>0</v>
      </c>
      <c r="G13" s="5">
        <f t="shared" si="0"/>
        <v>0</v>
      </c>
    </row>
    <row r="14" spans="1:7" x14ac:dyDescent="0.25">
      <c r="A14" s="3" t="s">
        <v>267</v>
      </c>
      <c r="B14" s="9">
        <f>(((((((B6)+(B7))+(B8))+(B9))+(B10))+(B11))+(B12))+(B13)</f>
        <v>0</v>
      </c>
      <c r="C14" s="9">
        <f>(((((((C6)+(C7))+(C8))+(C9))+(C10))+(C11))+(C12))+(C13)</f>
        <v>0</v>
      </c>
      <c r="D14" s="9">
        <f>(((((((D6)+(D7))+(D8))+(D9))+(D10))+(D11))+(D12))+(D13)</f>
        <v>0</v>
      </c>
      <c r="E14" s="9">
        <f>(((((((E6)+(E7))+(E8))+(E9))+(E10))+(E11))+(E12))+(E13)</f>
        <v>0</v>
      </c>
      <c r="F14" s="9">
        <f>(((((((F6)+(F7))+(F8))+(F9))+(F10))+(F11))+(F12))+(F13)</f>
        <v>101.25</v>
      </c>
      <c r="G14" s="9">
        <f t="shared" si="0"/>
        <v>101.25</v>
      </c>
    </row>
    <row r="15" spans="1:7" x14ac:dyDescent="0.25">
      <c r="A15" s="3"/>
      <c r="B15" s="4"/>
      <c r="C15" s="4"/>
      <c r="D15" s="4"/>
      <c r="E15" s="4"/>
      <c r="F15" s="4"/>
      <c r="G15" s="4"/>
    </row>
    <row r="18" spans="1:7" x14ac:dyDescent="0.25">
      <c r="A18" s="13" t="s">
        <v>278</v>
      </c>
      <c r="B18" s="14"/>
      <c r="C18" s="14"/>
      <c r="D18" s="14"/>
      <c r="E18" s="14"/>
      <c r="F18" s="14"/>
      <c r="G18" s="14"/>
    </row>
  </sheetData>
  <mergeCells count="4">
    <mergeCell ref="A1:G1"/>
    <mergeCell ref="A2:G2"/>
    <mergeCell ref="A3:G3"/>
    <mergeCell ref="A18:G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A1F45-B124-4ED7-BA00-5AEA78611EE7}">
  <dimension ref="A1:G22"/>
  <sheetViews>
    <sheetView workbookViewId="0">
      <selection sqref="A1:G22"/>
    </sheetView>
  </sheetViews>
  <sheetFormatPr defaultRowHeight="15" x14ac:dyDescent="0.25"/>
  <cols>
    <col min="1" max="1" width="31" customWidth="1"/>
    <col min="2" max="7" width="12.85546875" customWidth="1"/>
  </cols>
  <sheetData>
    <row r="1" spans="1:7" ht="18" x14ac:dyDescent="0.25">
      <c r="A1" s="15" t="s">
        <v>166</v>
      </c>
      <c r="B1" s="14"/>
      <c r="C1" s="14"/>
      <c r="D1" s="14"/>
      <c r="E1" s="14"/>
      <c r="F1" s="14"/>
      <c r="G1" s="14"/>
    </row>
    <row r="2" spans="1:7" ht="18" x14ac:dyDescent="0.25">
      <c r="A2" s="15" t="s">
        <v>249</v>
      </c>
      <c r="B2" s="14"/>
      <c r="C2" s="14"/>
      <c r="D2" s="14"/>
      <c r="E2" s="14"/>
      <c r="F2" s="14"/>
      <c r="G2" s="14"/>
    </row>
    <row r="3" spans="1:7" x14ac:dyDescent="0.25">
      <c r="A3" s="16" t="s">
        <v>183</v>
      </c>
      <c r="B3" s="14"/>
      <c r="C3" s="14"/>
      <c r="D3" s="14"/>
      <c r="E3" s="14"/>
      <c r="F3" s="14"/>
      <c r="G3" s="14"/>
    </row>
    <row r="5" spans="1:7" x14ac:dyDescent="0.25">
      <c r="A5" s="1"/>
      <c r="B5" s="2" t="s">
        <v>250</v>
      </c>
      <c r="C5" s="2" t="s">
        <v>251</v>
      </c>
      <c r="D5" s="2" t="s">
        <v>252</v>
      </c>
      <c r="E5" s="2" t="s">
        <v>253</v>
      </c>
      <c r="F5" s="2" t="s">
        <v>254</v>
      </c>
      <c r="G5" s="2" t="s">
        <v>0</v>
      </c>
    </row>
    <row r="6" spans="1:7" x14ac:dyDescent="0.25">
      <c r="A6" s="3" t="s">
        <v>255</v>
      </c>
      <c r="B6" s="4"/>
      <c r="C6" s="4"/>
      <c r="D6" s="4"/>
      <c r="E6" s="4"/>
      <c r="F6" s="5">
        <f>0</f>
        <v>0</v>
      </c>
      <c r="G6" s="5">
        <f t="shared" ref="G6:G18" si="0">((((B6)+(C6))+(D6))+(E6))+(F6)</f>
        <v>0</v>
      </c>
    </row>
    <row r="7" spans="1:7" x14ac:dyDescent="0.25">
      <c r="A7" s="3" t="s">
        <v>256</v>
      </c>
      <c r="B7" s="5">
        <f>797</f>
        <v>797</v>
      </c>
      <c r="C7" s="4"/>
      <c r="D7" s="4"/>
      <c r="E7" s="4"/>
      <c r="F7" s="4"/>
      <c r="G7" s="5">
        <f t="shared" si="0"/>
        <v>797</v>
      </c>
    </row>
    <row r="8" spans="1:7" x14ac:dyDescent="0.25">
      <c r="A8" s="3" t="s">
        <v>257</v>
      </c>
      <c r="B8" s="5">
        <f>3306.51</f>
        <v>3306.51</v>
      </c>
      <c r="C8" s="4"/>
      <c r="D8" s="4"/>
      <c r="E8" s="4"/>
      <c r="F8" s="4"/>
      <c r="G8" s="5">
        <f t="shared" si="0"/>
        <v>3306.51</v>
      </c>
    </row>
    <row r="9" spans="1:7" x14ac:dyDescent="0.25">
      <c r="A9" s="3" t="s">
        <v>258</v>
      </c>
      <c r="B9" s="5">
        <f>498.75</f>
        <v>498.75</v>
      </c>
      <c r="C9" s="4"/>
      <c r="D9" s="4"/>
      <c r="E9" s="4"/>
      <c r="F9" s="4"/>
      <c r="G9" s="5">
        <f t="shared" si="0"/>
        <v>498.75</v>
      </c>
    </row>
    <row r="10" spans="1:7" x14ac:dyDescent="0.25">
      <c r="A10" s="3" t="s">
        <v>259</v>
      </c>
      <c r="B10" s="5">
        <f>59.74</f>
        <v>59.74</v>
      </c>
      <c r="C10" s="4"/>
      <c r="D10" s="4"/>
      <c r="E10" s="4"/>
      <c r="F10" s="4"/>
      <c r="G10" s="5">
        <f t="shared" si="0"/>
        <v>59.74</v>
      </c>
    </row>
    <row r="11" spans="1:7" x14ac:dyDescent="0.25">
      <c r="A11" s="3" t="s">
        <v>260</v>
      </c>
      <c r="B11" s="4"/>
      <c r="C11" s="4"/>
      <c r="D11" s="4"/>
      <c r="E11" s="4"/>
      <c r="F11" s="5">
        <f>89.91</f>
        <v>89.91</v>
      </c>
      <c r="G11" s="5">
        <f t="shared" si="0"/>
        <v>89.91</v>
      </c>
    </row>
    <row r="12" spans="1:7" x14ac:dyDescent="0.25">
      <c r="A12" s="3" t="s">
        <v>261</v>
      </c>
      <c r="B12" s="4"/>
      <c r="C12" s="4"/>
      <c r="D12" s="4"/>
      <c r="E12" s="4"/>
      <c r="F12" s="5">
        <f>0</f>
        <v>0</v>
      </c>
      <c r="G12" s="5">
        <f t="shared" si="0"/>
        <v>0</v>
      </c>
    </row>
    <row r="13" spans="1:7" x14ac:dyDescent="0.25">
      <c r="A13" s="3" t="s">
        <v>262</v>
      </c>
      <c r="B13" s="5">
        <f>968</f>
        <v>968</v>
      </c>
      <c r="C13" s="4"/>
      <c r="D13" s="4"/>
      <c r="E13" s="4"/>
      <c r="F13" s="4"/>
      <c r="G13" s="5">
        <f t="shared" si="0"/>
        <v>968</v>
      </c>
    </row>
    <row r="14" spans="1:7" x14ac:dyDescent="0.25">
      <c r="A14" s="3" t="s">
        <v>263</v>
      </c>
      <c r="B14" s="5">
        <f>6.43</f>
        <v>6.43</v>
      </c>
      <c r="C14" s="4"/>
      <c r="D14" s="4"/>
      <c r="E14" s="4"/>
      <c r="F14" s="4"/>
      <c r="G14" s="5">
        <f t="shared" si="0"/>
        <v>6.43</v>
      </c>
    </row>
    <row r="15" spans="1:7" x14ac:dyDescent="0.25">
      <c r="A15" s="3" t="s">
        <v>264</v>
      </c>
      <c r="B15" s="4"/>
      <c r="C15" s="4"/>
      <c r="D15" s="4"/>
      <c r="E15" s="4"/>
      <c r="F15" s="5">
        <f>0</f>
        <v>0</v>
      </c>
      <c r="G15" s="5">
        <f t="shared" si="0"/>
        <v>0</v>
      </c>
    </row>
    <row r="16" spans="1:7" x14ac:dyDescent="0.25">
      <c r="A16" s="3" t="s">
        <v>265</v>
      </c>
      <c r="B16" s="4"/>
      <c r="C16" s="4"/>
      <c r="D16" s="4"/>
      <c r="E16" s="4"/>
      <c r="F16" s="5">
        <f>0</f>
        <v>0</v>
      </c>
      <c r="G16" s="5">
        <f t="shared" si="0"/>
        <v>0</v>
      </c>
    </row>
    <row r="17" spans="1:7" x14ac:dyDescent="0.25">
      <c r="A17" s="3" t="s">
        <v>266</v>
      </c>
      <c r="B17" s="5">
        <f>337.89</f>
        <v>337.89</v>
      </c>
      <c r="C17" s="4"/>
      <c r="D17" s="4"/>
      <c r="E17" s="4"/>
      <c r="F17" s="4"/>
      <c r="G17" s="5">
        <f t="shared" si="0"/>
        <v>337.89</v>
      </c>
    </row>
    <row r="18" spans="1:7" x14ac:dyDescent="0.25">
      <c r="A18" s="3" t="s">
        <v>267</v>
      </c>
      <c r="B18" s="9">
        <f>(((((((((((B6)+(B7))+(B8))+(B9))+(B10))+(B11))+(B12))+(B13))+(B14))+(B15))+(B16))+(B17)</f>
        <v>5974.3200000000006</v>
      </c>
      <c r="C18" s="9">
        <f>(((((((((((C6)+(C7))+(C8))+(C9))+(C10))+(C11))+(C12))+(C13))+(C14))+(C15))+(C16))+(C17)</f>
        <v>0</v>
      </c>
      <c r="D18" s="9">
        <f>(((((((((((D6)+(D7))+(D8))+(D9))+(D10))+(D11))+(D12))+(D13))+(D14))+(D15))+(D16))+(D17)</f>
        <v>0</v>
      </c>
      <c r="E18" s="9">
        <f>(((((((((((E6)+(E7))+(E8))+(E9))+(E10))+(E11))+(E12))+(E13))+(E14))+(E15))+(E16))+(E17)</f>
        <v>0</v>
      </c>
      <c r="F18" s="9">
        <f>(((((((((((F6)+(F7))+(F8))+(F9))+(F10))+(F11))+(F12))+(F13))+(F14))+(F15))+(F16))+(F17)</f>
        <v>89.91</v>
      </c>
      <c r="G18" s="9">
        <f t="shared" si="0"/>
        <v>6064.2300000000005</v>
      </c>
    </row>
    <row r="19" spans="1:7" x14ac:dyDescent="0.25">
      <c r="A19" s="3"/>
      <c r="B19" s="4"/>
      <c r="C19" s="4"/>
      <c r="D19" s="4"/>
      <c r="E19" s="4"/>
      <c r="F19" s="4"/>
      <c r="G19" s="4"/>
    </row>
    <row r="22" spans="1:7" x14ac:dyDescent="0.25">
      <c r="A22" s="13" t="s">
        <v>268</v>
      </c>
      <c r="B22" s="14"/>
      <c r="C22" s="14"/>
      <c r="D22" s="14"/>
      <c r="E22" s="14"/>
      <c r="F22" s="14"/>
      <c r="G22" s="14"/>
    </row>
  </sheetData>
  <mergeCells count="4">
    <mergeCell ref="A1:G1"/>
    <mergeCell ref="A2:G2"/>
    <mergeCell ref="A3:G3"/>
    <mergeCell ref="A22:G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50893-4E54-4631-9559-4A98E73142FA}">
  <dimension ref="A1:I35"/>
  <sheetViews>
    <sheetView topLeftCell="A5" workbookViewId="0">
      <selection activeCell="E22" sqref="E22"/>
    </sheetView>
  </sheetViews>
  <sheetFormatPr defaultRowHeight="15" x14ac:dyDescent="0.25"/>
  <cols>
    <col min="2" max="2" width="21.7109375" customWidth="1"/>
    <col min="4" max="4" width="20.5703125" customWidth="1"/>
    <col min="5" max="5" width="34.7109375" customWidth="1"/>
  </cols>
  <sheetData>
    <row r="1" spans="1:9" x14ac:dyDescent="0.25">
      <c r="A1" s="17" t="s">
        <v>342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7" t="s">
        <v>279</v>
      </c>
      <c r="B2" s="14"/>
      <c r="C2" s="14"/>
      <c r="D2" s="14"/>
      <c r="E2" s="14"/>
      <c r="F2" s="14"/>
      <c r="G2" s="14"/>
      <c r="H2" s="14"/>
      <c r="I2" s="14"/>
    </row>
    <row r="3" spans="1:9" ht="34.5" x14ac:dyDescent="0.25">
      <c r="A3" s="18" t="s">
        <v>280</v>
      </c>
      <c r="B3" s="18" t="s">
        <v>281</v>
      </c>
      <c r="C3" s="18" t="s">
        <v>282</v>
      </c>
      <c r="D3" s="18" t="s">
        <v>283</v>
      </c>
      <c r="E3" s="18" t="s">
        <v>284</v>
      </c>
      <c r="F3" s="18" t="s">
        <v>285</v>
      </c>
      <c r="G3" s="18" t="s">
        <v>286</v>
      </c>
      <c r="H3" s="18" t="s">
        <v>287</v>
      </c>
      <c r="I3" s="18" t="s">
        <v>288</v>
      </c>
    </row>
    <row r="4" spans="1:9" ht="15.75" customHeight="1" x14ac:dyDescent="0.25">
      <c r="A4" s="19" t="s">
        <v>289</v>
      </c>
      <c r="B4" s="19"/>
      <c r="C4" s="19" t="s">
        <v>290</v>
      </c>
      <c r="D4" s="19" t="s">
        <v>291</v>
      </c>
      <c r="E4" s="19" t="s">
        <v>292</v>
      </c>
      <c r="F4" s="20">
        <v>9</v>
      </c>
      <c r="G4" s="19"/>
      <c r="H4" s="19"/>
      <c r="I4" s="20">
        <v>-1961.27</v>
      </c>
    </row>
    <row r="5" spans="1:9" ht="15.75" customHeight="1" x14ac:dyDescent="0.25">
      <c r="A5" s="19" t="s">
        <v>289</v>
      </c>
      <c r="B5" s="19" t="s">
        <v>293</v>
      </c>
      <c r="C5" s="19" t="s">
        <v>290</v>
      </c>
      <c r="D5" s="19" t="s">
        <v>294</v>
      </c>
      <c r="E5" s="19" t="s">
        <v>292</v>
      </c>
      <c r="F5" s="20">
        <v>130</v>
      </c>
      <c r="G5" s="19"/>
      <c r="H5" s="19"/>
      <c r="I5" s="20">
        <v>-1952.27</v>
      </c>
    </row>
    <row r="6" spans="1:9" ht="15.75" customHeight="1" x14ac:dyDescent="0.25">
      <c r="A6" s="19" t="s">
        <v>295</v>
      </c>
      <c r="B6" s="19"/>
      <c r="C6" s="19" t="s">
        <v>290</v>
      </c>
      <c r="D6" s="19" t="s">
        <v>296</v>
      </c>
      <c r="E6" s="19" t="s">
        <v>297</v>
      </c>
      <c r="F6" s="20">
        <v>180</v>
      </c>
      <c r="G6" s="19"/>
      <c r="H6" s="19"/>
      <c r="I6" s="20">
        <v>-1822.27</v>
      </c>
    </row>
    <row r="7" spans="1:9" ht="15.75" customHeight="1" x14ac:dyDescent="0.25">
      <c r="A7" s="19" t="s">
        <v>298</v>
      </c>
      <c r="B7" s="19"/>
      <c r="C7" s="19" t="s">
        <v>290</v>
      </c>
      <c r="D7" s="19" t="s">
        <v>299</v>
      </c>
      <c r="E7" s="19" t="s">
        <v>300</v>
      </c>
      <c r="F7" s="20">
        <v>99.45</v>
      </c>
      <c r="G7" s="19"/>
      <c r="H7" s="19"/>
      <c r="I7" s="20">
        <v>-1642.27</v>
      </c>
    </row>
    <row r="8" spans="1:9" ht="15.75" customHeight="1" x14ac:dyDescent="0.25">
      <c r="A8" s="19" t="s">
        <v>301</v>
      </c>
      <c r="B8" s="19"/>
      <c r="C8" s="19" t="s">
        <v>290</v>
      </c>
      <c r="D8" s="19" t="s">
        <v>302</v>
      </c>
      <c r="E8" s="19" t="s">
        <v>303</v>
      </c>
      <c r="F8" s="20">
        <v>31.2</v>
      </c>
      <c r="G8" s="19"/>
      <c r="H8" s="19"/>
      <c r="I8" s="20">
        <v>-1542.82</v>
      </c>
    </row>
    <row r="9" spans="1:9" ht="15.75" customHeight="1" x14ac:dyDescent="0.25">
      <c r="A9" s="19" t="s">
        <v>301</v>
      </c>
      <c r="B9" s="19"/>
      <c r="C9" s="19" t="s">
        <v>290</v>
      </c>
      <c r="D9" s="19" t="s">
        <v>304</v>
      </c>
      <c r="E9" s="19" t="s">
        <v>303</v>
      </c>
      <c r="F9" s="20">
        <v>108.11</v>
      </c>
      <c r="G9" s="19"/>
      <c r="H9" s="19"/>
      <c r="I9" s="20">
        <v>-1511.62</v>
      </c>
    </row>
    <row r="10" spans="1:9" ht="15.75" customHeight="1" x14ac:dyDescent="0.25">
      <c r="A10" s="19" t="s">
        <v>301</v>
      </c>
      <c r="B10" s="19"/>
      <c r="C10" s="19" t="s">
        <v>290</v>
      </c>
      <c r="D10" s="19" t="s">
        <v>305</v>
      </c>
      <c r="E10" s="19" t="s">
        <v>306</v>
      </c>
      <c r="F10" s="20">
        <v>245.9</v>
      </c>
      <c r="G10" s="19"/>
      <c r="H10" s="19"/>
      <c r="I10" s="20">
        <v>-1403.51</v>
      </c>
    </row>
    <row r="11" spans="1:9" ht="15.75" customHeight="1" x14ac:dyDescent="0.25">
      <c r="A11" s="19" t="s">
        <v>301</v>
      </c>
      <c r="B11" s="19"/>
      <c r="C11" s="19" t="s">
        <v>290</v>
      </c>
      <c r="D11" s="19" t="s">
        <v>307</v>
      </c>
      <c r="E11" s="19" t="s">
        <v>308</v>
      </c>
      <c r="F11" s="20">
        <v>43.95</v>
      </c>
      <c r="G11" s="19"/>
      <c r="H11" s="19"/>
      <c r="I11" s="20">
        <v>-1157.6099999999999</v>
      </c>
    </row>
    <row r="12" spans="1:9" ht="15.75" customHeight="1" x14ac:dyDescent="0.25">
      <c r="A12" s="19" t="s">
        <v>301</v>
      </c>
      <c r="B12" s="19" t="s">
        <v>309</v>
      </c>
      <c r="C12" s="19" t="s">
        <v>290</v>
      </c>
      <c r="D12" s="19" t="s">
        <v>310</v>
      </c>
      <c r="E12" s="19" t="s">
        <v>297</v>
      </c>
      <c r="F12" s="20">
        <v>195</v>
      </c>
      <c r="G12" s="19"/>
      <c r="H12" s="19"/>
      <c r="I12" s="20">
        <v>-1113.6600000000001</v>
      </c>
    </row>
    <row r="13" spans="1:9" ht="15.75" customHeight="1" x14ac:dyDescent="0.25">
      <c r="A13" s="19" t="s">
        <v>311</v>
      </c>
      <c r="B13" s="19"/>
      <c r="C13" s="19" t="s">
        <v>290</v>
      </c>
      <c r="D13" s="19" t="s">
        <v>312</v>
      </c>
      <c r="E13" s="19"/>
      <c r="F13" s="20">
        <v>76.25</v>
      </c>
      <c r="G13" s="19"/>
      <c r="H13" s="19"/>
      <c r="I13" s="20">
        <v>-918.66</v>
      </c>
    </row>
    <row r="14" spans="1:9" ht="15.75" customHeight="1" x14ac:dyDescent="0.25">
      <c r="A14" s="19" t="s">
        <v>313</v>
      </c>
      <c r="B14" s="19"/>
      <c r="C14" s="19" t="s">
        <v>290</v>
      </c>
      <c r="D14" s="19" t="s">
        <v>314</v>
      </c>
      <c r="E14" s="19" t="s">
        <v>315</v>
      </c>
      <c r="F14" s="20">
        <v>18</v>
      </c>
      <c r="G14" s="19"/>
      <c r="H14" s="19" t="s">
        <v>316</v>
      </c>
      <c r="I14" s="20">
        <v>-842.41</v>
      </c>
    </row>
    <row r="15" spans="1:9" ht="15.75" customHeight="1" x14ac:dyDescent="0.25">
      <c r="A15" s="19" t="s">
        <v>313</v>
      </c>
      <c r="B15" s="19"/>
      <c r="C15" s="19" t="s">
        <v>290</v>
      </c>
      <c r="D15" s="19" t="s">
        <v>314</v>
      </c>
      <c r="E15" s="19" t="s">
        <v>315</v>
      </c>
      <c r="F15" s="20">
        <v>18</v>
      </c>
      <c r="G15" s="19"/>
      <c r="H15" s="19" t="s">
        <v>316</v>
      </c>
      <c r="I15" s="20">
        <v>-824.41</v>
      </c>
    </row>
    <row r="16" spans="1:9" ht="15.75" customHeight="1" x14ac:dyDescent="0.25">
      <c r="A16" s="19" t="s">
        <v>313</v>
      </c>
      <c r="B16" s="19"/>
      <c r="C16" s="19" t="s">
        <v>290</v>
      </c>
      <c r="D16" s="19" t="s">
        <v>314</v>
      </c>
      <c r="E16" s="19" t="s">
        <v>315</v>
      </c>
      <c r="F16" s="20">
        <v>18</v>
      </c>
      <c r="G16" s="19"/>
      <c r="H16" s="19" t="s">
        <v>316</v>
      </c>
      <c r="I16" s="20">
        <v>-806.41</v>
      </c>
    </row>
    <row r="17" spans="1:9" ht="15.75" customHeight="1" x14ac:dyDescent="0.25">
      <c r="A17" s="19" t="s">
        <v>313</v>
      </c>
      <c r="B17" s="19"/>
      <c r="C17" s="19" t="s">
        <v>290</v>
      </c>
      <c r="D17" s="19" t="s">
        <v>317</v>
      </c>
      <c r="E17" s="19" t="s">
        <v>315</v>
      </c>
      <c r="F17" s="20">
        <v>23.6</v>
      </c>
      <c r="G17" s="19"/>
      <c r="H17" s="19"/>
      <c r="I17" s="20">
        <v>-788.41</v>
      </c>
    </row>
    <row r="18" spans="1:9" ht="15.75" customHeight="1" x14ac:dyDescent="0.25">
      <c r="A18" s="19" t="s">
        <v>318</v>
      </c>
      <c r="B18" s="19"/>
      <c r="C18" s="19" t="s">
        <v>319</v>
      </c>
      <c r="D18" s="19" t="s">
        <v>320</v>
      </c>
      <c r="E18" s="19" t="s">
        <v>321</v>
      </c>
      <c r="F18" s="19"/>
      <c r="G18" s="20">
        <v>3676.69</v>
      </c>
      <c r="H18" s="19" t="s">
        <v>322</v>
      </c>
      <c r="I18" s="20">
        <v>-764.81</v>
      </c>
    </row>
    <row r="19" spans="1:9" ht="15.75" customHeight="1" x14ac:dyDescent="0.25">
      <c r="A19" s="19" t="s">
        <v>318</v>
      </c>
      <c r="B19" s="19"/>
      <c r="C19" s="19" t="s">
        <v>290</v>
      </c>
      <c r="D19" s="19" t="s">
        <v>299</v>
      </c>
      <c r="E19" s="19" t="s">
        <v>300</v>
      </c>
      <c r="F19" s="20">
        <v>99.45</v>
      </c>
      <c r="G19" s="19"/>
      <c r="H19" s="19" t="s">
        <v>316</v>
      </c>
      <c r="I19" s="20">
        <v>-4441.5</v>
      </c>
    </row>
    <row r="20" spans="1:9" ht="15.75" customHeight="1" x14ac:dyDescent="0.25">
      <c r="A20" s="19" t="s">
        <v>318</v>
      </c>
      <c r="B20" s="19"/>
      <c r="C20" s="19" t="s">
        <v>290</v>
      </c>
      <c r="D20" s="19" t="s">
        <v>323</v>
      </c>
      <c r="E20" s="19" t="s">
        <v>297</v>
      </c>
      <c r="F20" s="20">
        <v>119.99</v>
      </c>
      <c r="G20" s="19"/>
      <c r="H20" s="19"/>
      <c r="I20" s="20">
        <v>-4342.05</v>
      </c>
    </row>
    <row r="21" spans="1:9" ht="15.75" customHeight="1" x14ac:dyDescent="0.25">
      <c r="A21" s="19" t="s">
        <v>318</v>
      </c>
      <c r="B21" s="19"/>
      <c r="C21" s="19" t="s">
        <v>290</v>
      </c>
      <c r="D21" s="19" t="s">
        <v>324</v>
      </c>
      <c r="E21" s="19" t="s">
        <v>325</v>
      </c>
      <c r="F21" s="20">
        <v>22.99</v>
      </c>
      <c r="G21" s="19"/>
      <c r="H21" s="19"/>
      <c r="I21" s="20">
        <v>-4222.0600000000004</v>
      </c>
    </row>
    <row r="22" spans="1:9" ht="15.75" customHeight="1" x14ac:dyDescent="0.25">
      <c r="A22" s="19" t="s">
        <v>318</v>
      </c>
      <c r="B22" s="19"/>
      <c r="C22" s="19" t="s">
        <v>290</v>
      </c>
      <c r="D22" s="19" t="s">
        <v>326</v>
      </c>
      <c r="E22" s="19" t="s">
        <v>297</v>
      </c>
      <c r="F22" s="20">
        <v>30</v>
      </c>
      <c r="G22" s="19"/>
      <c r="H22" s="19" t="s">
        <v>316</v>
      </c>
      <c r="I22" s="20">
        <v>-4199.07</v>
      </c>
    </row>
    <row r="23" spans="1:9" ht="15.75" customHeight="1" x14ac:dyDescent="0.25">
      <c r="A23" s="19" t="s">
        <v>327</v>
      </c>
      <c r="B23" s="19"/>
      <c r="C23" s="19" t="s">
        <v>290</v>
      </c>
      <c r="D23" s="19" t="s">
        <v>328</v>
      </c>
      <c r="E23" s="19" t="s">
        <v>329</v>
      </c>
      <c r="F23" s="20">
        <v>0.99</v>
      </c>
      <c r="G23" s="19"/>
      <c r="H23" s="19" t="s">
        <v>316</v>
      </c>
      <c r="I23" s="20">
        <v>-4169.07</v>
      </c>
    </row>
    <row r="24" spans="1:9" ht="15.75" customHeight="1" x14ac:dyDescent="0.25">
      <c r="A24" s="19" t="s">
        <v>327</v>
      </c>
      <c r="B24" s="19"/>
      <c r="C24" s="19" t="s">
        <v>290</v>
      </c>
      <c r="D24" s="19" t="s">
        <v>330</v>
      </c>
      <c r="E24" s="19" t="s">
        <v>297</v>
      </c>
      <c r="F24" s="20">
        <v>75</v>
      </c>
      <c r="G24" s="19"/>
      <c r="H24" s="19" t="s">
        <v>316</v>
      </c>
      <c r="I24" s="20">
        <v>-4168.08</v>
      </c>
    </row>
    <row r="25" spans="1:9" ht="15.75" customHeight="1" x14ac:dyDescent="0.25">
      <c r="A25" s="19" t="s">
        <v>331</v>
      </c>
      <c r="B25" s="19"/>
      <c r="C25" s="19" t="s">
        <v>290</v>
      </c>
      <c r="D25" s="19" t="s">
        <v>332</v>
      </c>
      <c r="E25" s="19" t="s">
        <v>333</v>
      </c>
      <c r="F25" s="20">
        <v>4.1900000000000004</v>
      </c>
      <c r="G25" s="19"/>
      <c r="H25" s="19" t="s">
        <v>316</v>
      </c>
      <c r="I25" s="20">
        <v>-4093.08</v>
      </c>
    </row>
    <row r="26" spans="1:9" ht="15.75" customHeight="1" x14ac:dyDescent="0.25">
      <c r="A26" s="19" t="s">
        <v>334</v>
      </c>
      <c r="B26" s="19"/>
      <c r="C26" s="19" t="s">
        <v>290</v>
      </c>
      <c r="D26" s="19" t="s">
        <v>312</v>
      </c>
      <c r="E26" s="19"/>
      <c r="F26" s="20">
        <v>15.58</v>
      </c>
      <c r="G26" s="19"/>
      <c r="H26" s="19" t="s">
        <v>316</v>
      </c>
      <c r="I26" s="20">
        <v>-4088.89</v>
      </c>
    </row>
    <row r="27" spans="1:9" ht="15.75" customHeight="1" x14ac:dyDescent="0.25">
      <c r="A27" s="19" t="s">
        <v>334</v>
      </c>
      <c r="B27" s="19" t="s">
        <v>335</v>
      </c>
      <c r="C27" s="19" t="s">
        <v>290</v>
      </c>
      <c r="D27" s="19" t="s">
        <v>336</v>
      </c>
      <c r="E27" s="19" t="s">
        <v>292</v>
      </c>
      <c r="F27" s="20">
        <v>9</v>
      </c>
      <c r="G27" s="19"/>
      <c r="H27" s="19" t="s">
        <v>316</v>
      </c>
      <c r="I27" s="20">
        <v>-4073.31</v>
      </c>
    </row>
    <row r="28" spans="1:9" ht="15.75" customHeight="1" x14ac:dyDescent="0.25">
      <c r="A28" s="19" t="s">
        <v>334</v>
      </c>
      <c r="B28" s="19" t="s">
        <v>337</v>
      </c>
      <c r="C28" s="19" t="s">
        <v>290</v>
      </c>
      <c r="D28" s="19" t="s">
        <v>336</v>
      </c>
      <c r="E28" s="19" t="s">
        <v>292</v>
      </c>
      <c r="F28" s="20">
        <v>96</v>
      </c>
      <c r="G28" s="19"/>
      <c r="H28" s="19" t="s">
        <v>316</v>
      </c>
      <c r="I28" s="20">
        <v>-4064.31</v>
      </c>
    </row>
    <row r="29" spans="1:9" ht="15.75" customHeight="1" x14ac:dyDescent="0.25">
      <c r="A29" s="19" t="s">
        <v>338</v>
      </c>
      <c r="B29" s="19"/>
      <c r="C29" s="19" t="s">
        <v>290</v>
      </c>
      <c r="D29" s="19" t="s">
        <v>339</v>
      </c>
      <c r="E29" s="19" t="s">
        <v>297</v>
      </c>
      <c r="F29" s="20">
        <v>144</v>
      </c>
      <c r="G29" s="19"/>
      <c r="H29" s="19" t="s">
        <v>316</v>
      </c>
      <c r="I29" s="20">
        <v>-3968.31</v>
      </c>
    </row>
    <row r="30" spans="1:9" ht="15.75" customHeight="1" x14ac:dyDescent="0.25">
      <c r="A30" s="19" t="s">
        <v>340</v>
      </c>
      <c r="B30" s="19"/>
      <c r="C30" s="19" t="s">
        <v>290</v>
      </c>
      <c r="D30" s="19" t="s">
        <v>324</v>
      </c>
      <c r="E30" s="19" t="s">
        <v>303</v>
      </c>
      <c r="F30" s="20">
        <v>94.76</v>
      </c>
      <c r="G30" s="19"/>
      <c r="H30" s="19" t="s">
        <v>316</v>
      </c>
      <c r="I30" s="20">
        <v>-3824.31</v>
      </c>
    </row>
    <row r="31" spans="1:9" ht="15.75" customHeight="1" x14ac:dyDescent="0.25">
      <c r="A31" s="19" t="s">
        <v>340</v>
      </c>
      <c r="B31" s="19"/>
      <c r="C31" s="19" t="s">
        <v>290</v>
      </c>
      <c r="D31" s="19" t="s">
        <v>312</v>
      </c>
      <c r="E31" s="19" t="s">
        <v>325</v>
      </c>
      <c r="F31" s="20">
        <v>6.46</v>
      </c>
      <c r="G31" s="19"/>
      <c r="H31" s="19" t="s">
        <v>316</v>
      </c>
      <c r="I31" s="20">
        <v>-3729.55</v>
      </c>
    </row>
    <row r="32" spans="1:9" ht="15.75" customHeight="1" x14ac:dyDescent="0.25">
      <c r="A32" s="19" t="s">
        <v>341</v>
      </c>
      <c r="B32" s="19"/>
      <c r="C32" s="19" t="s">
        <v>290</v>
      </c>
      <c r="D32" s="19" t="s">
        <v>294</v>
      </c>
      <c r="E32" s="19" t="s">
        <v>292</v>
      </c>
      <c r="F32" s="20">
        <v>130</v>
      </c>
      <c r="G32" s="19"/>
      <c r="H32" s="19" t="s">
        <v>316</v>
      </c>
      <c r="I32" s="20">
        <v>-3723.09</v>
      </c>
    </row>
    <row r="33" spans="1:9" ht="15.75" customHeight="1" x14ac:dyDescent="0.25">
      <c r="A33" s="19" t="s">
        <v>341</v>
      </c>
      <c r="B33" s="19"/>
      <c r="C33" s="19" t="s">
        <v>290</v>
      </c>
      <c r="D33" s="19" t="s">
        <v>324</v>
      </c>
      <c r="E33" s="19" t="s">
        <v>325</v>
      </c>
      <c r="F33" s="20">
        <v>133.96</v>
      </c>
      <c r="G33" s="19"/>
      <c r="H33" s="19" t="s">
        <v>316</v>
      </c>
      <c r="I33" s="20">
        <v>-3593.09</v>
      </c>
    </row>
    <row r="34" spans="1:9" ht="15.75" customHeight="1" x14ac:dyDescent="0.25">
      <c r="A34" s="19" t="s">
        <v>341</v>
      </c>
      <c r="B34" s="19"/>
      <c r="C34" s="19" t="s">
        <v>290</v>
      </c>
      <c r="D34" s="19" t="s">
        <v>324</v>
      </c>
      <c r="E34" s="19" t="s">
        <v>303</v>
      </c>
      <c r="F34" s="20">
        <v>179.65</v>
      </c>
      <c r="G34" s="19"/>
      <c r="H34" s="19" t="s">
        <v>316</v>
      </c>
      <c r="I34" s="20">
        <v>-3459.13</v>
      </c>
    </row>
    <row r="35" spans="1:9" ht="15.75" customHeight="1" x14ac:dyDescent="0.25">
      <c r="A35" s="19" t="s">
        <v>341</v>
      </c>
      <c r="B35" s="19"/>
      <c r="C35" s="19" t="s">
        <v>290</v>
      </c>
      <c r="D35" s="19" t="s">
        <v>291</v>
      </c>
      <c r="E35" s="19" t="s">
        <v>292</v>
      </c>
      <c r="F35" s="20">
        <v>9</v>
      </c>
      <c r="G35" s="19"/>
      <c r="H35" s="19"/>
      <c r="I35" s="20">
        <v>-3279.48</v>
      </c>
    </row>
  </sheetData>
  <mergeCells count="2">
    <mergeCell ref="A1:I1"/>
    <mergeCell ref="A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BVA Expanded</vt:lpstr>
      <vt:lpstr>BVA Collapsed</vt:lpstr>
      <vt:lpstr>SOA Collapsed</vt:lpstr>
      <vt:lpstr>SOA Expanded</vt:lpstr>
      <vt:lpstr>SOF Collapsed</vt:lpstr>
      <vt:lpstr>AR</vt:lpstr>
      <vt:lpstr>AP</vt:lpstr>
      <vt:lpstr>BOA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Relay</cp:lastModifiedBy>
  <dcterms:created xsi:type="dcterms:W3CDTF">2023-02-03T19:42:23Z</dcterms:created>
  <dcterms:modified xsi:type="dcterms:W3CDTF">2023-02-04T03:23:43Z</dcterms:modified>
</cp:coreProperties>
</file>