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valdezmuseum-my.sharepoint.com/personal/prelay_valdezmuseum_org/Documents/Facilities/CIP/"/>
    </mc:Choice>
  </mc:AlternateContent>
  <xr:revisionPtr revIDLastSave="57" documentId="8_{3FC927E9-1A1A-469D-83B7-C749E0475CBE}" xr6:coauthVersionLast="47" xr6:coauthVersionMax="47" xr10:uidLastSave="{ABFF0FA2-E013-448F-8B64-34E55B376189}"/>
  <bookViews>
    <workbookView xWindow="-120" yWindow="-120" windowWidth="29040" windowHeight="15840" tabRatio="771" firstSheet="1" activeTab="2" xr2:uid="{00000000-000D-0000-FFFF-FFFF00000000}"/>
  </bookViews>
  <sheets>
    <sheet name="Current Projects" sheetId="1" state="hidden" r:id="rId1"/>
    <sheet name="Database" sheetId="2" r:id="rId2"/>
    <sheet name="Overall Master" sheetId="27" r:id="rId3"/>
    <sheet name="MM Master" sheetId="31" state="hidden" r:id="rId4"/>
    <sheet name="CIP Master" sheetId="32" state="hidden" r:id="rId5"/>
    <sheet name="Hospital (inhouse)" sheetId="26" state="hidden" r:id="rId6"/>
    <sheet name="Building Maint" sheetId="9" state="hidden" r:id="rId7"/>
    <sheet name="Civic Center" sheetId="13" state="hidden" r:id="rId8"/>
    <sheet name="Comm Dev" sheetId="10" state="hidden" r:id="rId9"/>
    <sheet name="Fire" sheetId="11" state="hidden" r:id="rId10"/>
    <sheet name="Library" sheetId="14" state="hidden" r:id="rId11"/>
    <sheet name="IT" sheetId="8" state="hidden" r:id="rId12"/>
    <sheet name="Museum" sheetId="4" state="hidden" r:id="rId13"/>
    <sheet name="PVMC Hospital " sheetId="12" state="hidden" r:id="rId14"/>
    <sheet name="Park Maint" sheetId="16" state="hidden" r:id="rId15"/>
    <sheet name="Parks &amp; Rec" sheetId="17" state="hidden" r:id="rId16"/>
    <sheet name="PD-PubSaf-Animal " sheetId="22" state="hidden" r:id="rId17"/>
    <sheet name="Ports &amp; Harbor" sheetId="18" state="hidden" r:id="rId18"/>
    <sheet name="Public Works" sheetId="19" state="hidden" r:id="rId19"/>
    <sheet name="Senior Center" sheetId="20" state="hidden" r:id="rId20"/>
    <sheet name="Valdez City Schools" sheetId="15" state="hidden" r:id="rId21"/>
  </sheets>
  <definedNames>
    <definedName name="_xlnm._FilterDatabase" localSheetId="4" hidden="1">'CIP Master'!$F:$F</definedName>
    <definedName name="_xlnm._FilterDatabase" localSheetId="5" hidden="1">'Hospital (inhouse)'!$F:$F</definedName>
    <definedName name="_xlnm._FilterDatabase" localSheetId="3" hidden="1">'MM Master'!$F:$F</definedName>
    <definedName name="_xlnm._FilterDatabase" localSheetId="2" hidden="1">'Overall Master'!$B$1:$B$260</definedName>
    <definedName name="_xlnm._FilterDatabase" localSheetId="14" hidden="1">'Park Maint'!$A$1:$A$4</definedName>
    <definedName name="Age_Inf">Database!$Y$4:$Y$7</definedName>
    <definedName name="Com_Need">Database!$Y$8:$Y$9</definedName>
    <definedName name="Com_Request">Database!$U$11:$U$13</definedName>
    <definedName name="Department">Database!$G$4:$H$40</definedName>
    <definedName name="Department_List">Database!$G$4:$G$39</definedName>
    <definedName name="ele_pri">Database!$N$3:$N$7</definedName>
    <definedName name="Energy">Database!$W$4:$W$7</definedName>
    <definedName name="Epriority">Database!$N$3:$O$7</definedName>
    <definedName name="Funding">Database!$M$3:$M$8</definedName>
    <definedName name="Importance">Database!$D$4:$E$12</definedName>
    <definedName name="Importance_List">Database!$D$4:$D$12</definedName>
    <definedName name="MasterPlan">Database!$W$11:$W$16</definedName>
    <definedName name="Otherlist">Database!$T$3:$T$25</definedName>
    <definedName name="Others">Database!$T$3:$U$10</definedName>
    <definedName name="_xlnm.Print_Area" localSheetId="2">'Overall Master'!$A$1:$AO$260</definedName>
    <definedName name="Revenue">Database!$U$4:$U$9</definedName>
    <definedName name="Risk">Database!$Y$12:$Y$15</definedName>
    <definedName name="Status">Database!$Q$3:$Q$10</definedName>
    <definedName name="Status_Score">Database!$Q$3:$R$10</definedName>
    <definedName name="Urgency">Database!$J$4:$K$11</definedName>
    <definedName name="Urgency_List">Database!$J$4:$J$10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6" i="27" l="1"/>
  <c r="K246" i="27"/>
  <c r="N246" i="27"/>
  <c r="R246" i="27"/>
  <c r="T246" i="27"/>
  <c r="V246" i="27"/>
  <c r="AG246" i="27"/>
  <c r="H247" i="27"/>
  <c r="K247" i="27"/>
  <c r="N247" i="27"/>
  <c r="R247" i="27"/>
  <c r="T247" i="27"/>
  <c r="V247" i="27"/>
  <c r="AG247" i="27"/>
  <c r="H248" i="27"/>
  <c r="K248" i="27"/>
  <c r="N248" i="27"/>
  <c r="R248" i="27"/>
  <c r="T248" i="27"/>
  <c r="V248" i="27"/>
  <c r="AG248" i="27"/>
  <c r="H249" i="27"/>
  <c r="K249" i="27"/>
  <c r="N249" i="27"/>
  <c r="R249" i="27"/>
  <c r="T249" i="27"/>
  <c r="V249" i="27"/>
  <c r="AG249" i="27"/>
  <c r="H250" i="27"/>
  <c r="K250" i="27"/>
  <c r="N250" i="27"/>
  <c r="R250" i="27"/>
  <c r="T250" i="27"/>
  <c r="V250" i="27"/>
  <c r="AG250" i="27"/>
  <c r="H251" i="27"/>
  <c r="K251" i="27"/>
  <c r="N251" i="27"/>
  <c r="R251" i="27"/>
  <c r="T251" i="27"/>
  <c r="V251" i="27"/>
  <c r="AG251" i="27"/>
  <c r="H252" i="27"/>
  <c r="K252" i="27"/>
  <c r="N252" i="27"/>
  <c r="R252" i="27"/>
  <c r="T252" i="27"/>
  <c r="V252" i="27"/>
  <c r="AG252" i="27"/>
  <c r="H253" i="27"/>
  <c r="K253" i="27"/>
  <c r="N253" i="27"/>
  <c r="R253" i="27"/>
  <c r="T253" i="27"/>
  <c r="V253" i="27"/>
  <c r="AG253" i="27"/>
  <c r="H254" i="27"/>
  <c r="K254" i="27"/>
  <c r="N254" i="27"/>
  <c r="R254" i="27"/>
  <c r="T254" i="27"/>
  <c r="V254" i="27"/>
  <c r="AG254" i="27"/>
  <c r="H255" i="27"/>
  <c r="K255" i="27"/>
  <c r="N255" i="27"/>
  <c r="R255" i="27"/>
  <c r="T255" i="27"/>
  <c r="V255" i="27"/>
  <c r="AG255" i="27"/>
  <c r="H256" i="27"/>
  <c r="K256" i="27"/>
  <c r="N256" i="27"/>
  <c r="R256" i="27"/>
  <c r="T256" i="27"/>
  <c r="V256" i="27"/>
  <c r="AG256" i="27"/>
  <c r="AH256" i="27"/>
  <c r="H257" i="27"/>
  <c r="K257" i="27"/>
  <c r="N257" i="27"/>
  <c r="R257" i="27"/>
  <c r="T257" i="27"/>
  <c r="V257" i="27"/>
  <c r="AG257" i="27"/>
  <c r="AH257" i="27"/>
  <c r="H258" i="27"/>
  <c r="K258" i="27"/>
  <c r="N258" i="27"/>
  <c r="R258" i="27"/>
  <c r="T258" i="27"/>
  <c r="V258" i="27"/>
  <c r="AG258" i="27"/>
  <c r="AH258" i="27"/>
  <c r="H259" i="27"/>
  <c r="K259" i="27"/>
  <c r="N259" i="27"/>
  <c r="R259" i="27"/>
  <c r="T259" i="27"/>
  <c r="V259" i="27"/>
  <c r="AG259" i="27"/>
  <c r="AH259" i="27"/>
  <c r="H260" i="27"/>
  <c r="K260" i="27"/>
  <c r="N260" i="27"/>
  <c r="R260" i="27"/>
  <c r="T260" i="27"/>
  <c r="V260" i="27"/>
  <c r="AG260" i="27"/>
  <c r="AH260" i="27"/>
  <c r="AH255" i="27" l="1"/>
  <c r="AH254" i="27"/>
  <c r="AH253" i="27"/>
  <c r="AH252" i="27"/>
  <c r="AH251" i="27"/>
  <c r="AH250" i="27"/>
  <c r="AH247" i="27"/>
  <c r="AH249" i="27"/>
  <c r="AH248" i="27"/>
  <c r="AH246" i="27"/>
  <c r="H76" i="27"/>
  <c r="V195" i="27" l="1"/>
  <c r="AG195" i="27"/>
  <c r="V196" i="27"/>
  <c r="AG196" i="27"/>
  <c r="T195" i="27"/>
  <c r="T196" i="27"/>
  <c r="R195" i="27"/>
  <c r="R196" i="27"/>
  <c r="H195" i="27"/>
  <c r="K195" i="27"/>
  <c r="N195" i="27"/>
  <c r="H196" i="27"/>
  <c r="K196" i="27"/>
  <c r="N196" i="27"/>
  <c r="AH196" i="27" l="1"/>
  <c r="AH195" i="27"/>
  <c r="AG210" i="27"/>
  <c r="K210" i="27"/>
  <c r="K239" i="27"/>
  <c r="N239" i="27"/>
  <c r="N210" i="27"/>
  <c r="V210" i="27" l="1"/>
  <c r="R210" i="27"/>
  <c r="H210" i="27"/>
  <c r="K76" i="27" l="1"/>
  <c r="N76" i="27"/>
  <c r="N93" i="27"/>
  <c r="K93" i="27"/>
  <c r="R27" i="27" l="1"/>
  <c r="V27" i="27"/>
  <c r="AG27" i="27"/>
  <c r="H27" i="27"/>
  <c r="K27" i="27"/>
  <c r="N27" i="27"/>
  <c r="AG76" i="27" l="1"/>
  <c r="J26" i="27"/>
  <c r="J6" i="27"/>
  <c r="I5" i="27"/>
  <c r="J2" i="27"/>
  <c r="J3" i="27"/>
  <c r="K23" i="27"/>
  <c r="K24" i="27"/>
  <c r="A3" i="27"/>
  <c r="A4" i="27" s="1"/>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R42" i="27" l="1"/>
  <c r="V42" i="27"/>
  <c r="AG42" i="27"/>
  <c r="R52" i="27"/>
  <c r="V52" i="27"/>
  <c r="AG52" i="27"/>
  <c r="H42" i="27" l="1"/>
  <c r="K42" i="27"/>
  <c r="N42" i="27"/>
  <c r="H52" i="27"/>
  <c r="K52" i="27"/>
  <c r="N52" i="27"/>
  <c r="AG148" i="27"/>
  <c r="V148" i="27"/>
  <c r="R148" i="27"/>
  <c r="N148" i="27"/>
  <c r="K148" i="27"/>
  <c r="H148" i="27"/>
  <c r="AG103" i="27" l="1"/>
  <c r="AG43" i="27"/>
  <c r="AG102" i="27"/>
  <c r="AG97" i="27"/>
  <c r="AG105" i="27"/>
  <c r="AG115" i="27"/>
  <c r="AG57" i="27"/>
  <c r="AG54" i="27"/>
  <c r="AG63" i="27"/>
  <c r="AG47" i="27"/>
  <c r="AG29" i="27"/>
  <c r="AG113" i="27"/>
  <c r="AG37" i="27"/>
  <c r="AG111" i="27"/>
  <c r="AG16" i="27"/>
  <c r="AG130" i="27"/>
  <c r="AG144" i="27"/>
  <c r="AG93" i="27"/>
  <c r="AG154" i="27"/>
  <c r="AG137" i="27"/>
  <c r="AG45" i="27"/>
  <c r="AG49" i="27"/>
  <c r="V103" i="27"/>
  <c r="V43" i="27"/>
  <c r="V102" i="27"/>
  <c r="V97" i="27"/>
  <c r="V105" i="27"/>
  <c r="V115" i="27"/>
  <c r="V57" i="27"/>
  <c r="V54" i="27"/>
  <c r="V29" i="27"/>
  <c r="V37" i="27"/>
  <c r="V111" i="27"/>
  <c r="V16" i="27"/>
  <c r="V93" i="27"/>
  <c r="V45" i="27"/>
  <c r="V49" i="27"/>
  <c r="R103" i="27"/>
  <c r="R43" i="27"/>
  <c r="R102" i="27"/>
  <c r="R97" i="27"/>
  <c r="R105" i="27"/>
  <c r="R115" i="27"/>
  <c r="R57" i="27"/>
  <c r="R54" i="27"/>
  <c r="R63" i="27"/>
  <c r="R47" i="27"/>
  <c r="R29" i="27"/>
  <c r="R113" i="27"/>
  <c r="R37" i="27"/>
  <c r="R111" i="27"/>
  <c r="R16" i="27"/>
  <c r="R130" i="27"/>
  <c r="R144" i="27"/>
  <c r="R93" i="27"/>
  <c r="R154" i="27"/>
  <c r="R137" i="27"/>
  <c r="R45" i="27"/>
  <c r="R49" i="27"/>
  <c r="H45" i="27" l="1"/>
  <c r="K45" i="27"/>
  <c r="N45" i="27"/>
  <c r="H49" i="27" l="1"/>
  <c r="K49" i="27"/>
  <c r="N49" i="27"/>
  <c r="H154" i="27" l="1"/>
  <c r="K154" i="27"/>
  <c r="N154" i="27"/>
  <c r="H137" i="27"/>
  <c r="K137" i="27"/>
  <c r="N137" i="27"/>
  <c r="N144" i="27"/>
  <c r="K144" i="27"/>
  <c r="H144" i="27"/>
  <c r="H111" i="27" l="1"/>
  <c r="H16" i="27"/>
  <c r="K111" i="27"/>
  <c r="K16" i="27"/>
  <c r="N111" i="27"/>
  <c r="N16" i="27"/>
  <c r="H130" i="27"/>
  <c r="K130" i="27"/>
  <c r="N130" i="27"/>
  <c r="H37" i="27" l="1"/>
  <c r="AH37" i="27" s="1"/>
  <c r="K37" i="27"/>
  <c r="N37" i="27"/>
  <c r="H47" i="27"/>
  <c r="K47" i="27"/>
  <c r="N47" i="27"/>
  <c r="H29" i="27"/>
  <c r="K29" i="27"/>
  <c r="N29" i="27"/>
  <c r="H54" i="27"/>
  <c r="K54" i="27"/>
  <c r="N54" i="27"/>
  <c r="H63" i="27"/>
  <c r="K63" i="27"/>
  <c r="N63" i="27"/>
  <c r="H57" i="27" l="1"/>
  <c r="K57" i="27"/>
  <c r="N57" i="27"/>
  <c r="H113" i="27"/>
  <c r="K113" i="27"/>
  <c r="N113" i="27"/>
  <c r="H97" i="27"/>
  <c r="K97" i="27"/>
  <c r="N97" i="27"/>
  <c r="H103" i="27"/>
  <c r="K103" i="27"/>
  <c r="N103" i="27"/>
  <c r="H43" i="27"/>
  <c r="K43" i="27"/>
  <c r="N43" i="27"/>
  <c r="H102" i="27"/>
  <c r="K102" i="27"/>
  <c r="N102" i="27"/>
  <c r="H105" i="27"/>
  <c r="K105" i="27"/>
  <c r="N105" i="27"/>
  <c r="H115" i="27"/>
  <c r="K115" i="27"/>
  <c r="N115" i="27"/>
  <c r="R7" i="27" l="1"/>
  <c r="T7" i="27"/>
  <c r="V7" i="27"/>
  <c r="AG7" i="27"/>
  <c r="H7" i="27"/>
  <c r="K7" i="27"/>
  <c r="N7" i="27"/>
  <c r="AH7" i="27" l="1"/>
  <c r="R132" i="27"/>
  <c r="AG132" i="27"/>
  <c r="H132" i="27"/>
  <c r="K132" i="27"/>
  <c r="N132" i="27"/>
  <c r="V197" i="27"/>
  <c r="H55" i="27"/>
  <c r="K55" i="27"/>
  <c r="N55" i="27"/>
  <c r="R55" i="27"/>
  <c r="AG55" i="27"/>
  <c r="H53" i="27"/>
  <c r="K53" i="27"/>
  <c r="N53" i="27"/>
  <c r="R53" i="27"/>
  <c r="AG53" i="27"/>
  <c r="R19" i="27" l="1"/>
  <c r="V19" i="27"/>
  <c r="AG19" i="27"/>
  <c r="R9" i="27"/>
  <c r="V9" i="27"/>
  <c r="AG9" i="27"/>
  <c r="R118" i="27"/>
  <c r="AG118" i="27"/>
  <c r="R2" i="27"/>
  <c r="V2" i="27"/>
  <c r="AG2" i="27"/>
  <c r="R11" i="27"/>
  <c r="V11" i="27"/>
  <c r="AG11" i="27"/>
  <c r="R38" i="27"/>
  <c r="V38" i="27"/>
  <c r="AG38" i="27"/>
  <c r="R199" i="27"/>
  <c r="V199" i="27"/>
  <c r="AG199" i="27"/>
  <c r="R119" i="27"/>
  <c r="V119" i="27"/>
  <c r="AG119" i="27"/>
  <c r="H11" i="27" l="1"/>
  <c r="K11" i="27"/>
  <c r="N11" i="27"/>
  <c r="H38" i="27"/>
  <c r="AH38" i="27" s="1"/>
  <c r="K38" i="27"/>
  <c r="N38" i="27"/>
  <c r="H199" i="27"/>
  <c r="K199" i="27"/>
  <c r="N199" i="27"/>
  <c r="H2" i="27"/>
  <c r="K2" i="27"/>
  <c r="N2" i="27"/>
  <c r="H118" i="27" l="1"/>
  <c r="H119" i="27"/>
  <c r="K118" i="27"/>
  <c r="K119" i="27"/>
  <c r="N118" i="27"/>
  <c r="N119" i="27"/>
  <c r="H3" i="27"/>
  <c r="K3" i="27"/>
  <c r="N3" i="27"/>
  <c r="R3" i="27"/>
  <c r="V3" i="27"/>
  <c r="AG3" i="27"/>
  <c r="H9" i="27" l="1"/>
  <c r="K9" i="27"/>
  <c r="N9" i="27"/>
  <c r="H19" i="27"/>
  <c r="K19" i="27"/>
  <c r="N19" i="27"/>
  <c r="AE205" i="32" l="1"/>
  <c r="U205" i="32"/>
  <c r="Q205" i="32"/>
  <c r="M205" i="32"/>
  <c r="J205" i="32"/>
  <c r="G205" i="32"/>
  <c r="AE204" i="32"/>
  <c r="U204" i="32"/>
  <c r="Q204" i="32"/>
  <c r="M204" i="32"/>
  <c r="J204" i="32"/>
  <c r="G204" i="32"/>
  <c r="AE203" i="32"/>
  <c r="U203" i="32"/>
  <c r="Q203" i="32"/>
  <c r="M203" i="32"/>
  <c r="J203" i="32"/>
  <c r="G203" i="32"/>
  <c r="AE202" i="32"/>
  <c r="Q202" i="32"/>
  <c r="M202" i="32"/>
  <c r="J202" i="32"/>
  <c r="G202" i="32"/>
  <c r="AE201" i="32"/>
  <c r="U201" i="32"/>
  <c r="Q201" i="32"/>
  <c r="M201" i="32"/>
  <c r="J201" i="32"/>
  <c r="G201" i="32"/>
  <c r="AE200" i="32"/>
  <c r="Q200" i="32"/>
  <c r="M200" i="32"/>
  <c r="J200" i="32"/>
  <c r="G200" i="32"/>
  <c r="AE199" i="32"/>
  <c r="U199" i="32"/>
  <c r="Q199" i="32"/>
  <c r="M199" i="32"/>
  <c r="H199" i="32"/>
  <c r="J199" i="32" s="1"/>
  <c r="G199" i="32"/>
  <c r="AE198" i="32"/>
  <c r="U198" i="32"/>
  <c r="Q198" i="32"/>
  <c r="M198" i="32"/>
  <c r="J198" i="32"/>
  <c r="G198" i="32"/>
  <c r="AE197" i="32"/>
  <c r="U197" i="32"/>
  <c r="S197" i="32"/>
  <c r="Q197" i="32"/>
  <c r="M197" i="32"/>
  <c r="J197" i="32"/>
  <c r="G197" i="32"/>
  <c r="AE196" i="32"/>
  <c r="U196" i="32"/>
  <c r="Q196" i="32"/>
  <c r="M196" i="32"/>
  <c r="I196" i="32"/>
  <c r="J196" i="32" s="1"/>
  <c r="G196" i="32"/>
  <c r="AE195" i="32"/>
  <c r="U195" i="32"/>
  <c r="S195" i="32"/>
  <c r="Q195" i="32"/>
  <c r="M195" i="32"/>
  <c r="J195" i="32"/>
  <c r="G195" i="32"/>
  <c r="AE194" i="32"/>
  <c r="U194" i="32"/>
  <c r="S194" i="32"/>
  <c r="Q194" i="32"/>
  <c r="M194" i="32"/>
  <c r="J194" i="32"/>
  <c r="G194" i="32"/>
  <c r="AE193" i="32"/>
  <c r="U193" i="32"/>
  <c r="Q193" i="32"/>
  <c r="M193" i="32"/>
  <c r="J193" i="32"/>
  <c r="G193" i="32"/>
  <c r="AE192" i="32"/>
  <c r="U192" i="32"/>
  <c r="Q192" i="32"/>
  <c r="M192" i="32"/>
  <c r="J192" i="32"/>
  <c r="G192" i="32"/>
  <c r="AE191" i="32"/>
  <c r="U191" i="32"/>
  <c r="Q191" i="32"/>
  <c r="M191" i="32"/>
  <c r="J191" i="32"/>
  <c r="G191" i="32"/>
  <c r="AE190" i="32"/>
  <c r="S190" i="32"/>
  <c r="Q190" i="32"/>
  <c r="M190" i="32"/>
  <c r="J190" i="32"/>
  <c r="G190" i="32"/>
  <c r="AE189" i="32"/>
  <c r="J189" i="32"/>
  <c r="L189" i="32" s="1"/>
  <c r="M189" i="32" s="1"/>
  <c r="N189" i="32" s="1"/>
  <c r="G189" i="32"/>
  <c r="AE188" i="32"/>
  <c r="M188" i="32"/>
  <c r="J188" i="32"/>
  <c r="G188" i="32"/>
  <c r="AE187" i="32"/>
  <c r="J187" i="32"/>
  <c r="L187" i="32" s="1"/>
  <c r="M187" i="32" s="1"/>
  <c r="N187" i="32" s="1"/>
  <c r="G187" i="32"/>
  <c r="AF187" i="32" s="1"/>
  <c r="AE186" i="32"/>
  <c r="U186" i="32"/>
  <c r="S186" i="32"/>
  <c r="Q186" i="32"/>
  <c r="J186" i="32"/>
  <c r="L186" i="32" s="1"/>
  <c r="M186" i="32" s="1"/>
  <c r="N186" i="32" s="1"/>
  <c r="G186" i="32"/>
  <c r="M185" i="32"/>
  <c r="J185" i="32"/>
  <c r="G185" i="32"/>
  <c r="AF185" i="32" s="1"/>
  <c r="AE184" i="32"/>
  <c r="S184" i="32"/>
  <c r="Q184" i="32"/>
  <c r="M184" i="32"/>
  <c r="J184" i="32"/>
  <c r="G184" i="32"/>
  <c r="AE183" i="32"/>
  <c r="U183" i="32"/>
  <c r="Q183" i="32"/>
  <c r="M183" i="32"/>
  <c r="J183" i="32"/>
  <c r="G183" i="32"/>
  <c r="AE182" i="32"/>
  <c r="U182" i="32"/>
  <c r="Q182" i="32"/>
  <c r="M182" i="32"/>
  <c r="J182" i="32"/>
  <c r="G182" i="32"/>
  <c r="AE181" i="32"/>
  <c r="U181" i="32"/>
  <c r="Q181" i="32"/>
  <c r="M181" i="32"/>
  <c r="J181" i="32"/>
  <c r="G181" i="32"/>
  <c r="AE180" i="32"/>
  <c r="U180" i="32"/>
  <c r="Q180" i="32"/>
  <c r="M180" i="32"/>
  <c r="J180" i="32"/>
  <c r="G180" i="32"/>
  <c r="AE179" i="32"/>
  <c r="U179" i="32"/>
  <c r="Q179" i="32"/>
  <c r="M179" i="32"/>
  <c r="J179" i="32"/>
  <c r="G179" i="32"/>
  <c r="AE178" i="32"/>
  <c r="U178" i="32"/>
  <c r="Q178" i="32"/>
  <c r="M178" i="32"/>
  <c r="J178" i="32"/>
  <c r="G178" i="32"/>
  <c r="AE174" i="32"/>
  <c r="S174" i="32"/>
  <c r="Q174" i="32"/>
  <c r="M174" i="32"/>
  <c r="J174" i="32"/>
  <c r="G174" i="32"/>
  <c r="AE169" i="32"/>
  <c r="Q169" i="32"/>
  <c r="M169" i="32"/>
  <c r="J169" i="32"/>
  <c r="G169" i="32"/>
  <c r="AE168" i="32"/>
  <c r="Q168" i="32"/>
  <c r="M168" i="32"/>
  <c r="J168" i="32"/>
  <c r="G168" i="32"/>
  <c r="AE167" i="32"/>
  <c r="S167" i="32"/>
  <c r="Q167" i="32"/>
  <c r="M167" i="32"/>
  <c r="J167" i="32"/>
  <c r="G167" i="32"/>
  <c r="AE173" i="32"/>
  <c r="Q173" i="32"/>
  <c r="M173" i="32"/>
  <c r="J173" i="32"/>
  <c r="G173" i="32"/>
  <c r="AE172" i="32"/>
  <c r="S172" i="32"/>
  <c r="Q172" i="32"/>
  <c r="M172" i="32"/>
  <c r="J172" i="32"/>
  <c r="G172" i="32"/>
  <c r="AE171" i="32"/>
  <c r="S171" i="32"/>
  <c r="Q171" i="32"/>
  <c r="M171" i="32"/>
  <c r="J171" i="32"/>
  <c r="G171" i="32"/>
  <c r="AE170" i="32"/>
  <c r="S170" i="32"/>
  <c r="Q170" i="32"/>
  <c r="M170" i="32"/>
  <c r="J170" i="32"/>
  <c r="G170" i="32"/>
  <c r="AE166" i="32"/>
  <c r="S166" i="32"/>
  <c r="Q166" i="32"/>
  <c r="M166" i="32"/>
  <c r="J166" i="32"/>
  <c r="G166" i="32"/>
  <c r="AE165" i="32"/>
  <c r="S165" i="32"/>
  <c r="Q165" i="32"/>
  <c r="M165" i="32"/>
  <c r="J165" i="32"/>
  <c r="G165" i="32"/>
  <c r="AE164" i="32"/>
  <c r="Q164" i="32"/>
  <c r="M164" i="32"/>
  <c r="J164" i="32"/>
  <c r="G164" i="32"/>
  <c r="AE163" i="32"/>
  <c r="Q163" i="32"/>
  <c r="M163" i="32"/>
  <c r="J163" i="32"/>
  <c r="G163" i="32"/>
  <c r="AE162" i="32"/>
  <c r="Q162" i="32"/>
  <c r="M162" i="32"/>
  <c r="J162" i="32"/>
  <c r="G162" i="32"/>
  <c r="AE160" i="32"/>
  <c r="S160" i="32"/>
  <c r="Q160" i="32"/>
  <c r="M160" i="32"/>
  <c r="J160" i="32"/>
  <c r="G160" i="32"/>
  <c r="AE158" i="32"/>
  <c r="S158" i="32"/>
  <c r="Q158" i="32"/>
  <c r="M158" i="32"/>
  <c r="J158" i="32"/>
  <c r="G158" i="32"/>
  <c r="AE156" i="32"/>
  <c r="U156" i="32"/>
  <c r="S156" i="32"/>
  <c r="Q156" i="32"/>
  <c r="M156" i="32"/>
  <c r="J156" i="32"/>
  <c r="G156" i="32"/>
  <c r="AE161" i="32"/>
  <c r="U161" i="32"/>
  <c r="S161" i="32"/>
  <c r="Q161" i="32"/>
  <c r="M161" i="32"/>
  <c r="J161" i="32"/>
  <c r="G161" i="32"/>
  <c r="AE155" i="32"/>
  <c r="U155" i="32"/>
  <c r="S155" i="32"/>
  <c r="Q155" i="32"/>
  <c r="M155" i="32"/>
  <c r="J155" i="32"/>
  <c r="G155" i="32"/>
  <c r="AE159" i="32"/>
  <c r="Q159" i="32"/>
  <c r="M159" i="32"/>
  <c r="J159" i="32"/>
  <c r="G159" i="32"/>
  <c r="AE154" i="32"/>
  <c r="U154" i="32"/>
  <c r="S154" i="32"/>
  <c r="Q154" i="32"/>
  <c r="M154" i="32"/>
  <c r="J154" i="32"/>
  <c r="G154" i="32"/>
  <c r="AE157" i="32"/>
  <c r="U157" i="32"/>
  <c r="S157" i="32"/>
  <c r="Q157" i="32"/>
  <c r="M157" i="32"/>
  <c r="J157" i="32"/>
  <c r="G157" i="32"/>
  <c r="AE152" i="32"/>
  <c r="Q152" i="32"/>
  <c r="M152" i="32"/>
  <c r="J152" i="32"/>
  <c r="G152" i="32"/>
  <c r="AE151" i="32"/>
  <c r="S151" i="32"/>
  <c r="Q151" i="32"/>
  <c r="M151" i="32"/>
  <c r="J151" i="32"/>
  <c r="G151" i="32"/>
  <c r="AE150" i="32"/>
  <c r="Q150" i="32"/>
  <c r="M150" i="32"/>
  <c r="J150" i="32"/>
  <c r="G150" i="32"/>
  <c r="AE153" i="32"/>
  <c r="S153" i="32"/>
  <c r="Q153" i="32"/>
  <c r="M153" i="32"/>
  <c r="J153" i="32"/>
  <c r="G153" i="32"/>
  <c r="AE149" i="32"/>
  <c r="Q149" i="32"/>
  <c r="M149" i="32"/>
  <c r="J149" i="32"/>
  <c r="G149" i="32"/>
  <c r="AE148" i="32"/>
  <c r="S148" i="32"/>
  <c r="Q148" i="32"/>
  <c r="M148" i="32"/>
  <c r="J148" i="32"/>
  <c r="G148" i="32"/>
  <c r="AE146" i="32"/>
  <c r="S146" i="32"/>
  <c r="Q146" i="32"/>
  <c r="M146" i="32"/>
  <c r="J146" i="32"/>
  <c r="G146" i="32"/>
  <c r="AE145" i="32"/>
  <c r="Q145" i="32"/>
  <c r="M145" i="32"/>
  <c r="J145" i="32"/>
  <c r="G145" i="32"/>
  <c r="AE144" i="32"/>
  <c r="U144" i="32"/>
  <c r="S144" i="32"/>
  <c r="Q144" i="32"/>
  <c r="M144" i="32"/>
  <c r="J144" i="32"/>
  <c r="G144" i="32"/>
  <c r="AE147" i="32"/>
  <c r="Q147" i="32"/>
  <c r="M147" i="32"/>
  <c r="J147" i="32"/>
  <c r="G147" i="32"/>
  <c r="AE142" i="32"/>
  <c r="Q142" i="32"/>
  <c r="M142" i="32"/>
  <c r="J142" i="32"/>
  <c r="G142" i="32"/>
  <c r="AE140" i="32"/>
  <c r="Q140" i="32"/>
  <c r="M140" i="32"/>
  <c r="J140" i="32"/>
  <c r="G140" i="32"/>
  <c r="AE139" i="32"/>
  <c r="Q139" i="32"/>
  <c r="M139" i="32"/>
  <c r="J139" i="32"/>
  <c r="G139" i="32"/>
  <c r="AE143" i="32"/>
  <c r="U143" i="32"/>
  <c r="S143" i="32"/>
  <c r="Q143" i="32"/>
  <c r="M143" i="32"/>
  <c r="J143" i="32"/>
  <c r="G143" i="32"/>
  <c r="AE138" i="32"/>
  <c r="Q138" i="32"/>
  <c r="M138" i="32"/>
  <c r="J138" i="32"/>
  <c r="G138" i="32"/>
  <c r="AE141" i="32"/>
  <c r="U141" i="32"/>
  <c r="S141" i="32"/>
  <c r="Q141" i="32"/>
  <c r="M141" i="32"/>
  <c r="J141" i="32"/>
  <c r="G141" i="32"/>
  <c r="AE134" i="32"/>
  <c r="Q134" i="32"/>
  <c r="M134" i="32"/>
  <c r="J134" i="32"/>
  <c r="G134" i="32"/>
  <c r="AE132" i="32"/>
  <c r="Q132" i="32"/>
  <c r="M132" i="32"/>
  <c r="J132" i="32"/>
  <c r="G132" i="32"/>
  <c r="AE131" i="32"/>
  <c r="Q131" i="32"/>
  <c r="M131" i="32"/>
  <c r="J131" i="32"/>
  <c r="G131" i="32"/>
  <c r="AE137" i="32"/>
  <c r="U137" i="32"/>
  <c r="S137" i="32"/>
  <c r="Q137" i="32"/>
  <c r="M137" i="32"/>
  <c r="J137" i="32"/>
  <c r="G137" i="32"/>
  <c r="AE136" i="32"/>
  <c r="S136" i="32"/>
  <c r="Q136" i="32"/>
  <c r="M136" i="32"/>
  <c r="J136" i="32"/>
  <c r="G136" i="32"/>
  <c r="AE135" i="32"/>
  <c r="U135" i="32"/>
  <c r="S135" i="32"/>
  <c r="Q135" i="32"/>
  <c r="M135" i="32"/>
  <c r="J135" i="32"/>
  <c r="G135" i="32"/>
  <c r="AE128" i="32"/>
  <c r="Q128" i="32"/>
  <c r="M128" i="32"/>
  <c r="J128" i="32"/>
  <c r="G128" i="32"/>
  <c r="AE133" i="32"/>
  <c r="S133" i="32"/>
  <c r="Q133" i="32"/>
  <c r="M133" i="32"/>
  <c r="J133" i="32"/>
  <c r="G133" i="32"/>
  <c r="AE127" i="32"/>
  <c r="U127" i="32"/>
  <c r="Q127" i="32"/>
  <c r="M127" i="32"/>
  <c r="J127" i="32"/>
  <c r="G127" i="32"/>
  <c r="AE126" i="32"/>
  <c r="Q126" i="32"/>
  <c r="M126" i="32"/>
  <c r="J126" i="32"/>
  <c r="G126" i="32"/>
  <c r="AE130" i="32"/>
  <c r="S130" i="32"/>
  <c r="Q130" i="32"/>
  <c r="M130" i="32"/>
  <c r="J130" i="32"/>
  <c r="G130" i="32"/>
  <c r="AE129" i="32"/>
  <c r="Q129" i="32"/>
  <c r="M129" i="32"/>
  <c r="J129" i="32"/>
  <c r="G129" i="32"/>
  <c r="AE125" i="32"/>
  <c r="U125" i="32"/>
  <c r="Q125" i="32"/>
  <c r="M125" i="32"/>
  <c r="J125" i="32"/>
  <c r="G125" i="32"/>
  <c r="AE124" i="32"/>
  <c r="Q124" i="32"/>
  <c r="M124" i="32"/>
  <c r="J124" i="32"/>
  <c r="G124" i="32"/>
  <c r="AE122" i="32"/>
  <c r="U122" i="32"/>
  <c r="Q122" i="32"/>
  <c r="M122" i="32"/>
  <c r="J122" i="32"/>
  <c r="G122" i="32"/>
  <c r="AE119" i="32"/>
  <c r="Q119" i="32"/>
  <c r="M119" i="32"/>
  <c r="J119" i="32"/>
  <c r="G119" i="32"/>
  <c r="AE118" i="32"/>
  <c r="U118" i="32"/>
  <c r="Q118" i="32"/>
  <c r="M118" i="32"/>
  <c r="J118" i="32"/>
  <c r="G118" i="32"/>
  <c r="AE123" i="32"/>
  <c r="Q123" i="32"/>
  <c r="M123" i="32"/>
  <c r="J123" i="32"/>
  <c r="G123" i="32"/>
  <c r="AE115" i="32"/>
  <c r="Q115" i="32"/>
  <c r="M115" i="32"/>
  <c r="J115" i="32"/>
  <c r="G115" i="32"/>
  <c r="AE121" i="32"/>
  <c r="Q121" i="32"/>
  <c r="M121" i="32"/>
  <c r="J121" i="32"/>
  <c r="G121" i="32"/>
  <c r="AE120" i="32"/>
  <c r="U120" i="32"/>
  <c r="Q120" i="32"/>
  <c r="M120" i="32"/>
  <c r="J120" i="32"/>
  <c r="G120" i="32"/>
  <c r="AE114" i="32"/>
  <c r="Q114" i="32"/>
  <c r="M114" i="32"/>
  <c r="J114" i="32"/>
  <c r="G114" i="32"/>
  <c r="AE113" i="32"/>
  <c r="Q113" i="32"/>
  <c r="M113" i="32"/>
  <c r="J113" i="32"/>
  <c r="G113" i="32"/>
  <c r="AE117" i="32"/>
  <c r="S117" i="32"/>
  <c r="Q117" i="32"/>
  <c r="M117" i="32"/>
  <c r="J117" i="32"/>
  <c r="G117" i="32"/>
  <c r="AE116" i="32"/>
  <c r="Q116" i="32"/>
  <c r="M116" i="32"/>
  <c r="J116" i="32"/>
  <c r="G116" i="32"/>
  <c r="AE111" i="32"/>
  <c r="Q111" i="32"/>
  <c r="M111" i="32"/>
  <c r="J111" i="32"/>
  <c r="G111" i="32"/>
  <c r="AE110" i="32"/>
  <c r="U110" i="32"/>
  <c r="Q110" i="32"/>
  <c r="M110" i="32"/>
  <c r="J110" i="32"/>
  <c r="G110" i="32"/>
  <c r="AE108" i="32"/>
  <c r="U108" i="32"/>
  <c r="Q108" i="32"/>
  <c r="M108" i="32"/>
  <c r="J108" i="32"/>
  <c r="G108" i="32"/>
  <c r="AE112" i="32"/>
  <c r="U112" i="32"/>
  <c r="Q112" i="32"/>
  <c r="M112" i="32"/>
  <c r="J112" i="32"/>
  <c r="G112" i="32"/>
  <c r="AE107" i="32"/>
  <c r="Q107" i="32"/>
  <c r="M107" i="32"/>
  <c r="J107" i="32"/>
  <c r="G107" i="32"/>
  <c r="AE101" i="32"/>
  <c r="U101" i="32"/>
  <c r="Q101" i="32"/>
  <c r="M101" i="32"/>
  <c r="J101" i="32"/>
  <c r="G101" i="32"/>
  <c r="AE109" i="32"/>
  <c r="Q109" i="32"/>
  <c r="M109" i="32"/>
  <c r="J109" i="32"/>
  <c r="G109" i="32"/>
  <c r="AE99" i="32"/>
  <c r="Q99" i="32"/>
  <c r="M99" i="32"/>
  <c r="J99" i="32"/>
  <c r="G99" i="32"/>
  <c r="AE98" i="32"/>
  <c r="U98" i="32"/>
  <c r="Q98" i="32"/>
  <c r="M98" i="32"/>
  <c r="J98" i="32"/>
  <c r="G98" i="32"/>
  <c r="AE106" i="32"/>
  <c r="Q106" i="32"/>
  <c r="M106" i="32"/>
  <c r="J106" i="32"/>
  <c r="G106" i="32"/>
  <c r="AE105" i="32"/>
  <c r="Q105" i="32"/>
  <c r="M105" i="32"/>
  <c r="J105" i="32"/>
  <c r="G105" i="32"/>
  <c r="AE104" i="32"/>
  <c r="U104" i="32"/>
  <c r="S104" i="32"/>
  <c r="Q104" i="32"/>
  <c r="M104" i="32"/>
  <c r="J104" i="32"/>
  <c r="G104" i="32"/>
  <c r="AE103" i="32"/>
  <c r="S103" i="32"/>
  <c r="Q103" i="32"/>
  <c r="J103" i="32"/>
  <c r="G103" i="32"/>
  <c r="AE102" i="32"/>
  <c r="S102" i="32"/>
  <c r="Q102" i="32"/>
  <c r="M102" i="32"/>
  <c r="J102" i="32"/>
  <c r="G102" i="32"/>
  <c r="AE96" i="32"/>
  <c r="U96" i="32"/>
  <c r="Q96" i="32"/>
  <c r="M96" i="32"/>
  <c r="J96" i="32"/>
  <c r="G96" i="32"/>
  <c r="AE100" i="32"/>
  <c r="S100" i="32"/>
  <c r="Q100" i="32"/>
  <c r="M100" i="32"/>
  <c r="J100" i="32"/>
  <c r="G100" i="32"/>
  <c r="AE93" i="32"/>
  <c r="U93" i="32"/>
  <c r="Q93" i="32"/>
  <c r="M93" i="32"/>
  <c r="J93" i="32"/>
  <c r="G93" i="32"/>
  <c r="AE92" i="32"/>
  <c r="U92" i="32"/>
  <c r="Q92" i="32"/>
  <c r="M92" i="32"/>
  <c r="J92" i="32"/>
  <c r="G92" i="32"/>
  <c r="AE97" i="32"/>
  <c r="Q97" i="32"/>
  <c r="M97" i="32"/>
  <c r="J97" i="32"/>
  <c r="G97" i="32"/>
  <c r="AE89" i="32"/>
  <c r="U89" i="32"/>
  <c r="Q89" i="32"/>
  <c r="M89" i="32"/>
  <c r="J89" i="32"/>
  <c r="G89" i="32"/>
  <c r="AE95" i="32"/>
  <c r="U95" i="32"/>
  <c r="S95" i="32"/>
  <c r="Q95" i="32"/>
  <c r="M95" i="32"/>
  <c r="J95" i="32"/>
  <c r="G95" i="32"/>
  <c r="AE94" i="32"/>
  <c r="U94" i="32"/>
  <c r="S94" i="32"/>
  <c r="Q94" i="32"/>
  <c r="M94" i="32"/>
  <c r="J94" i="32"/>
  <c r="G94" i="32"/>
  <c r="AE86" i="32"/>
  <c r="U86" i="32"/>
  <c r="Q86" i="32"/>
  <c r="M86" i="32"/>
  <c r="J86" i="32"/>
  <c r="G86" i="32"/>
  <c r="AE82" i="32"/>
  <c r="U82" i="32"/>
  <c r="Q82" i="32"/>
  <c r="M82" i="32"/>
  <c r="J82" i="32"/>
  <c r="G82" i="32"/>
  <c r="AE91" i="32"/>
  <c r="U91" i="32"/>
  <c r="S91" i="32"/>
  <c r="Q91" i="32"/>
  <c r="M91" i="32"/>
  <c r="J91" i="32"/>
  <c r="G91" i="32"/>
  <c r="AE90" i="32"/>
  <c r="U90" i="32"/>
  <c r="S90" i="32"/>
  <c r="Q90" i="32"/>
  <c r="M90" i="32"/>
  <c r="J90" i="32"/>
  <c r="G90" i="32"/>
  <c r="AE78" i="32"/>
  <c r="Q78" i="32"/>
  <c r="M78" i="32"/>
  <c r="J78" i="32"/>
  <c r="G78" i="32"/>
  <c r="AE88" i="32"/>
  <c r="Q88" i="32"/>
  <c r="M88" i="32"/>
  <c r="J88" i="32"/>
  <c r="G88" i="32"/>
  <c r="AE87" i="32"/>
  <c r="Q87" i="32"/>
  <c r="M87" i="32"/>
  <c r="J87" i="32"/>
  <c r="G87" i="32"/>
  <c r="AE77" i="32"/>
  <c r="Q77" i="32"/>
  <c r="M77" i="32"/>
  <c r="J77" i="32"/>
  <c r="G77" i="32"/>
  <c r="AE85" i="32"/>
  <c r="Q85" i="32"/>
  <c r="M85" i="32"/>
  <c r="J85" i="32"/>
  <c r="G85" i="32"/>
  <c r="AE84" i="32"/>
  <c r="S84" i="32"/>
  <c r="Q84" i="32"/>
  <c r="M84" i="32"/>
  <c r="J84" i="32"/>
  <c r="G84" i="32"/>
  <c r="AE83" i="32"/>
  <c r="U83" i="32"/>
  <c r="S83" i="32"/>
  <c r="Q83" i="32"/>
  <c r="M83" i="32"/>
  <c r="J83" i="32"/>
  <c r="G83" i="32"/>
  <c r="AE68" i="32"/>
  <c r="U68" i="32"/>
  <c r="S68" i="32"/>
  <c r="Q68" i="32"/>
  <c r="M68" i="32"/>
  <c r="J68" i="32"/>
  <c r="G68" i="32"/>
  <c r="AE81" i="32"/>
  <c r="U81" i="32"/>
  <c r="Q81" i="32"/>
  <c r="M81" i="32"/>
  <c r="J81" i="32"/>
  <c r="G81" i="32"/>
  <c r="AE80" i="32"/>
  <c r="U80" i="32"/>
  <c r="Q80" i="32"/>
  <c r="M80" i="32"/>
  <c r="J80" i="32"/>
  <c r="G80" i="32"/>
  <c r="AE79" i="32"/>
  <c r="S79" i="32"/>
  <c r="Q79" i="32"/>
  <c r="M79" i="32"/>
  <c r="J79" i="32"/>
  <c r="G79" i="32"/>
  <c r="AE65" i="32"/>
  <c r="U65" i="32"/>
  <c r="Q65" i="32"/>
  <c r="M65" i="32"/>
  <c r="J65" i="32"/>
  <c r="G65" i="32"/>
  <c r="AE62" i="32"/>
  <c r="Q62" i="32"/>
  <c r="M62" i="32"/>
  <c r="J62" i="32"/>
  <c r="G62" i="32"/>
  <c r="AE76" i="32"/>
  <c r="U76" i="32"/>
  <c r="S76" i="32"/>
  <c r="Q76" i="32"/>
  <c r="M76" i="32"/>
  <c r="J76" i="32"/>
  <c r="G76" i="32"/>
  <c r="AE75" i="32"/>
  <c r="U75" i="32"/>
  <c r="Q75" i="32"/>
  <c r="M75" i="32"/>
  <c r="J75" i="32"/>
  <c r="G75" i="32"/>
  <c r="AE74" i="32"/>
  <c r="U74" i="32"/>
  <c r="S74" i="32"/>
  <c r="Q74" i="32"/>
  <c r="M74" i="32"/>
  <c r="J74" i="32"/>
  <c r="G74" i="32"/>
  <c r="AE73" i="32"/>
  <c r="U73" i="32"/>
  <c r="S73" i="32"/>
  <c r="Q73" i="32"/>
  <c r="M73" i="32"/>
  <c r="J73" i="32"/>
  <c r="G73" i="32"/>
  <c r="AE72" i="32"/>
  <c r="U72" i="32"/>
  <c r="S72" i="32"/>
  <c r="Q72" i="32"/>
  <c r="M72" i="32"/>
  <c r="J72" i="32"/>
  <c r="G72" i="32"/>
  <c r="AE71" i="32"/>
  <c r="U71" i="32"/>
  <c r="Q71" i="32"/>
  <c r="M71" i="32"/>
  <c r="J71" i="32"/>
  <c r="G71" i="32"/>
  <c r="AE70" i="32"/>
  <c r="U70" i="32"/>
  <c r="Q70" i="32"/>
  <c r="M70" i="32"/>
  <c r="J70" i="32"/>
  <c r="G70" i="32"/>
  <c r="AE69" i="32"/>
  <c r="U69" i="32"/>
  <c r="Q69" i="32"/>
  <c r="M69" i="32"/>
  <c r="J69" i="32"/>
  <c r="G69" i="32"/>
  <c r="AE60" i="32"/>
  <c r="U60" i="32"/>
  <c r="Q60" i="32"/>
  <c r="M60" i="32"/>
  <c r="J60" i="32"/>
  <c r="G60" i="32"/>
  <c r="AE67" i="32"/>
  <c r="U67" i="32"/>
  <c r="S67" i="32"/>
  <c r="Q67" i="32"/>
  <c r="M67" i="32"/>
  <c r="J67" i="32"/>
  <c r="G67" i="32"/>
  <c r="AE66" i="32"/>
  <c r="U66" i="32"/>
  <c r="Q66" i="32"/>
  <c r="M66" i="32"/>
  <c r="J66" i="32"/>
  <c r="G66" i="32"/>
  <c r="AE59" i="32"/>
  <c r="U59" i="32"/>
  <c r="Q59" i="32"/>
  <c r="M59" i="32"/>
  <c r="J59" i="32"/>
  <c r="G59" i="32"/>
  <c r="AE64" i="32"/>
  <c r="U64" i="32"/>
  <c r="Q64" i="32"/>
  <c r="J64" i="32"/>
  <c r="G64" i="32"/>
  <c r="AE63" i="32"/>
  <c r="Q63" i="32"/>
  <c r="M63" i="32"/>
  <c r="J63" i="32"/>
  <c r="G63" i="32"/>
  <c r="AE44" i="32"/>
  <c r="Q44" i="32"/>
  <c r="M44" i="32"/>
  <c r="J44" i="32"/>
  <c r="G44" i="32"/>
  <c r="AE61" i="32"/>
  <c r="Q61" i="32"/>
  <c r="M61" i="32"/>
  <c r="J61" i="32"/>
  <c r="G61" i="32"/>
  <c r="AE43" i="32"/>
  <c r="Q43" i="32"/>
  <c r="M43" i="32"/>
  <c r="J43" i="32"/>
  <c r="G43" i="32"/>
  <c r="AE39" i="32"/>
  <c r="Q39" i="32"/>
  <c r="M39" i="32"/>
  <c r="J39" i="32"/>
  <c r="G39" i="32"/>
  <c r="AE58" i="32"/>
  <c r="U58" i="32"/>
  <c r="S58" i="32"/>
  <c r="Q58" i="32"/>
  <c r="M58" i="32"/>
  <c r="J58" i="32"/>
  <c r="G58" i="32"/>
  <c r="AE57" i="32"/>
  <c r="U57" i="32"/>
  <c r="Q57" i="32"/>
  <c r="M57" i="32"/>
  <c r="J57" i="32"/>
  <c r="G57" i="32"/>
  <c r="AE56" i="32"/>
  <c r="U56" i="32"/>
  <c r="Q56" i="32"/>
  <c r="M56" i="32"/>
  <c r="J56" i="32"/>
  <c r="G56" i="32"/>
  <c r="AE55" i="32"/>
  <c r="U55" i="32"/>
  <c r="Q55" i="32"/>
  <c r="M55" i="32"/>
  <c r="J55" i="32"/>
  <c r="G55" i="32"/>
  <c r="AE54" i="32"/>
  <c r="U54" i="32"/>
  <c r="Q54" i="32"/>
  <c r="M54" i="32"/>
  <c r="J54" i="32"/>
  <c r="G54" i="32"/>
  <c r="AE53" i="32"/>
  <c r="U53" i="32"/>
  <c r="Q53" i="32"/>
  <c r="M53" i="32"/>
  <c r="J53" i="32"/>
  <c r="G53" i="32"/>
  <c r="AE52" i="32"/>
  <c r="U52" i="32"/>
  <c r="Q52" i="32"/>
  <c r="M52" i="32"/>
  <c r="J52" i="32"/>
  <c r="G52" i="32"/>
  <c r="AE51" i="32"/>
  <c r="U51" i="32"/>
  <c r="Q51" i="32"/>
  <c r="M51" i="32"/>
  <c r="J51" i="32"/>
  <c r="G51" i="32"/>
  <c r="AE50" i="32"/>
  <c r="U50" i="32"/>
  <c r="Q50" i="32"/>
  <c r="M50" i="32"/>
  <c r="J50" i="32"/>
  <c r="G50" i="32"/>
  <c r="AE49" i="32"/>
  <c r="U49" i="32"/>
  <c r="Q49" i="32"/>
  <c r="M49" i="32"/>
  <c r="J49" i="32"/>
  <c r="G49" i="32"/>
  <c r="AE48" i="32"/>
  <c r="S48" i="32"/>
  <c r="Q48" i="32"/>
  <c r="M48" i="32"/>
  <c r="J48" i="32"/>
  <c r="G48" i="32"/>
  <c r="AE47" i="32"/>
  <c r="U47" i="32"/>
  <c r="Q47" i="32"/>
  <c r="M47" i="32"/>
  <c r="J47" i="32"/>
  <c r="G47" i="32"/>
  <c r="AE46" i="32"/>
  <c r="U46" i="32"/>
  <c r="Q46" i="32"/>
  <c r="M46" i="32"/>
  <c r="J46" i="32"/>
  <c r="G46" i="32"/>
  <c r="AE45" i="32"/>
  <c r="U45" i="32"/>
  <c r="S45" i="32"/>
  <c r="Q45" i="32"/>
  <c r="M45" i="32"/>
  <c r="J45" i="32"/>
  <c r="G45" i="32"/>
  <c r="AE38" i="32"/>
  <c r="Q38" i="32"/>
  <c r="M38" i="32"/>
  <c r="J38" i="32"/>
  <c r="G38" i="32"/>
  <c r="AE36" i="32"/>
  <c r="U36" i="32"/>
  <c r="Q36" i="32"/>
  <c r="M36" i="32"/>
  <c r="J36" i="32"/>
  <c r="G36" i="32"/>
  <c r="AE42" i="32"/>
  <c r="U42" i="32"/>
  <c r="Q42" i="32"/>
  <c r="M42" i="32"/>
  <c r="J42" i="32"/>
  <c r="G42" i="32"/>
  <c r="AE41" i="32"/>
  <c r="U41" i="32"/>
  <c r="Q41" i="32"/>
  <c r="M41" i="32"/>
  <c r="J41" i="32"/>
  <c r="G41" i="32"/>
  <c r="AE40" i="32"/>
  <c r="U40" i="32"/>
  <c r="Q40" i="32"/>
  <c r="M40" i="32"/>
  <c r="J40" i="32"/>
  <c r="G40" i="32"/>
  <c r="AE16" i="32"/>
  <c r="U16" i="32"/>
  <c r="Q16" i="32"/>
  <c r="M16" i="32"/>
  <c r="J16" i="32"/>
  <c r="G16" i="32"/>
  <c r="AE25" i="32"/>
  <c r="U25" i="32"/>
  <c r="Q25" i="32"/>
  <c r="M25" i="32"/>
  <c r="J25" i="32"/>
  <c r="G25" i="32"/>
  <c r="AE37" i="32"/>
  <c r="U37" i="32"/>
  <c r="Q37" i="32"/>
  <c r="M37" i="32"/>
  <c r="J37" i="32"/>
  <c r="G37" i="32"/>
  <c r="AE24" i="32"/>
  <c r="U24" i="32"/>
  <c r="Q24" i="32"/>
  <c r="M24" i="32"/>
  <c r="J24" i="32"/>
  <c r="G24" i="32"/>
  <c r="AE35" i="32"/>
  <c r="U35" i="32"/>
  <c r="Q35" i="32"/>
  <c r="M35" i="32"/>
  <c r="J35" i="32"/>
  <c r="G35" i="32"/>
  <c r="AE34" i="32"/>
  <c r="U34" i="32"/>
  <c r="Q34" i="32"/>
  <c r="M34" i="32"/>
  <c r="J34" i="32"/>
  <c r="G34" i="32"/>
  <c r="AE33" i="32"/>
  <c r="U33" i="32"/>
  <c r="Q33" i="32"/>
  <c r="M33" i="32"/>
  <c r="J33" i="32"/>
  <c r="G33" i="32"/>
  <c r="AF33" i="32" s="1"/>
  <c r="AE32" i="32"/>
  <c r="U32" i="32"/>
  <c r="Q32" i="32"/>
  <c r="M32" i="32"/>
  <c r="J32" i="32"/>
  <c r="G32" i="32"/>
  <c r="AF32" i="32" s="1"/>
  <c r="AE31" i="32"/>
  <c r="U31" i="32"/>
  <c r="Q31" i="32"/>
  <c r="M31" i="32"/>
  <c r="J31" i="32"/>
  <c r="G31" i="32"/>
  <c r="AF31" i="32" s="1"/>
  <c r="AE30" i="32"/>
  <c r="U30" i="32"/>
  <c r="Q30" i="32"/>
  <c r="M30" i="32"/>
  <c r="J30" i="32"/>
  <c r="G30" i="32"/>
  <c r="AF30" i="32" s="1"/>
  <c r="AE29" i="32"/>
  <c r="U29" i="32"/>
  <c r="S29" i="32"/>
  <c r="Q29" i="32"/>
  <c r="M29" i="32"/>
  <c r="J29" i="32"/>
  <c r="G29" i="32"/>
  <c r="AF29" i="32" s="1"/>
  <c r="AE28" i="32"/>
  <c r="U28" i="32"/>
  <c r="Q28" i="32"/>
  <c r="M28" i="32"/>
  <c r="J28" i="32"/>
  <c r="G28" i="32"/>
  <c r="AF28" i="32" s="1"/>
  <c r="AE27" i="32"/>
  <c r="U27" i="32"/>
  <c r="Q27" i="32"/>
  <c r="M27" i="32"/>
  <c r="J27" i="32"/>
  <c r="G27" i="32"/>
  <c r="AF27" i="32" s="1"/>
  <c r="AE26" i="32"/>
  <c r="U26" i="32"/>
  <c r="Q26" i="32"/>
  <c r="M26" i="32"/>
  <c r="J26" i="32"/>
  <c r="G26" i="32"/>
  <c r="AF26" i="32" s="1"/>
  <c r="AE21" i="32"/>
  <c r="S21" i="32"/>
  <c r="Q21" i="32"/>
  <c r="M21" i="32"/>
  <c r="J21" i="32"/>
  <c r="G21" i="32"/>
  <c r="AF21" i="32" s="1"/>
  <c r="AE20" i="32"/>
  <c r="M20" i="32"/>
  <c r="J20" i="32"/>
  <c r="G20" i="32"/>
  <c r="AF20" i="32" s="1"/>
  <c r="AE23" i="32"/>
  <c r="U23" i="32"/>
  <c r="S23" i="32"/>
  <c r="Q23" i="32"/>
  <c r="M23" i="32"/>
  <c r="J23" i="32"/>
  <c r="G23" i="32"/>
  <c r="AF23" i="32" s="1"/>
  <c r="AE22" i="32"/>
  <c r="U22" i="32"/>
  <c r="Q22" i="32"/>
  <c r="J22" i="32"/>
  <c r="N22" i="32" s="1"/>
  <c r="G22" i="32"/>
  <c r="AF22" i="32" s="1"/>
  <c r="AE15" i="32"/>
  <c r="Q15" i="32"/>
  <c r="M15" i="32"/>
  <c r="J15" i="32"/>
  <c r="G15" i="32"/>
  <c r="AE177" i="32"/>
  <c r="Q177" i="32"/>
  <c r="M177" i="32"/>
  <c r="J177" i="32"/>
  <c r="G177" i="32"/>
  <c r="AE19" i="32"/>
  <c r="U19" i="32"/>
  <c r="Q19" i="32"/>
  <c r="M19" i="32"/>
  <c r="J19" i="32"/>
  <c r="G19" i="32"/>
  <c r="AF19" i="32" s="1"/>
  <c r="AE18" i="32"/>
  <c r="U18" i="32"/>
  <c r="Q18" i="32"/>
  <c r="J18" i="32"/>
  <c r="N18" i="32" s="1"/>
  <c r="G18" i="32"/>
  <c r="AF18" i="32" s="1"/>
  <c r="AE17" i="32"/>
  <c r="U17" i="32"/>
  <c r="S17" i="32"/>
  <c r="Q17" i="32"/>
  <c r="M17" i="32"/>
  <c r="J17" i="32"/>
  <c r="G17" i="32"/>
  <c r="AF17" i="32" s="1"/>
  <c r="AE176" i="32"/>
  <c r="U176" i="32"/>
  <c r="Q176" i="32"/>
  <c r="M176" i="32"/>
  <c r="J176" i="32"/>
  <c r="G176" i="32"/>
  <c r="AE175" i="32"/>
  <c r="U175" i="32"/>
  <c r="Q175" i="32"/>
  <c r="M175" i="32"/>
  <c r="J175" i="32"/>
  <c r="G175" i="32"/>
  <c r="AE14" i="32"/>
  <c r="U14" i="32"/>
  <c r="Q14" i="32"/>
  <c r="M14" i="32"/>
  <c r="J14" i="32"/>
  <c r="G14" i="32"/>
  <c r="A14" i="32"/>
  <c r="A15" i="32" s="1"/>
  <c r="A16" i="32" s="1"/>
  <c r="A17" i="32" s="1"/>
  <c r="A18" i="32" s="1"/>
  <c r="A19" i="32" s="1"/>
  <c r="A20" i="32" s="1"/>
  <c r="A21" i="32" s="1"/>
  <c r="A22" i="32" s="1"/>
  <c r="A23" i="32" s="1"/>
  <c r="A24" i="32" s="1"/>
  <c r="A25" i="32" s="1"/>
  <c r="A26" i="32" s="1"/>
  <c r="A27" i="32" s="1"/>
  <c r="A28" i="32" s="1"/>
  <c r="A29" i="32" s="1"/>
  <c r="AE13" i="32"/>
  <c r="U13" i="32"/>
  <c r="Q13" i="32"/>
  <c r="M13" i="32"/>
  <c r="J13" i="32"/>
  <c r="G13" i="32"/>
  <c r="AE12" i="32"/>
  <c r="U12" i="32"/>
  <c r="Q12" i="32"/>
  <c r="M12" i="32"/>
  <c r="J12" i="32"/>
  <c r="G12" i="32"/>
  <c r="AE11" i="32"/>
  <c r="U11" i="32"/>
  <c r="Q11" i="32"/>
  <c r="M11" i="32"/>
  <c r="J11" i="32"/>
  <c r="G11" i="32"/>
  <c r="AE10" i="32"/>
  <c r="U10" i="32"/>
  <c r="Q10" i="32"/>
  <c r="M10" i="32"/>
  <c r="J10" i="32"/>
  <c r="G10" i="32"/>
  <c r="AE9" i="32"/>
  <c r="U9" i="32"/>
  <c r="Q9" i="32"/>
  <c r="M9" i="32"/>
  <c r="J9" i="32"/>
  <c r="G9" i="32"/>
  <c r="AE8" i="32"/>
  <c r="U8" i="32"/>
  <c r="Q8" i="32"/>
  <c r="M8" i="32"/>
  <c r="J8" i="32"/>
  <c r="G8" i="32"/>
  <c r="AE7" i="32"/>
  <c r="U7" i="32"/>
  <c r="Q7" i="32"/>
  <c r="M7" i="32"/>
  <c r="J7" i="32"/>
  <c r="G7" i="32"/>
  <c r="AE6" i="32"/>
  <c r="U6" i="32"/>
  <c r="Q6" i="32"/>
  <c r="M6" i="32"/>
  <c r="J6" i="32"/>
  <c r="G6" i="32"/>
  <c r="AE5" i="32"/>
  <c r="Q5" i="32"/>
  <c r="M5" i="32"/>
  <c r="J5" i="32"/>
  <c r="G5" i="32"/>
  <c r="AE4" i="32"/>
  <c r="U4" i="32"/>
  <c r="S4" i="32"/>
  <c r="Q4" i="32"/>
  <c r="M4" i="32"/>
  <c r="J4" i="32"/>
  <c r="G4" i="32"/>
  <c r="AE3" i="32"/>
  <c r="U3" i="32"/>
  <c r="Q3" i="32"/>
  <c r="M3" i="32"/>
  <c r="J3" i="32"/>
  <c r="G3" i="32"/>
  <c r="AE2" i="32"/>
  <c r="U2" i="32"/>
  <c r="Q2" i="32"/>
  <c r="M2" i="32"/>
  <c r="J2" i="32"/>
  <c r="G2" i="32"/>
  <c r="AE205" i="31"/>
  <c r="U205" i="31"/>
  <c r="Q205" i="31"/>
  <c r="M205" i="31"/>
  <c r="J205" i="31"/>
  <c r="G205" i="31"/>
  <c r="AE204" i="31"/>
  <c r="U204" i="31"/>
  <c r="Q204" i="31"/>
  <c r="M204" i="31"/>
  <c r="J204" i="31"/>
  <c r="G204" i="31"/>
  <c r="AE203" i="31"/>
  <c r="U203" i="31"/>
  <c r="Q203" i="31"/>
  <c r="M203" i="31"/>
  <c r="J203" i="31"/>
  <c r="G203" i="31"/>
  <c r="AE202" i="31"/>
  <c r="Q202" i="31"/>
  <c r="M202" i="31"/>
  <c r="J202" i="31"/>
  <c r="G202" i="31"/>
  <c r="AE201" i="31"/>
  <c r="U201" i="31"/>
  <c r="Q201" i="31"/>
  <c r="M201" i="31"/>
  <c r="J201" i="31"/>
  <c r="G201" i="31"/>
  <c r="AE200" i="31"/>
  <c r="Q200" i="31"/>
  <c r="M200" i="31"/>
  <c r="J200" i="31"/>
  <c r="G200" i="31"/>
  <c r="AE199" i="31"/>
  <c r="U199" i="31"/>
  <c r="Q199" i="31"/>
  <c r="M199" i="31"/>
  <c r="H199" i="31"/>
  <c r="J199" i="31" s="1"/>
  <c r="G199" i="31"/>
  <c r="AE198" i="31"/>
  <c r="U198" i="31"/>
  <c r="Q198" i="31"/>
  <c r="M198" i="31"/>
  <c r="J198" i="31"/>
  <c r="G198" i="31"/>
  <c r="AE197" i="31"/>
  <c r="U197" i="31"/>
  <c r="S197" i="31"/>
  <c r="Q197" i="31"/>
  <c r="M197" i="31"/>
  <c r="J197" i="31"/>
  <c r="G197" i="31"/>
  <c r="AE196" i="31"/>
  <c r="U196" i="31"/>
  <c r="Q196" i="31"/>
  <c r="M196" i="31"/>
  <c r="I196" i="31"/>
  <c r="J196" i="31" s="1"/>
  <c r="G196" i="31"/>
  <c r="AE195" i="31"/>
  <c r="U195" i="31"/>
  <c r="S195" i="31"/>
  <c r="Q195" i="31"/>
  <c r="M195" i="31"/>
  <c r="J195" i="31"/>
  <c r="G195" i="31"/>
  <c r="AE194" i="31"/>
  <c r="U194" i="31"/>
  <c r="S194" i="31"/>
  <c r="Q194" i="31"/>
  <c r="M194" i="31"/>
  <c r="J194" i="31"/>
  <c r="G194" i="31"/>
  <c r="AE193" i="31"/>
  <c r="U193" i="31"/>
  <c r="Q193" i="31"/>
  <c r="M193" i="31"/>
  <c r="J193" i="31"/>
  <c r="G193" i="31"/>
  <c r="AE192" i="31"/>
  <c r="U192" i="31"/>
  <c r="Q192" i="31"/>
  <c r="M192" i="31"/>
  <c r="J192" i="31"/>
  <c r="G192" i="31"/>
  <c r="AE191" i="31"/>
  <c r="U191" i="31"/>
  <c r="Q191" i="31"/>
  <c r="M191" i="31"/>
  <c r="J191" i="31"/>
  <c r="G191" i="31"/>
  <c r="AE190" i="31"/>
  <c r="S190" i="31"/>
  <c r="Q190" i="31"/>
  <c r="M190" i="31"/>
  <c r="J190" i="31"/>
  <c r="G190" i="31"/>
  <c r="AE189" i="31"/>
  <c r="J189" i="31"/>
  <c r="L189" i="31" s="1"/>
  <c r="M189" i="31" s="1"/>
  <c r="N189" i="31" s="1"/>
  <c r="G189" i="31"/>
  <c r="AE188" i="31"/>
  <c r="M188" i="31"/>
  <c r="J188" i="31"/>
  <c r="G188" i="31"/>
  <c r="AE187" i="31"/>
  <c r="J187" i="31"/>
  <c r="L187" i="31" s="1"/>
  <c r="M187" i="31" s="1"/>
  <c r="N187" i="31" s="1"/>
  <c r="G187" i="31"/>
  <c r="AE186" i="31"/>
  <c r="U186" i="31"/>
  <c r="S186" i="31"/>
  <c r="Q186" i="31"/>
  <c r="J186" i="31"/>
  <c r="L186" i="31" s="1"/>
  <c r="M186" i="31" s="1"/>
  <c r="N186" i="31" s="1"/>
  <c r="G186" i="31"/>
  <c r="M147" i="31"/>
  <c r="J147" i="31"/>
  <c r="G147" i="31"/>
  <c r="AF147" i="31" s="1"/>
  <c r="AE143" i="31"/>
  <c r="S143" i="31"/>
  <c r="Q143" i="31"/>
  <c r="M143" i="31"/>
  <c r="J143" i="31"/>
  <c r="G143" i="31"/>
  <c r="AE141" i="31"/>
  <c r="U141" i="31"/>
  <c r="Q141" i="31"/>
  <c r="M141" i="31"/>
  <c r="J141" i="31"/>
  <c r="G141" i="31"/>
  <c r="AE137" i="31"/>
  <c r="U137" i="31"/>
  <c r="Q137" i="31"/>
  <c r="M137" i="31"/>
  <c r="J137" i="31"/>
  <c r="G137" i="31"/>
  <c r="AE136" i="31"/>
  <c r="U136" i="31"/>
  <c r="Q136" i="31"/>
  <c r="M136" i="31"/>
  <c r="J136" i="31"/>
  <c r="G136" i="31"/>
  <c r="AE135" i="31"/>
  <c r="U135" i="31"/>
  <c r="Q135" i="31"/>
  <c r="M135" i="31"/>
  <c r="J135" i="31"/>
  <c r="G135" i="31"/>
  <c r="AE133" i="31"/>
  <c r="U133" i="31"/>
  <c r="Q133" i="31"/>
  <c r="M133" i="31"/>
  <c r="J133" i="31"/>
  <c r="G133" i="31"/>
  <c r="AE130" i="31"/>
  <c r="U130" i="31"/>
  <c r="Q130" i="31"/>
  <c r="M130" i="31"/>
  <c r="J130" i="31"/>
  <c r="G130" i="31"/>
  <c r="AE177" i="31"/>
  <c r="S177" i="31"/>
  <c r="Q177" i="31"/>
  <c r="M177" i="31"/>
  <c r="J177" i="31"/>
  <c r="G177" i="31"/>
  <c r="AE176" i="31"/>
  <c r="Q176" i="31"/>
  <c r="M176" i="31"/>
  <c r="J176" i="31"/>
  <c r="G176" i="31"/>
  <c r="AE175" i="31"/>
  <c r="Q175" i="31"/>
  <c r="M175" i="31"/>
  <c r="J175" i="31"/>
  <c r="G175" i="31"/>
  <c r="AE174" i="31"/>
  <c r="S174" i="31"/>
  <c r="Q174" i="31"/>
  <c r="M174" i="31"/>
  <c r="J174" i="31"/>
  <c r="G174" i="31"/>
  <c r="AE129" i="31"/>
  <c r="Q129" i="31"/>
  <c r="M129" i="31"/>
  <c r="J129" i="31"/>
  <c r="G129" i="31"/>
  <c r="AE123" i="31"/>
  <c r="S123" i="31"/>
  <c r="Q123" i="31"/>
  <c r="M123" i="31"/>
  <c r="J123" i="31"/>
  <c r="G123" i="31"/>
  <c r="AE121" i="31"/>
  <c r="S121" i="31"/>
  <c r="Q121" i="31"/>
  <c r="M121" i="31"/>
  <c r="J121" i="31"/>
  <c r="G121" i="31"/>
  <c r="AE120" i="31"/>
  <c r="S120" i="31"/>
  <c r="Q120" i="31"/>
  <c r="M120" i="31"/>
  <c r="J120" i="31"/>
  <c r="G120" i="31"/>
  <c r="AE169" i="31"/>
  <c r="S169" i="31"/>
  <c r="Q169" i="31"/>
  <c r="M169" i="31"/>
  <c r="J169" i="31"/>
  <c r="G169" i="31"/>
  <c r="AE168" i="31"/>
  <c r="S168" i="31"/>
  <c r="Q168" i="31"/>
  <c r="M168" i="31"/>
  <c r="J168" i="31"/>
  <c r="G168" i="31"/>
  <c r="AE167" i="31"/>
  <c r="Q167" i="31"/>
  <c r="M167" i="31"/>
  <c r="J167" i="31"/>
  <c r="G167" i="31"/>
  <c r="AE166" i="31"/>
  <c r="Q166" i="31"/>
  <c r="M166" i="31"/>
  <c r="J166" i="31"/>
  <c r="G166" i="31"/>
  <c r="AE165" i="31"/>
  <c r="Q165" i="31"/>
  <c r="M165" i="31"/>
  <c r="J165" i="31"/>
  <c r="G165" i="31"/>
  <c r="AE164" i="31"/>
  <c r="S164" i="31"/>
  <c r="Q164" i="31"/>
  <c r="M164" i="31"/>
  <c r="J164" i="31"/>
  <c r="G164" i="31"/>
  <c r="AE163" i="31"/>
  <c r="S163" i="31"/>
  <c r="Q163" i="31"/>
  <c r="M163" i="31"/>
  <c r="J163" i="31"/>
  <c r="G163" i="31"/>
  <c r="AE162" i="31"/>
  <c r="U162" i="31"/>
  <c r="S162" i="31"/>
  <c r="Q162" i="31"/>
  <c r="M162" i="31"/>
  <c r="J162" i="31"/>
  <c r="G162" i="31"/>
  <c r="AE117" i="31"/>
  <c r="U117" i="31"/>
  <c r="S117" i="31"/>
  <c r="Q117" i="31"/>
  <c r="M117" i="31"/>
  <c r="J117" i="31"/>
  <c r="G117" i="31"/>
  <c r="AE160" i="31"/>
  <c r="U160" i="31"/>
  <c r="S160" i="31"/>
  <c r="Q160" i="31"/>
  <c r="M160" i="31"/>
  <c r="J160" i="31"/>
  <c r="G160" i="31"/>
  <c r="AE116" i="31"/>
  <c r="Q116" i="31"/>
  <c r="M116" i="31"/>
  <c r="J116" i="31"/>
  <c r="G116" i="31"/>
  <c r="AE158" i="31"/>
  <c r="U158" i="31"/>
  <c r="S158" i="31"/>
  <c r="Q158" i="31"/>
  <c r="M158" i="31"/>
  <c r="J158" i="31"/>
  <c r="G158" i="31"/>
  <c r="AE112" i="31"/>
  <c r="U112" i="31"/>
  <c r="S112" i="31"/>
  <c r="Q112" i="31"/>
  <c r="M112" i="31"/>
  <c r="J112" i="31"/>
  <c r="G112" i="31"/>
  <c r="AE156" i="31"/>
  <c r="Q156" i="31"/>
  <c r="M156" i="31"/>
  <c r="J156" i="31"/>
  <c r="G156" i="31"/>
  <c r="AE155" i="31"/>
  <c r="S155" i="31"/>
  <c r="Q155" i="31"/>
  <c r="M155" i="31"/>
  <c r="J155" i="31"/>
  <c r="G155" i="31"/>
  <c r="AE154" i="31"/>
  <c r="Q154" i="31"/>
  <c r="M154" i="31"/>
  <c r="J154" i="31"/>
  <c r="G154" i="31"/>
  <c r="AE109" i="31"/>
  <c r="S109" i="31"/>
  <c r="Q109" i="31"/>
  <c r="M109" i="31"/>
  <c r="J109" i="31"/>
  <c r="G109" i="31"/>
  <c r="AE152" i="31"/>
  <c r="Q152" i="31"/>
  <c r="M152" i="31"/>
  <c r="J152" i="31"/>
  <c r="G152" i="31"/>
  <c r="AE151" i="31"/>
  <c r="S151" i="31"/>
  <c r="Q151" i="31"/>
  <c r="M151" i="31"/>
  <c r="J151" i="31"/>
  <c r="G151" i="31"/>
  <c r="AE150" i="31"/>
  <c r="S150" i="31"/>
  <c r="Q150" i="31"/>
  <c r="M150" i="31"/>
  <c r="J150" i="31"/>
  <c r="G150" i="31"/>
  <c r="AE149" i="31"/>
  <c r="Q149" i="31"/>
  <c r="M149" i="31"/>
  <c r="J149" i="31"/>
  <c r="G149" i="31"/>
  <c r="AE148" i="31"/>
  <c r="U148" i="31"/>
  <c r="S148" i="31"/>
  <c r="Q148" i="31"/>
  <c r="M148" i="31"/>
  <c r="J148" i="31"/>
  <c r="G148" i="31"/>
  <c r="AE106" i="31"/>
  <c r="Q106" i="31"/>
  <c r="M106" i="31"/>
  <c r="J106" i="31"/>
  <c r="G106" i="31"/>
  <c r="AE146" i="31"/>
  <c r="Q146" i="31"/>
  <c r="M146" i="31"/>
  <c r="J146" i="31"/>
  <c r="G146" i="31"/>
  <c r="AE145" i="31"/>
  <c r="Q145" i="31"/>
  <c r="M145" i="31"/>
  <c r="J145" i="31"/>
  <c r="G145" i="31"/>
  <c r="AE144" i="31"/>
  <c r="Q144" i="31"/>
  <c r="M144" i="31"/>
  <c r="J144" i="31"/>
  <c r="G144" i="31"/>
  <c r="AE105" i="31"/>
  <c r="U105" i="31"/>
  <c r="S105" i="31"/>
  <c r="Q105" i="31"/>
  <c r="M105" i="31"/>
  <c r="J105" i="31"/>
  <c r="G105" i="31"/>
  <c r="AE142" i="31"/>
  <c r="Q142" i="31"/>
  <c r="M142" i="31"/>
  <c r="J142" i="31"/>
  <c r="G142" i="31"/>
  <c r="AE104" i="31"/>
  <c r="U104" i="31"/>
  <c r="S104" i="31"/>
  <c r="Q104" i="31"/>
  <c r="M104" i="31"/>
  <c r="J104" i="31"/>
  <c r="G104" i="31"/>
  <c r="AE140" i="31"/>
  <c r="Q140" i="31"/>
  <c r="M140" i="31"/>
  <c r="J140" i="31"/>
  <c r="G140" i="31"/>
  <c r="AE139" i="31"/>
  <c r="Q139" i="31"/>
  <c r="M139" i="31"/>
  <c r="J139" i="31"/>
  <c r="G139" i="31"/>
  <c r="AE138" i="31"/>
  <c r="Q138" i="31"/>
  <c r="M138" i="31"/>
  <c r="J138" i="31"/>
  <c r="G138" i="31"/>
  <c r="AE103" i="31"/>
  <c r="U103" i="31"/>
  <c r="S103" i="31"/>
  <c r="Q103" i="31"/>
  <c r="M103" i="31"/>
  <c r="J103" i="31"/>
  <c r="G103" i="31"/>
  <c r="AE102" i="31"/>
  <c r="S102" i="31"/>
  <c r="Q102" i="31"/>
  <c r="M102" i="31"/>
  <c r="J102" i="31"/>
  <c r="G102" i="31"/>
  <c r="AE100" i="31"/>
  <c r="U100" i="31"/>
  <c r="S100" i="31"/>
  <c r="Q100" i="31"/>
  <c r="M100" i="31"/>
  <c r="J100" i="31"/>
  <c r="G100" i="31"/>
  <c r="AE134" i="31"/>
  <c r="Q134" i="31"/>
  <c r="M134" i="31"/>
  <c r="J134" i="31"/>
  <c r="G134" i="31"/>
  <c r="AE97" i="31"/>
  <c r="S97" i="31"/>
  <c r="Q97" i="31"/>
  <c r="M97" i="31"/>
  <c r="J97" i="31"/>
  <c r="G97" i="31"/>
  <c r="AE132" i="31"/>
  <c r="U132" i="31"/>
  <c r="Q132" i="31"/>
  <c r="M132" i="31"/>
  <c r="J132" i="31"/>
  <c r="G132" i="31"/>
  <c r="AE131" i="31"/>
  <c r="Q131" i="31"/>
  <c r="M131" i="31"/>
  <c r="J131" i="31"/>
  <c r="G131" i="31"/>
  <c r="AE95" i="31"/>
  <c r="S95" i="31"/>
  <c r="Q95" i="31"/>
  <c r="M95" i="31"/>
  <c r="J95" i="31"/>
  <c r="G95" i="31"/>
  <c r="AE94" i="31"/>
  <c r="Q94" i="31"/>
  <c r="M94" i="31"/>
  <c r="J94" i="31"/>
  <c r="G94" i="31"/>
  <c r="AE128" i="31"/>
  <c r="U128" i="31"/>
  <c r="Q128" i="31"/>
  <c r="M128" i="31"/>
  <c r="J128" i="31"/>
  <c r="G128" i="31"/>
  <c r="AE127" i="31"/>
  <c r="Q127" i="31"/>
  <c r="M127" i="31"/>
  <c r="J127" i="31"/>
  <c r="G127" i="31"/>
  <c r="AE126" i="31"/>
  <c r="U126" i="31"/>
  <c r="Q126" i="31"/>
  <c r="M126" i="31"/>
  <c r="J126" i="31"/>
  <c r="G126" i="31"/>
  <c r="AE125" i="31"/>
  <c r="Q125" i="31"/>
  <c r="M125" i="31"/>
  <c r="J125" i="31"/>
  <c r="G125" i="31"/>
  <c r="AE124" i="31"/>
  <c r="U124" i="31"/>
  <c r="Q124" i="31"/>
  <c r="M124" i="31"/>
  <c r="J124" i="31"/>
  <c r="G124" i="31"/>
  <c r="AE91" i="31"/>
  <c r="Q91" i="31"/>
  <c r="M91" i="31"/>
  <c r="J91" i="31"/>
  <c r="G91" i="31"/>
  <c r="AE122" i="31"/>
  <c r="Q122" i="31"/>
  <c r="M122" i="31"/>
  <c r="J122" i="31"/>
  <c r="G122" i="31"/>
  <c r="AE90" i="31"/>
  <c r="Q90" i="31"/>
  <c r="M90" i="31"/>
  <c r="J90" i="31"/>
  <c r="G90" i="31"/>
  <c r="AE88" i="31"/>
  <c r="U88" i="31"/>
  <c r="Q88" i="31"/>
  <c r="M88" i="31"/>
  <c r="J88" i="31"/>
  <c r="G88" i="31"/>
  <c r="AE119" i="31"/>
  <c r="Q119" i="31"/>
  <c r="M119" i="31"/>
  <c r="J119" i="31"/>
  <c r="G119" i="31"/>
  <c r="AE118" i="31"/>
  <c r="Q118" i="31"/>
  <c r="M118" i="31"/>
  <c r="J118" i="31"/>
  <c r="G118" i="31"/>
  <c r="AE87" i="31"/>
  <c r="S87" i="31"/>
  <c r="Q87" i="31"/>
  <c r="M87" i="31"/>
  <c r="J87" i="31"/>
  <c r="G87" i="31"/>
  <c r="AE85" i="31"/>
  <c r="Q85" i="31"/>
  <c r="M85" i="31"/>
  <c r="J85" i="31"/>
  <c r="G85" i="31"/>
  <c r="AE115" i="31"/>
  <c r="Q115" i="31"/>
  <c r="M115" i="31"/>
  <c r="J115" i="31"/>
  <c r="G115" i="31"/>
  <c r="AE114" i="31"/>
  <c r="U114" i="31"/>
  <c r="Q114" i="31"/>
  <c r="M114" i="31"/>
  <c r="J114" i="31"/>
  <c r="G114" i="31"/>
  <c r="AE113" i="31"/>
  <c r="U113" i="31"/>
  <c r="Q113" i="31"/>
  <c r="M113" i="31"/>
  <c r="J113" i="31"/>
  <c r="G113" i="31"/>
  <c r="AE84" i="31"/>
  <c r="U84" i="31"/>
  <c r="Q84" i="31"/>
  <c r="M84" i="31"/>
  <c r="J84" i="31"/>
  <c r="G84" i="31"/>
  <c r="AE111" i="31"/>
  <c r="Q111" i="31"/>
  <c r="M111" i="31"/>
  <c r="J111" i="31"/>
  <c r="G111" i="31"/>
  <c r="AE110" i="31"/>
  <c r="U110" i="31"/>
  <c r="Q110" i="31"/>
  <c r="M110" i="31"/>
  <c r="J110" i="31"/>
  <c r="G110" i="31"/>
  <c r="AE83" i="31"/>
  <c r="Q83" i="31"/>
  <c r="M83" i="31"/>
  <c r="J83" i="31"/>
  <c r="G83" i="31"/>
  <c r="AE108" i="31"/>
  <c r="Q108" i="31"/>
  <c r="M108" i="31"/>
  <c r="J108" i="31"/>
  <c r="G108" i="31"/>
  <c r="AE107" i="31"/>
  <c r="U107" i="31"/>
  <c r="Q107" i="31"/>
  <c r="M107" i="31"/>
  <c r="J107" i="31"/>
  <c r="G107" i="31"/>
  <c r="AE81" i="31"/>
  <c r="Q81" i="31"/>
  <c r="M81" i="31"/>
  <c r="J81" i="31"/>
  <c r="G81" i="31"/>
  <c r="AE80" i="31"/>
  <c r="Q80" i="31"/>
  <c r="M80" i="31"/>
  <c r="J80" i="31"/>
  <c r="G80" i="31"/>
  <c r="AE79" i="31"/>
  <c r="U79" i="31"/>
  <c r="S79" i="31"/>
  <c r="Q79" i="31"/>
  <c r="M79" i="31"/>
  <c r="J79" i="31"/>
  <c r="G79" i="31"/>
  <c r="AE76" i="31"/>
  <c r="S76" i="31"/>
  <c r="Q76" i="31"/>
  <c r="J76" i="31"/>
  <c r="G76" i="31"/>
  <c r="AE75" i="31"/>
  <c r="S75" i="31"/>
  <c r="Q75" i="31"/>
  <c r="M75" i="31"/>
  <c r="J75" i="31"/>
  <c r="G75" i="31"/>
  <c r="AE101" i="31"/>
  <c r="U101" i="31"/>
  <c r="Q101" i="31"/>
  <c r="M101" i="31"/>
  <c r="J101" i="31"/>
  <c r="G101" i="31"/>
  <c r="AE74" i="31"/>
  <c r="S74" i="31"/>
  <c r="Q74" i="31"/>
  <c r="M74" i="31"/>
  <c r="J74" i="31"/>
  <c r="G74" i="31"/>
  <c r="AE99" i="31"/>
  <c r="U99" i="31"/>
  <c r="Q99" i="31"/>
  <c r="M99" i="31"/>
  <c r="J99" i="31"/>
  <c r="G99" i="31"/>
  <c r="AE98" i="31"/>
  <c r="U98" i="31"/>
  <c r="Q98" i="31"/>
  <c r="M98" i="31"/>
  <c r="J98" i="31"/>
  <c r="G98" i="31"/>
  <c r="AE73" i="31"/>
  <c r="Q73" i="31"/>
  <c r="M73" i="31"/>
  <c r="J73" i="31"/>
  <c r="G73" i="31"/>
  <c r="AE96" i="31"/>
  <c r="U96" i="31"/>
  <c r="Q96" i="31"/>
  <c r="M96" i="31"/>
  <c r="J96" i="31"/>
  <c r="G96" i="31"/>
  <c r="AE72" i="31"/>
  <c r="U72" i="31"/>
  <c r="S72" i="31"/>
  <c r="Q72" i="31"/>
  <c r="M72" i="31"/>
  <c r="J72" i="31"/>
  <c r="G72" i="31"/>
  <c r="AE71" i="31"/>
  <c r="U71" i="31"/>
  <c r="S71" i="31"/>
  <c r="Q71" i="31"/>
  <c r="M71" i="31"/>
  <c r="J71" i="31"/>
  <c r="G71" i="31"/>
  <c r="AE93" i="31"/>
  <c r="U93" i="31"/>
  <c r="Q93" i="31"/>
  <c r="M93" i="31"/>
  <c r="J93" i="31"/>
  <c r="G93" i="31"/>
  <c r="AE92" i="31"/>
  <c r="U92" i="31"/>
  <c r="Q92" i="31"/>
  <c r="M92" i="31"/>
  <c r="J92" i="31"/>
  <c r="G92" i="31"/>
  <c r="AE70" i="31"/>
  <c r="U70" i="31"/>
  <c r="S70" i="31"/>
  <c r="Q70" i="31"/>
  <c r="M70" i="31"/>
  <c r="J70" i="31"/>
  <c r="G70" i="31"/>
  <c r="AE69" i="31"/>
  <c r="U69" i="31"/>
  <c r="S69" i="31"/>
  <c r="Q69" i="31"/>
  <c r="M69" i="31"/>
  <c r="J69" i="31"/>
  <c r="G69" i="31"/>
  <c r="AE89" i="31"/>
  <c r="Q89" i="31"/>
  <c r="M89" i="31"/>
  <c r="J89" i="31"/>
  <c r="G89" i="31"/>
  <c r="AE67" i="31"/>
  <c r="Q67" i="31"/>
  <c r="M67" i="31"/>
  <c r="J67" i="31"/>
  <c r="G67" i="31"/>
  <c r="AE66" i="31"/>
  <c r="Q66" i="31"/>
  <c r="M66" i="31"/>
  <c r="J66" i="31"/>
  <c r="G66" i="31"/>
  <c r="AE86" i="31"/>
  <c r="Q86" i="31"/>
  <c r="M86" i="31"/>
  <c r="J86" i="31"/>
  <c r="G86" i="31"/>
  <c r="AE64" i="31"/>
  <c r="Q64" i="31"/>
  <c r="M64" i="31"/>
  <c r="J64" i="31"/>
  <c r="G64" i="31"/>
  <c r="AE63" i="31"/>
  <c r="S63" i="31"/>
  <c r="Q63" i="31"/>
  <c r="M63" i="31"/>
  <c r="J63" i="31"/>
  <c r="G63" i="31"/>
  <c r="AE61" i="31"/>
  <c r="U61" i="31"/>
  <c r="S61" i="31"/>
  <c r="Q61" i="31"/>
  <c r="M61" i="31"/>
  <c r="J61" i="31"/>
  <c r="G61" i="31"/>
  <c r="AE82" i="31"/>
  <c r="U82" i="31"/>
  <c r="S82" i="31"/>
  <c r="Q82" i="31"/>
  <c r="M82" i="31"/>
  <c r="J82" i="31"/>
  <c r="G82" i="31"/>
  <c r="AE58" i="31"/>
  <c r="U58" i="31"/>
  <c r="Q58" i="31"/>
  <c r="M58" i="31"/>
  <c r="J58" i="31"/>
  <c r="G58" i="31"/>
  <c r="AE57" i="31"/>
  <c r="U57" i="31"/>
  <c r="Q57" i="31"/>
  <c r="M57" i="31"/>
  <c r="J57" i="31"/>
  <c r="G57" i="31"/>
  <c r="AE56" i="31"/>
  <c r="S56" i="31"/>
  <c r="Q56" i="31"/>
  <c r="M56" i="31"/>
  <c r="J56" i="31"/>
  <c r="G56" i="31"/>
  <c r="AE78" i="31"/>
  <c r="U78" i="31"/>
  <c r="Q78" i="31"/>
  <c r="M78" i="31"/>
  <c r="J78" i="31"/>
  <c r="G78" i="31"/>
  <c r="AE77" i="31"/>
  <c r="Q77" i="31"/>
  <c r="M77" i="31"/>
  <c r="J77" i="31"/>
  <c r="G77" i="31"/>
  <c r="AE55" i="31"/>
  <c r="U55" i="31"/>
  <c r="S55" i="31"/>
  <c r="Q55" i="31"/>
  <c r="M55" i="31"/>
  <c r="J55" i="31"/>
  <c r="G55" i="31"/>
  <c r="AE54" i="31"/>
  <c r="U54" i="31"/>
  <c r="Q54" i="31"/>
  <c r="M54" i="31"/>
  <c r="J54" i="31"/>
  <c r="G54" i="31"/>
  <c r="AE53" i="31"/>
  <c r="U53" i="31"/>
  <c r="S53" i="31"/>
  <c r="Q53" i="31"/>
  <c r="M53" i="31"/>
  <c r="J53" i="31"/>
  <c r="G53" i="31"/>
  <c r="AE52" i="31"/>
  <c r="U52" i="31"/>
  <c r="S52" i="31"/>
  <c r="Q52" i="31"/>
  <c r="M52" i="31"/>
  <c r="J52" i="31"/>
  <c r="G52" i="31"/>
  <c r="AE51" i="31"/>
  <c r="U51" i="31"/>
  <c r="S51" i="31"/>
  <c r="Q51" i="31"/>
  <c r="M51" i="31"/>
  <c r="J51" i="31"/>
  <c r="G51" i="31"/>
  <c r="AE50" i="31"/>
  <c r="U50" i="31"/>
  <c r="Q50" i="31"/>
  <c r="M50" i="31"/>
  <c r="J50" i="31"/>
  <c r="G50" i="31"/>
  <c r="AE49" i="31"/>
  <c r="U49" i="31"/>
  <c r="Q49" i="31"/>
  <c r="M49" i="31"/>
  <c r="J49" i="31"/>
  <c r="G49" i="31"/>
  <c r="AE48" i="31"/>
  <c r="U48" i="31"/>
  <c r="Q48" i="31"/>
  <c r="M48" i="31"/>
  <c r="J48" i="31"/>
  <c r="G48" i="31"/>
  <c r="AE68" i="31"/>
  <c r="U68" i="31"/>
  <c r="Q68" i="31"/>
  <c r="M68" i="31"/>
  <c r="J68" i="31"/>
  <c r="G68" i="31"/>
  <c r="AE47" i="31"/>
  <c r="U47" i="31"/>
  <c r="S47" i="31"/>
  <c r="Q47" i="31"/>
  <c r="M47" i="31"/>
  <c r="J47" i="31"/>
  <c r="G47" i="31"/>
  <c r="AE46" i="31"/>
  <c r="U46" i="31"/>
  <c r="Q46" i="31"/>
  <c r="M46" i="31"/>
  <c r="J46" i="31"/>
  <c r="G46" i="31"/>
  <c r="AE65" i="31"/>
  <c r="U65" i="31"/>
  <c r="Q65" i="31"/>
  <c r="M65" i="31"/>
  <c r="J65" i="31"/>
  <c r="G65" i="31"/>
  <c r="AE45" i="31"/>
  <c r="U45" i="31"/>
  <c r="Q45" i="31"/>
  <c r="J45" i="31"/>
  <c r="G45" i="31"/>
  <c r="AE42" i="31"/>
  <c r="Q42" i="31"/>
  <c r="M42" i="31"/>
  <c r="J42" i="31"/>
  <c r="G42" i="31"/>
  <c r="AE62" i="31"/>
  <c r="Q62" i="31"/>
  <c r="M62" i="31"/>
  <c r="J62" i="31"/>
  <c r="G62" i="31"/>
  <c r="AE41" i="31"/>
  <c r="Q41" i="31"/>
  <c r="M41" i="31"/>
  <c r="J41" i="31"/>
  <c r="G41" i="31"/>
  <c r="AE60" i="31"/>
  <c r="Q60" i="31"/>
  <c r="M60" i="31"/>
  <c r="J60" i="31"/>
  <c r="G60" i="31"/>
  <c r="AE59" i="31"/>
  <c r="Q59" i="31"/>
  <c r="M59" i="31"/>
  <c r="J59" i="31"/>
  <c r="G59" i="31"/>
  <c r="AE40" i="31"/>
  <c r="U40" i="31"/>
  <c r="S40" i="31"/>
  <c r="Q40" i="31"/>
  <c r="M40" i="31"/>
  <c r="J40" i="31"/>
  <c r="G40" i="31"/>
  <c r="AE37" i="31"/>
  <c r="U37" i="31"/>
  <c r="Q37" i="31"/>
  <c r="M37" i="31"/>
  <c r="J37" i="31"/>
  <c r="G37" i="31"/>
  <c r="AE35" i="31"/>
  <c r="U35" i="31"/>
  <c r="Q35" i="31"/>
  <c r="M35" i="31"/>
  <c r="J35" i="31"/>
  <c r="G35" i="31"/>
  <c r="AE34" i="31"/>
  <c r="U34" i="31"/>
  <c r="Q34" i="31"/>
  <c r="M34" i="31"/>
  <c r="J34" i="31"/>
  <c r="G34" i="31"/>
  <c r="AE33" i="31"/>
  <c r="U33" i="31"/>
  <c r="Q33" i="31"/>
  <c r="M33" i="31"/>
  <c r="J33" i="31"/>
  <c r="G33" i="31"/>
  <c r="AE32" i="31"/>
  <c r="U32" i="31"/>
  <c r="Q32" i="31"/>
  <c r="M32" i="31"/>
  <c r="J32" i="31"/>
  <c r="G32" i="31"/>
  <c r="AE31" i="31"/>
  <c r="U31" i="31"/>
  <c r="Q31" i="31"/>
  <c r="M31" i="31"/>
  <c r="J31" i="31"/>
  <c r="G31" i="31"/>
  <c r="AE30" i="31"/>
  <c r="U30" i="31"/>
  <c r="Q30" i="31"/>
  <c r="M30" i="31"/>
  <c r="J30" i="31"/>
  <c r="G30" i="31"/>
  <c r="AE29" i="31"/>
  <c r="U29" i="31"/>
  <c r="Q29" i="31"/>
  <c r="M29" i="31"/>
  <c r="J29" i="31"/>
  <c r="G29" i="31"/>
  <c r="AE28" i="31"/>
  <c r="U28" i="31"/>
  <c r="Q28" i="31"/>
  <c r="M28" i="31"/>
  <c r="J28" i="31"/>
  <c r="G28" i="31"/>
  <c r="AE27" i="31"/>
  <c r="S27" i="31"/>
  <c r="Q27" i="31"/>
  <c r="M27" i="31"/>
  <c r="J27" i="31"/>
  <c r="G27" i="31"/>
  <c r="AE26" i="31"/>
  <c r="U26" i="31"/>
  <c r="Q26" i="31"/>
  <c r="M26" i="31"/>
  <c r="J26" i="31"/>
  <c r="G26" i="31"/>
  <c r="AE23" i="31"/>
  <c r="U23" i="31"/>
  <c r="Q23" i="31"/>
  <c r="M23" i="31"/>
  <c r="J23" i="31"/>
  <c r="G23" i="31"/>
  <c r="AE22" i="31"/>
  <c r="U22" i="31"/>
  <c r="S22" i="31"/>
  <c r="Q22" i="31"/>
  <c r="M22" i="31"/>
  <c r="J22" i="31"/>
  <c r="G22" i="31"/>
  <c r="AE44" i="31"/>
  <c r="Q44" i="31"/>
  <c r="M44" i="31"/>
  <c r="J44" i="31"/>
  <c r="G44" i="31"/>
  <c r="AE43" i="31"/>
  <c r="U43" i="31"/>
  <c r="Q43" i="31"/>
  <c r="M43" i="31"/>
  <c r="J43" i="31"/>
  <c r="G43" i="31"/>
  <c r="AE19" i="31"/>
  <c r="U19" i="31"/>
  <c r="Q19" i="31"/>
  <c r="M19" i="31"/>
  <c r="J19" i="31"/>
  <c r="G19" i="31"/>
  <c r="AE18" i="31"/>
  <c r="U18" i="31"/>
  <c r="Q18" i="31"/>
  <c r="M18" i="31"/>
  <c r="J18" i="31"/>
  <c r="G18" i="31"/>
  <c r="AE17" i="31"/>
  <c r="U17" i="31"/>
  <c r="Q17" i="31"/>
  <c r="M17" i="31"/>
  <c r="J17" i="31"/>
  <c r="G17" i="31"/>
  <c r="AE39" i="31"/>
  <c r="U39" i="31"/>
  <c r="Q39" i="31"/>
  <c r="M39" i="31"/>
  <c r="J39" i="31"/>
  <c r="G39" i="31"/>
  <c r="AE38" i="31"/>
  <c r="U38" i="31"/>
  <c r="Q38" i="31"/>
  <c r="M38" i="31"/>
  <c r="J38" i="31"/>
  <c r="G38" i="31"/>
  <c r="AE14" i="31"/>
  <c r="U14" i="31"/>
  <c r="Q14" i="31"/>
  <c r="M14" i="31"/>
  <c r="J14" i="31"/>
  <c r="G14" i="31"/>
  <c r="AE36" i="31"/>
  <c r="U36" i="31"/>
  <c r="Q36" i="31"/>
  <c r="M36" i="31"/>
  <c r="J36" i="31"/>
  <c r="G36" i="31"/>
  <c r="AE13" i="31"/>
  <c r="U13" i="31"/>
  <c r="Q13" i="31"/>
  <c r="M13" i="31"/>
  <c r="J13" i="31"/>
  <c r="G13" i="31"/>
  <c r="AE6" i="31"/>
  <c r="U6" i="31"/>
  <c r="Q6" i="31"/>
  <c r="M6" i="31"/>
  <c r="J6" i="31"/>
  <c r="G6" i="31"/>
  <c r="AE12" i="31"/>
  <c r="U12" i="31"/>
  <c r="Q12" i="31"/>
  <c r="M12" i="31"/>
  <c r="J12" i="31"/>
  <c r="G12" i="31"/>
  <c r="AF12" i="31" s="1"/>
  <c r="AE11" i="31"/>
  <c r="U11" i="31"/>
  <c r="Q11" i="31"/>
  <c r="M11" i="31"/>
  <c r="J11" i="31"/>
  <c r="G11" i="31"/>
  <c r="AF11" i="31" s="1"/>
  <c r="AE10" i="31"/>
  <c r="U10" i="31"/>
  <c r="Q10" i="31"/>
  <c r="M10" i="31"/>
  <c r="J10" i="31"/>
  <c r="G10" i="31"/>
  <c r="AF10" i="31" s="1"/>
  <c r="AE185" i="31"/>
  <c r="U185" i="31"/>
  <c r="Q185" i="31"/>
  <c r="M185" i="31"/>
  <c r="J185" i="31"/>
  <c r="G185" i="31"/>
  <c r="AE184" i="31"/>
  <c r="U184" i="31"/>
  <c r="S184" i="31"/>
  <c r="Q184" i="31"/>
  <c r="M184" i="31"/>
  <c r="J184" i="31"/>
  <c r="G184" i="31"/>
  <c r="AE9" i="31"/>
  <c r="U9" i="31"/>
  <c r="Q9" i="31"/>
  <c r="M9" i="31"/>
  <c r="J9" i="31"/>
  <c r="G9" i="31"/>
  <c r="AF9" i="31" s="1"/>
  <c r="AE183" i="31"/>
  <c r="U183" i="31"/>
  <c r="Q183" i="31"/>
  <c r="M183" i="31"/>
  <c r="J183" i="31"/>
  <c r="G183" i="31"/>
  <c r="AE8" i="31"/>
  <c r="U8" i="31"/>
  <c r="Q8" i="31"/>
  <c r="M8" i="31"/>
  <c r="J8" i="31"/>
  <c r="G8" i="31"/>
  <c r="AF8" i="31" s="1"/>
  <c r="AE25" i="31"/>
  <c r="S25" i="31"/>
  <c r="Q25" i="31"/>
  <c r="M25" i="31"/>
  <c r="J25" i="31"/>
  <c r="G25" i="31"/>
  <c r="AF25" i="31" s="1"/>
  <c r="AE24" i="31"/>
  <c r="M24" i="31"/>
  <c r="J24" i="31"/>
  <c r="G24" i="31"/>
  <c r="AF24" i="31" s="1"/>
  <c r="AE3" i="31"/>
  <c r="U3" i="31"/>
  <c r="S3" i="31"/>
  <c r="Q3" i="31"/>
  <c r="M3" i="31"/>
  <c r="J3" i="31"/>
  <c r="G3" i="31"/>
  <c r="AE7" i="31"/>
  <c r="U7" i="31"/>
  <c r="Q7" i="31"/>
  <c r="J7" i="31"/>
  <c r="N7" i="31" s="1"/>
  <c r="G7" i="31"/>
  <c r="AF7" i="31" s="1"/>
  <c r="AE21" i="31"/>
  <c r="Q21" i="31"/>
  <c r="M21" i="31"/>
  <c r="J21" i="31"/>
  <c r="G21" i="31"/>
  <c r="AF21" i="31" s="1"/>
  <c r="AE20" i="31"/>
  <c r="Q20" i="31"/>
  <c r="M20" i="31"/>
  <c r="J20" i="31"/>
  <c r="G20" i="31"/>
  <c r="AF20" i="31" s="1"/>
  <c r="AE182" i="31"/>
  <c r="U182" i="31"/>
  <c r="Q182" i="31"/>
  <c r="M182" i="31"/>
  <c r="J182" i="31"/>
  <c r="G182" i="31"/>
  <c r="AE181" i="31"/>
  <c r="U181" i="31"/>
  <c r="Q181" i="31"/>
  <c r="J181" i="31"/>
  <c r="N181" i="31" s="1"/>
  <c r="G181" i="31"/>
  <c r="AE180" i="31"/>
  <c r="U180" i="31"/>
  <c r="S180" i="31"/>
  <c r="Q180" i="31"/>
  <c r="M180" i="31"/>
  <c r="J180" i="31"/>
  <c r="G180" i="31"/>
  <c r="AE16" i="31"/>
  <c r="U16" i="31"/>
  <c r="Q16" i="31"/>
  <c r="M16" i="31"/>
  <c r="J16" i="31"/>
  <c r="G16" i="31"/>
  <c r="AF16" i="31" s="1"/>
  <c r="AE15" i="31"/>
  <c r="U15" i="31"/>
  <c r="Q15" i="31"/>
  <c r="M15" i="31"/>
  <c r="J15" i="31"/>
  <c r="G15" i="31"/>
  <c r="AE179" i="31"/>
  <c r="U179" i="31"/>
  <c r="Q179" i="31"/>
  <c r="M179" i="31"/>
  <c r="J179" i="31"/>
  <c r="G179" i="31"/>
  <c r="A14" i="31"/>
  <c r="A15" i="31" s="1"/>
  <c r="A16" i="31" s="1"/>
  <c r="A17" i="31" s="1"/>
  <c r="A18" i="31" s="1"/>
  <c r="A19" i="31" s="1"/>
  <c r="A20" i="31" s="1"/>
  <c r="A21" i="31" s="1"/>
  <c r="A22" i="31" s="1"/>
  <c r="A23" i="31" s="1"/>
  <c r="A24" i="31" s="1"/>
  <c r="A25" i="31" s="1"/>
  <c r="A26" i="31" s="1"/>
  <c r="A27" i="31" s="1"/>
  <c r="A28" i="31" s="1"/>
  <c r="A29" i="31" s="1"/>
  <c r="AE178" i="31"/>
  <c r="U178" i="31"/>
  <c r="Q178" i="31"/>
  <c r="M178" i="31"/>
  <c r="J178" i="31"/>
  <c r="G178" i="31"/>
  <c r="AE2" i="31"/>
  <c r="U2" i="31"/>
  <c r="Q2" i="31"/>
  <c r="M2" i="31"/>
  <c r="J2" i="31"/>
  <c r="G2" i="31"/>
  <c r="AE173" i="31"/>
  <c r="U173" i="31"/>
  <c r="Q173" i="31"/>
  <c r="M173" i="31"/>
  <c r="J173" i="31"/>
  <c r="G173" i="31"/>
  <c r="AE172" i="31"/>
  <c r="U172" i="31"/>
  <c r="Q172" i="31"/>
  <c r="M172" i="31"/>
  <c r="J172" i="31"/>
  <c r="G172" i="31"/>
  <c r="AE171" i="31"/>
  <c r="U171" i="31"/>
  <c r="Q171" i="31"/>
  <c r="M171" i="31"/>
  <c r="J171" i="31"/>
  <c r="G171" i="31"/>
  <c r="AE170" i="31"/>
  <c r="U170" i="31"/>
  <c r="Q170" i="31"/>
  <c r="M170" i="31"/>
  <c r="J170" i="31"/>
  <c r="G170" i="31"/>
  <c r="AE161" i="31"/>
  <c r="U161" i="31"/>
  <c r="Q161" i="31"/>
  <c r="M161" i="31"/>
  <c r="J161" i="31"/>
  <c r="G161" i="31"/>
  <c r="AE159" i="31"/>
  <c r="U159" i="31"/>
  <c r="Q159" i="31"/>
  <c r="M159" i="31"/>
  <c r="J159" i="31"/>
  <c r="G159" i="31"/>
  <c r="AE5" i="31"/>
  <c r="Q5" i="31"/>
  <c r="M5" i="31"/>
  <c r="J5" i="31"/>
  <c r="G5" i="31"/>
  <c r="AE4" i="31"/>
  <c r="U4" i="31"/>
  <c r="S4" i="31"/>
  <c r="Q4" i="31"/>
  <c r="M4" i="31"/>
  <c r="J4" i="31"/>
  <c r="G4" i="31"/>
  <c r="AE157" i="31"/>
  <c r="U157" i="31"/>
  <c r="Q157" i="31"/>
  <c r="M157" i="31"/>
  <c r="J157" i="31"/>
  <c r="G157" i="31"/>
  <c r="AE153" i="31"/>
  <c r="U153" i="31"/>
  <c r="Q153" i="31"/>
  <c r="M153" i="31"/>
  <c r="J153" i="31"/>
  <c r="G153" i="31"/>
  <c r="N188" i="32" l="1"/>
  <c r="AF180" i="31"/>
  <c r="N201" i="31"/>
  <c r="AF3" i="31"/>
  <c r="AF184" i="31"/>
  <c r="N201" i="32"/>
  <c r="N184" i="32"/>
  <c r="N194" i="32"/>
  <c r="N195" i="32"/>
  <c r="N185" i="32"/>
  <c r="AF197" i="32"/>
  <c r="N194" i="31"/>
  <c r="AF67" i="32"/>
  <c r="AF91" i="32"/>
  <c r="AF73" i="32"/>
  <c r="AF104" i="32"/>
  <c r="AF161" i="32"/>
  <c r="AF195" i="32"/>
  <c r="AF45" i="32"/>
  <c r="N193" i="32"/>
  <c r="N5" i="32"/>
  <c r="AF58" i="32"/>
  <c r="AF83" i="32"/>
  <c r="AF95" i="32"/>
  <c r="AF141" i="32"/>
  <c r="AF157" i="32"/>
  <c r="N199" i="32"/>
  <c r="AF76" i="32"/>
  <c r="AF143" i="32"/>
  <c r="AF162" i="31"/>
  <c r="AF188" i="32"/>
  <c r="AF4" i="32"/>
  <c r="AF189" i="32"/>
  <c r="A31" i="32"/>
  <c r="A30" i="32"/>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7" i="32" s="1"/>
  <c r="N20" i="32"/>
  <c r="AF74" i="32"/>
  <c r="AF137" i="32"/>
  <c r="AF154" i="32"/>
  <c r="AF156" i="32"/>
  <c r="N17" i="32"/>
  <c r="AF90" i="32"/>
  <c r="AF68" i="32"/>
  <c r="AF94" i="32"/>
  <c r="AF186" i="32"/>
  <c r="AF72" i="32"/>
  <c r="AF135" i="32"/>
  <c r="AF144" i="32"/>
  <c r="AF155" i="32"/>
  <c r="AF194" i="32"/>
  <c r="AF51" i="31"/>
  <c r="AF61" i="31"/>
  <c r="AF100" i="31"/>
  <c r="N147" i="31"/>
  <c r="N195" i="31"/>
  <c r="N199" i="31"/>
  <c r="N143" i="31"/>
  <c r="AF189" i="31"/>
  <c r="N180" i="31"/>
  <c r="N24" i="31"/>
  <c r="AF82" i="31"/>
  <c r="AF71" i="31"/>
  <c r="AF69" i="31"/>
  <c r="AF187" i="31"/>
  <c r="N193" i="31"/>
  <c r="AF55" i="31"/>
  <c r="N5" i="31"/>
  <c r="AF53" i="31"/>
  <c r="AF70" i="31"/>
  <c r="AF105" i="31"/>
  <c r="AF158" i="31"/>
  <c r="AF197" i="31"/>
  <c r="AF103" i="31"/>
  <c r="AF186" i="31"/>
  <c r="AF194" i="31"/>
  <c r="AF148" i="31"/>
  <c r="AF160" i="31"/>
  <c r="AF188" i="31"/>
  <c r="AF4" i="31"/>
  <c r="AF40" i="31"/>
  <c r="AF79" i="31"/>
  <c r="A31" i="31"/>
  <c r="A30" i="3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7" i="31" s="1"/>
  <c r="AF195" i="31"/>
  <c r="AF47" i="31"/>
  <c r="AF52" i="31"/>
  <c r="N188" i="31"/>
  <c r="AF22" i="31"/>
  <c r="AF72" i="31"/>
  <c r="AF104" i="31"/>
  <c r="AF112" i="31"/>
  <c r="AF117" i="31"/>
  <c r="H239" i="27"/>
  <c r="R239" i="27"/>
  <c r="V239" i="27"/>
  <c r="AG239" i="27"/>
  <c r="R31" i="27" l="1"/>
  <c r="V31" i="27"/>
  <c r="AG31" i="27"/>
  <c r="H31" i="27" l="1"/>
  <c r="AH31" i="27" s="1"/>
  <c r="K31" i="27"/>
  <c r="R14" i="27"/>
  <c r="V14" i="27"/>
  <c r="AG14" i="27"/>
  <c r="R39" i="27"/>
  <c r="V39" i="27"/>
  <c r="AG39" i="27"/>
  <c r="H39" i="27"/>
  <c r="AH39" i="27" s="1"/>
  <c r="K39" i="27"/>
  <c r="N39" i="27"/>
  <c r="R200" i="27"/>
  <c r="V200" i="27"/>
  <c r="H200" i="27"/>
  <c r="K200" i="27"/>
  <c r="N200" i="27"/>
  <c r="AG200" i="27"/>
  <c r="V198" i="27"/>
  <c r="R198" i="27"/>
  <c r="H198" i="27"/>
  <c r="K198" i="27"/>
  <c r="N198" i="27"/>
  <c r="AG198" i="27"/>
  <c r="H14" i="27" l="1"/>
  <c r="K14" i="27"/>
  <c r="N14" i="27"/>
  <c r="H21" i="27" l="1"/>
  <c r="K21" i="27"/>
  <c r="N21" i="27"/>
  <c r="R21" i="27"/>
  <c r="V21" i="27"/>
  <c r="AG21" i="27"/>
  <c r="V213" i="27"/>
  <c r="R213" i="27"/>
  <c r="H213" i="27"/>
  <c r="K213" i="27"/>
  <c r="N213" i="27"/>
  <c r="AG213" i="27"/>
  <c r="AG79" i="27" l="1"/>
  <c r="V79" i="27"/>
  <c r="R79" i="27"/>
  <c r="N79" i="27"/>
  <c r="K79" i="27"/>
  <c r="H79" i="27"/>
  <c r="AG17" i="27" l="1"/>
  <c r="T17" i="27"/>
  <c r="R17" i="27"/>
  <c r="H17" i="27"/>
  <c r="K17" i="27"/>
  <c r="N17" i="27"/>
  <c r="R15" i="27" l="1"/>
  <c r="H15" i="27"/>
  <c r="K15" i="27"/>
  <c r="N15" i="27"/>
  <c r="AG15" i="27"/>
  <c r="R28" i="27" l="1"/>
  <c r="V28" i="27"/>
  <c r="AG28" i="27"/>
  <c r="V202" i="27"/>
  <c r="AG202" i="27"/>
  <c r="H28" i="27"/>
  <c r="K28" i="27"/>
  <c r="N28" i="27"/>
  <c r="R202" i="27" l="1"/>
  <c r="H202" i="27"/>
  <c r="K202" i="27"/>
  <c r="N202" i="27"/>
  <c r="R245" i="27" l="1"/>
  <c r="H218" i="27"/>
  <c r="H18" i="27"/>
  <c r="H46" i="27"/>
  <c r="H35" i="27"/>
  <c r="AH35" i="27" s="1"/>
  <c r="H5" i="27"/>
  <c r="H165" i="27"/>
  <c r="H153" i="27"/>
  <c r="H226" i="27"/>
  <c r="H50" i="27"/>
  <c r="H23" i="27"/>
  <c r="H232" i="27"/>
  <c r="H156" i="27"/>
  <c r="H34" i="27"/>
  <c r="AH34" i="27" s="1"/>
  <c r="H6" i="27"/>
  <c r="H178" i="27"/>
  <c r="H219" i="27"/>
  <c r="H26" i="27"/>
  <c r="H177" i="27"/>
  <c r="H40" i="27"/>
  <c r="AH40" i="27" s="1"/>
  <c r="H179" i="27"/>
  <c r="H163" i="27"/>
  <c r="H157" i="27"/>
  <c r="H233" i="27"/>
  <c r="H24" i="27"/>
  <c r="H90" i="27"/>
  <c r="H56" i="27"/>
  <c r="H25" i="27"/>
  <c r="H152" i="27"/>
  <c r="H185" i="27"/>
  <c r="H167" i="27"/>
  <c r="H168" i="27"/>
  <c r="H161" i="27"/>
  <c r="H20" i="27"/>
  <c r="H60" i="27"/>
  <c r="H61" i="27"/>
  <c r="H227" i="27"/>
  <c r="H62" i="27"/>
  <c r="H51" i="27"/>
  <c r="H71" i="27"/>
  <c r="H66" i="27"/>
  <c r="H65" i="27"/>
  <c r="H67" i="27"/>
  <c r="H182" i="27"/>
  <c r="H99" i="27"/>
  <c r="H183" i="27"/>
  <c r="H184" i="27"/>
  <c r="H175" i="27"/>
  <c r="H68" i="27"/>
  <c r="H228" i="27"/>
  <c r="H95" i="27"/>
  <c r="H69" i="27"/>
  <c r="H92" i="27"/>
  <c r="H84" i="27"/>
  <c r="H70" i="27"/>
  <c r="H58" i="27"/>
  <c r="H236" i="27"/>
  <c r="H242" i="27"/>
  <c r="H4" i="27"/>
  <c r="H189" i="27"/>
  <c r="H75" i="27"/>
  <c r="H187" i="27"/>
  <c r="H190" i="27"/>
  <c r="H122" i="27"/>
  <c r="H94" i="27"/>
  <c r="H180" i="27"/>
  <c r="H112" i="27"/>
  <c r="H188" i="27"/>
  <c r="H191" i="27"/>
  <c r="H64" i="27"/>
  <c r="H80" i="27"/>
  <c r="H12" i="27"/>
  <c r="H96" i="27"/>
  <c r="H83" i="27"/>
  <c r="H181" i="27"/>
  <c r="H85" i="27"/>
  <c r="H74" i="27"/>
  <c r="H87" i="27"/>
  <c r="H116" i="27"/>
  <c r="H192" i="27"/>
  <c r="H89" i="27"/>
  <c r="H48" i="27"/>
  <c r="H82" i="27"/>
  <c r="H170" i="27"/>
  <c r="H172" i="27"/>
  <c r="H166" i="27"/>
  <c r="H241" i="27"/>
  <c r="H78" i="27"/>
  <c r="H100" i="27"/>
  <c r="H101" i="27"/>
  <c r="H33" i="27"/>
  <c r="AH33" i="27" s="1"/>
  <c r="H120" i="27"/>
  <c r="H124" i="27"/>
  <c r="H59" i="27"/>
  <c r="H237" i="27"/>
  <c r="H104" i="27"/>
  <c r="H128" i="27"/>
  <c r="H44" i="27"/>
  <c r="H88" i="27"/>
  <c r="H243" i="27"/>
  <c r="H133" i="27"/>
  <c r="H129" i="27"/>
  <c r="H194" i="27"/>
  <c r="H109" i="27"/>
  <c r="H81" i="27"/>
  <c r="H110" i="27"/>
  <c r="H91" i="27"/>
  <c r="H86" i="27"/>
  <c r="H114" i="27"/>
  <c r="H126" i="27"/>
  <c r="H73" i="27"/>
  <c r="H141" i="27"/>
  <c r="H140" i="27"/>
  <c r="H106" i="27"/>
  <c r="H145" i="27"/>
  <c r="H244" i="27"/>
  <c r="H169" i="27"/>
  <c r="H143" i="27"/>
  <c r="H72" i="27"/>
  <c r="H171" i="27"/>
  <c r="H173" i="27"/>
  <c r="H107" i="27"/>
  <c r="H77" i="27"/>
  <c r="H149" i="27"/>
  <c r="H174" i="27"/>
  <c r="H193" i="27"/>
  <c r="H136" i="27"/>
  <c r="H108" i="27"/>
  <c r="H123" i="27"/>
  <c r="H32" i="27"/>
  <c r="AH32" i="27" s="1"/>
  <c r="H125" i="27"/>
  <c r="H127" i="27"/>
  <c r="H98" i="27"/>
  <c r="H121" i="27"/>
  <c r="H135" i="27"/>
  <c r="H138" i="27"/>
  <c r="H131" i="27"/>
  <c r="H159" i="27"/>
  <c r="H147" i="27"/>
  <c r="H117" i="27"/>
  <c r="H142" i="27"/>
  <c r="H134" i="27"/>
  <c r="H158" i="27"/>
  <c r="H139" i="27"/>
  <c r="H41" i="27"/>
  <c r="H146" i="27"/>
  <c r="H151" i="27"/>
  <c r="H162" i="27"/>
  <c r="H186" i="27"/>
  <c r="AH186" i="27" s="1"/>
  <c r="H224" i="27"/>
  <c r="H229" i="27"/>
  <c r="H235" i="27"/>
  <c r="H214" i="27"/>
  <c r="H238" i="27"/>
  <c r="H13" i="27"/>
  <c r="H211" i="27"/>
  <c r="H217" i="27"/>
  <c r="N40" i="27" l="1"/>
  <c r="V228" i="27" l="1"/>
  <c r="R41" i="27"/>
  <c r="V189" i="27"/>
  <c r="R189" i="27"/>
  <c r="H164" i="27"/>
  <c r="AG214" i="27"/>
  <c r="AG5" i="27"/>
  <c r="AG168" i="27"/>
  <c r="AG232" i="27"/>
  <c r="AG116" i="27"/>
  <c r="AG40" i="27"/>
  <c r="AG167" i="27"/>
  <c r="AG100" i="27"/>
  <c r="AG88" i="27"/>
  <c r="AG178" i="27"/>
  <c r="AG226" i="27"/>
  <c r="AG219" i="27"/>
  <c r="AG13" i="27"/>
  <c r="AG175" i="27"/>
  <c r="AG238" i="27"/>
  <c r="V214" i="27"/>
  <c r="V5" i="27"/>
  <c r="V232" i="27"/>
  <c r="V40" i="27"/>
  <c r="V100" i="27"/>
  <c r="V88" i="27"/>
  <c r="V178" i="27"/>
  <c r="V226" i="27"/>
  <c r="V219" i="27"/>
  <c r="V13" i="27"/>
  <c r="V175" i="27"/>
  <c r="V238" i="27"/>
  <c r="T168" i="27"/>
  <c r="T167" i="27"/>
  <c r="T175" i="27"/>
  <c r="R214" i="27"/>
  <c r="R5" i="27"/>
  <c r="R168" i="27"/>
  <c r="R232" i="27"/>
  <c r="R116" i="27"/>
  <c r="R40" i="27"/>
  <c r="R167" i="27"/>
  <c r="R100" i="27"/>
  <c r="R88" i="27"/>
  <c r="R178" i="27"/>
  <c r="R226" i="27"/>
  <c r="R219" i="27"/>
  <c r="R13" i="27"/>
  <c r="R175" i="27"/>
  <c r="R238" i="27"/>
  <c r="K13" i="27"/>
  <c r="N13" i="27"/>
  <c r="AH175" i="27" l="1"/>
  <c r="K88" i="27"/>
  <c r="N88" i="27"/>
  <c r="K178" i="27"/>
  <c r="N178" i="27"/>
  <c r="K226" i="27"/>
  <c r="N226" i="27"/>
  <c r="K219" i="27"/>
  <c r="N219" i="27"/>
  <c r="N238" i="27"/>
  <c r="K238" i="27"/>
  <c r="K167" i="27" l="1"/>
  <c r="N167" i="27"/>
  <c r="K100" i="27"/>
  <c r="N100" i="27"/>
  <c r="K116" i="27" l="1"/>
  <c r="N116" i="27"/>
  <c r="K40" i="27"/>
  <c r="K214" i="27" l="1"/>
  <c r="K5" i="27"/>
  <c r="N214" i="27"/>
  <c r="N5" i="27"/>
  <c r="K168" i="27"/>
  <c r="K232" i="27"/>
  <c r="N232" i="27"/>
  <c r="AG205" i="27" l="1"/>
  <c r="AG206" i="27"/>
  <c r="AG207" i="27"/>
  <c r="J223" i="27" l="1"/>
  <c r="I240" i="27"/>
  <c r="N225" i="27"/>
  <c r="N245" i="27"/>
  <c r="N186" i="27"/>
  <c r="N240" i="27"/>
  <c r="K225" i="27"/>
  <c r="K245" i="27"/>
  <c r="K186" i="27"/>
  <c r="K240" i="27" l="1"/>
  <c r="O240" i="27" s="1"/>
  <c r="O186" i="27"/>
  <c r="O225" i="27"/>
  <c r="K205" i="27" l="1"/>
  <c r="M205" i="27" s="1"/>
  <c r="K204" i="27"/>
  <c r="M204" i="27" s="1"/>
  <c r="K206" i="27"/>
  <c r="K207" i="27"/>
  <c r="M207" i="27" s="1"/>
  <c r="K203" i="27"/>
  <c r="K208" i="27"/>
  <c r="K209" i="27"/>
  <c r="K215" i="27"/>
  <c r="K223" i="27"/>
  <c r="K8" i="27"/>
  <c r="K41" i="27"/>
  <c r="K10" i="27"/>
  <c r="K216" i="27"/>
  <c r="K121" i="27"/>
  <c r="K30" i="27"/>
  <c r="K36" i="27"/>
  <c r="K197" i="27"/>
  <c r="K201" i="27"/>
  <c r="K212" i="27"/>
  <c r="K18" i="27"/>
  <c r="K35" i="27"/>
  <c r="K222" i="27"/>
  <c r="K220" i="27"/>
  <c r="K221" i="27"/>
  <c r="K224" i="27"/>
  <c r="K150" i="27"/>
  <c r="K217" i="27"/>
  <c r="K165" i="27"/>
  <c r="K153" i="27"/>
  <c r="K46" i="27"/>
  <c r="K50" i="27"/>
  <c r="K95" i="27"/>
  <c r="K22" i="27"/>
  <c r="K179" i="27"/>
  <c r="K229" i="27"/>
  <c r="K156" i="27"/>
  <c r="K34" i="27"/>
  <c r="K176" i="27"/>
  <c r="K33" i="27"/>
  <c r="K230" i="27"/>
  <c r="K218" i="27"/>
  <c r="K6" i="27"/>
  <c r="K211" i="27"/>
  <c r="K26" i="27"/>
  <c r="K155" i="27"/>
  <c r="K177" i="27"/>
  <c r="K160" i="27"/>
  <c r="K234" i="27"/>
  <c r="K163" i="27"/>
  <c r="K190" i="27"/>
  <c r="K157" i="27"/>
  <c r="K185" i="27"/>
  <c r="K70" i="27"/>
  <c r="K235" i="27"/>
  <c r="K181" i="27"/>
  <c r="K90" i="27"/>
  <c r="K56" i="27"/>
  <c r="K25" i="27"/>
  <c r="K68" i="27"/>
  <c r="K61" i="27"/>
  <c r="K161" i="27"/>
  <c r="K20" i="27"/>
  <c r="K51" i="27"/>
  <c r="K60" i="27"/>
  <c r="K71" i="27"/>
  <c r="K227" i="27"/>
  <c r="K182" i="27"/>
  <c r="K74" i="27"/>
  <c r="K69" i="27"/>
  <c r="K242" i="27"/>
  <c r="K92" i="27"/>
  <c r="K84" i="27"/>
  <c r="K66" i="27"/>
  <c r="K152" i="27"/>
  <c r="K67" i="27"/>
  <c r="K243" i="27"/>
  <c r="K65" i="27"/>
  <c r="K183" i="27"/>
  <c r="K184" i="27"/>
  <c r="K112" i="27"/>
  <c r="K99" i="27"/>
  <c r="K187" i="27"/>
  <c r="K75" i="27"/>
  <c r="K164" i="27"/>
  <c r="K58" i="27"/>
  <c r="K236" i="27"/>
  <c r="K4" i="27"/>
  <c r="K62" i="27"/>
  <c r="K122" i="27"/>
  <c r="K94" i="27"/>
  <c r="K107" i="27"/>
  <c r="K96" i="27"/>
  <c r="K180" i="27"/>
  <c r="K83" i="27"/>
  <c r="K141" i="27"/>
  <c r="K188" i="27"/>
  <c r="K191" i="27"/>
  <c r="K64" i="27"/>
  <c r="K80" i="27"/>
  <c r="K12" i="27"/>
  <c r="K87" i="27"/>
  <c r="K233" i="27"/>
  <c r="K169" i="27"/>
  <c r="K85" i="27"/>
  <c r="K89" i="27"/>
  <c r="K48" i="27"/>
  <c r="K192" i="27"/>
  <c r="K231" i="27"/>
  <c r="K82" i="27"/>
  <c r="K143" i="27"/>
  <c r="K170" i="27"/>
  <c r="K172" i="27"/>
  <c r="K166" i="27"/>
  <c r="K241" i="27"/>
  <c r="K228" i="27"/>
  <c r="K78" i="27"/>
  <c r="K101" i="27"/>
  <c r="K59" i="27"/>
  <c r="K237" i="27"/>
  <c r="K120" i="27"/>
  <c r="K124" i="27"/>
  <c r="K104" i="27"/>
  <c r="K128" i="27"/>
  <c r="K44" i="27"/>
  <c r="K133" i="27"/>
  <c r="K129" i="27"/>
  <c r="K109" i="27"/>
  <c r="K81" i="27"/>
  <c r="K110" i="27"/>
  <c r="K194" i="27"/>
  <c r="K86" i="27"/>
  <c r="K114" i="27"/>
  <c r="K126" i="27"/>
  <c r="K91" i="27"/>
  <c r="K151" i="27"/>
  <c r="K140" i="27"/>
  <c r="K106" i="27"/>
  <c r="K73" i="27"/>
  <c r="K145" i="27"/>
  <c r="K244" i="27"/>
  <c r="K72" i="27"/>
  <c r="K171" i="27"/>
  <c r="K173" i="27"/>
  <c r="K77" i="27"/>
  <c r="K149" i="27"/>
  <c r="K174" i="27"/>
  <c r="K139" i="27"/>
  <c r="K136" i="27"/>
  <c r="K108" i="27"/>
  <c r="K123" i="27"/>
  <c r="K32" i="27"/>
  <c r="K193" i="27"/>
  <c r="K125" i="27"/>
  <c r="K127" i="27"/>
  <c r="K98" i="27"/>
  <c r="K138" i="27"/>
  <c r="K131" i="27"/>
  <c r="K159" i="27"/>
  <c r="K147" i="27"/>
  <c r="K117" i="27"/>
  <c r="K142" i="27"/>
  <c r="K158" i="27"/>
  <c r="K134" i="27"/>
  <c r="K146" i="27"/>
  <c r="K135" i="27"/>
  <c r="K162" i="27"/>
  <c r="K189" i="27"/>
  <c r="K175" i="27"/>
  <c r="N206" i="27"/>
  <c r="N203" i="27"/>
  <c r="N208" i="27"/>
  <c r="N209" i="27"/>
  <c r="N215" i="27"/>
  <c r="N223" i="27"/>
  <c r="N41" i="27"/>
  <c r="N10" i="27"/>
  <c r="N216" i="27"/>
  <c r="N121" i="27"/>
  <c r="N30" i="27"/>
  <c r="N36" i="27"/>
  <c r="N197" i="27"/>
  <c r="N201" i="27"/>
  <c r="N18" i="27"/>
  <c r="N35" i="27"/>
  <c r="N222" i="27"/>
  <c r="N220" i="27"/>
  <c r="N221" i="27"/>
  <c r="N224" i="27"/>
  <c r="N150" i="27"/>
  <c r="N217" i="27"/>
  <c r="N165" i="27"/>
  <c r="N153" i="27"/>
  <c r="N46" i="27"/>
  <c r="N50" i="27"/>
  <c r="N95" i="27"/>
  <c r="N22" i="27"/>
  <c r="N179" i="27"/>
  <c r="N229" i="27"/>
  <c r="N156" i="27"/>
  <c r="N34" i="27"/>
  <c r="N23" i="27"/>
  <c r="N176" i="27"/>
  <c r="N33" i="27"/>
  <c r="N230" i="27"/>
  <c r="N218" i="27"/>
  <c r="N6" i="27"/>
  <c r="N211" i="27"/>
  <c r="N26" i="27"/>
  <c r="N155" i="27"/>
  <c r="N177" i="27"/>
  <c r="N160" i="27"/>
  <c r="N24" i="27"/>
  <c r="N234" i="27"/>
  <c r="N163" i="27"/>
  <c r="N190" i="27"/>
  <c r="N157" i="27"/>
  <c r="N185" i="27"/>
  <c r="N70" i="27"/>
  <c r="N235" i="27"/>
  <c r="N181" i="27"/>
  <c r="N90" i="27"/>
  <c r="N56" i="27"/>
  <c r="N25" i="27"/>
  <c r="N68" i="27"/>
  <c r="N61" i="27"/>
  <c r="N161" i="27"/>
  <c r="N20" i="27"/>
  <c r="N51" i="27"/>
  <c r="N60" i="27"/>
  <c r="N71" i="27"/>
  <c r="N227" i="27"/>
  <c r="N182" i="27"/>
  <c r="N74" i="27"/>
  <c r="N69" i="27"/>
  <c r="N242" i="27"/>
  <c r="N92" i="27"/>
  <c r="N84" i="27"/>
  <c r="N66" i="27"/>
  <c r="N152" i="27"/>
  <c r="N67" i="27"/>
  <c r="N243" i="27"/>
  <c r="N65" i="27"/>
  <c r="N183" i="27"/>
  <c r="N184" i="27"/>
  <c r="N112" i="27"/>
  <c r="N99" i="27"/>
  <c r="N187" i="27"/>
  <c r="N75" i="27"/>
  <c r="N164" i="27"/>
  <c r="N58" i="27"/>
  <c r="N236" i="27"/>
  <c r="N4" i="27"/>
  <c r="N62" i="27"/>
  <c r="N122" i="27"/>
  <c r="N94" i="27"/>
  <c r="N107" i="27"/>
  <c r="N96" i="27"/>
  <c r="N180" i="27"/>
  <c r="N83" i="27"/>
  <c r="N141" i="27"/>
  <c r="N188" i="27"/>
  <c r="N191" i="27"/>
  <c r="N64" i="27"/>
  <c r="N80" i="27"/>
  <c r="N12" i="27"/>
  <c r="N87" i="27"/>
  <c r="N233" i="27"/>
  <c r="N169" i="27"/>
  <c r="N85" i="27"/>
  <c r="N89" i="27"/>
  <c r="N48" i="27"/>
  <c r="N192" i="27"/>
  <c r="N231" i="27"/>
  <c r="N82" i="27"/>
  <c r="N143" i="27"/>
  <c r="N170" i="27"/>
  <c r="N172" i="27"/>
  <c r="N166" i="27"/>
  <c r="N241" i="27"/>
  <c r="N228" i="27"/>
  <c r="N78" i="27"/>
  <c r="N101" i="27"/>
  <c r="N59" i="27"/>
  <c r="N237" i="27"/>
  <c r="N120" i="27"/>
  <c r="N124" i="27"/>
  <c r="N104" i="27"/>
  <c r="N128" i="27"/>
  <c r="N44" i="27"/>
  <c r="N133" i="27"/>
  <c r="N129" i="27"/>
  <c r="N109" i="27"/>
  <c r="N81" i="27"/>
  <c r="N110" i="27"/>
  <c r="N194" i="27"/>
  <c r="N86" i="27"/>
  <c r="N114" i="27"/>
  <c r="N126" i="27"/>
  <c r="N91" i="27"/>
  <c r="N151" i="27"/>
  <c r="N140" i="27"/>
  <c r="N106" i="27"/>
  <c r="N73" i="27"/>
  <c r="N145" i="27"/>
  <c r="N244" i="27"/>
  <c r="N72" i="27"/>
  <c r="N171" i="27"/>
  <c r="N173" i="27"/>
  <c r="N77" i="27"/>
  <c r="N149" i="27"/>
  <c r="N174" i="27"/>
  <c r="N139" i="27"/>
  <c r="N136" i="27"/>
  <c r="N108" i="27"/>
  <c r="N123" i="27"/>
  <c r="N32" i="27"/>
  <c r="N193" i="27"/>
  <c r="N125" i="27"/>
  <c r="N127" i="27"/>
  <c r="N98" i="27"/>
  <c r="N138" i="27"/>
  <c r="N131" i="27"/>
  <c r="N159" i="27"/>
  <c r="N147" i="27"/>
  <c r="N117" i="27"/>
  <c r="N142" i="27"/>
  <c r="N158" i="27"/>
  <c r="N134" i="27"/>
  <c r="N146" i="27"/>
  <c r="N135" i="27"/>
  <c r="N162" i="27"/>
  <c r="N189" i="27"/>
  <c r="N175" i="27"/>
  <c r="N207" i="27" l="1"/>
  <c r="O207" i="27" s="1"/>
  <c r="N204" i="27"/>
  <c r="O204" i="27" s="1"/>
  <c r="N205" i="27"/>
  <c r="O205" i="27" s="1"/>
  <c r="O208" i="27"/>
  <c r="O209" i="27"/>
  <c r="O197" i="27"/>
  <c r="O224" i="27"/>
  <c r="O41" i="27"/>
  <c r="O206" i="27"/>
  <c r="O203" i="27"/>
  <c r="O36" i="27"/>
  <c r="H207" i="27"/>
  <c r="AH207" i="27" s="1"/>
  <c r="H206" i="27"/>
  <c r="AH206" i="27" s="1"/>
  <c r="H205" i="27"/>
  <c r="AH205" i="27" s="1"/>
  <c r="AG208" i="27"/>
  <c r="V208" i="27"/>
  <c r="T208" i="27"/>
  <c r="R208" i="27"/>
  <c r="H208" i="27"/>
  <c r="AH208" i="27" l="1"/>
  <c r="H36" i="27"/>
  <c r="AH36" i="27" s="1"/>
  <c r="AG36" i="27"/>
  <c r="H201" i="27"/>
  <c r="R201" i="27"/>
  <c r="V201" i="27"/>
  <c r="AG201" i="27"/>
  <c r="AG189" i="27" l="1"/>
  <c r="R197" i="27"/>
  <c r="AG223" i="27"/>
  <c r="AG225" i="27"/>
  <c r="AG245" i="27"/>
  <c r="H231" i="27" l="1"/>
  <c r="R231" i="27"/>
  <c r="R228" i="27"/>
  <c r="R44" i="27"/>
  <c r="R81" i="27"/>
  <c r="R86" i="27"/>
  <c r="R106" i="27"/>
  <c r="AG81" i="27"/>
  <c r="AG44" i="27"/>
  <c r="AG86" i="27"/>
  <c r="AG231" i="27"/>
  <c r="AG228" i="27"/>
  <c r="AG106" i="27"/>
  <c r="H197" i="27"/>
  <c r="AG197" i="27"/>
  <c r="AG162" i="27" l="1"/>
  <c r="T162" i="27"/>
  <c r="R162" i="27"/>
  <c r="AG135" i="27"/>
  <c r="T135" i="27"/>
  <c r="R135" i="27"/>
  <c r="AG146" i="27"/>
  <c r="T146" i="27"/>
  <c r="R146" i="27"/>
  <c r="AG134" i="27"/>
  <c r="R134" i="27"/>
  <c r="AG158" i="27"/>
  <c r="R158" i="27"/>
  <c r="AG142" i="27"/>
  <c r="R142" i="27"/>
  <c r="AG117" i="27"/>
  <c r="R117" i="27"/>
  <c r="AG147" i="27"/>
  <c r="T147" i="27"/>
  <c r="R147" i="27"/>
  <c r="AG159" i="27"/>
  <c r="T159" i="27"/>
  <c r="R159" i="27"/>
  <c r="AG131" i="27"/>
  <c r="R131" i="27"/>
  <c r="AG138" i="27"/>
  <c r="T138" i="27"/>
  <c r="R138" i="27"/>
  <c r="AG98" i="27"/>
  <c r="V98" i="27"/>
  <c r="T98" i="27"/>
  <c r="R98" i="27"/>
  <c r="AG127" i="27"/>
  <c r="V127" i="27"/>
  <c r="T127" i="27"/>
  <c r="R127" i="27"/>
  <c r="AG125" i="27"/>
  <c r="V125" i="27"/>
  <c r="T125" i="27"/>
  <c r="R125" i="27"/>
  <c r="AG193" i="27"/>
  <c r="V193" i="27"/>
  <c r="T193" i="27"/>
  <c r="R193" i="27"/>
  <c r="AG32" i="27"/>
  <c r="R32" i="27"/>
  <c r="AG123" i="27"/>
  <c r="V123" i="27"/>
  <c r="T123" i="27"/>
  <c r="R123" i="27"/>
  <c r="AG108" i="27"/>
  <c r="R108" i="27"/>
  <c r="AG136" i="27"/>
  <c r="R136" i="27"/>
  <c r="AG139" i="27"/>
  <c r="T139" i="27"/>
  <c r="R139" i="27"/>
  <c r="AG174" i="27"/>
  <c r="R174" i="27"/>
  <c r="AG48" i="27"/>
  <c r="V48" i="27"/>
  <c r="R48" i="27"/>
  <c r="AG149" i="27"/>
  <c r="R149" i="27"/>
  <c r="AG77" i="27"/>
  <c r="R77" i="27"/>
  <c r="AG173" i="27"/>
  <c r="V173" i="27"/>
  <c r="T173" i="27"/>
  <c r="R173" i="27"/>
  <c r="AG171" i="27"/>
  <c r="R171" i="27"/>
  <c r="AG72" i="27"/>
  <c r="T72" i="27"/>
  <c r="R72" i="27"/>
  <c r="AG244" i="27"/>
  <c r="T244" i="27"/>
  <c r="R244" i="27"/>
  <c r="AG145" i="27"/>
  <c r="T145" i="27"/>
  <c r="R145" i="27"/>
  <c r="AG73" i="27"/>
  <c r="V73" i="27"/>
  <c r="R73" i="27"/>
  <c r="AG140" i="27"/>
  <c r="T140" i="27"/>
  <c r="R140" i="27"/>
  <c r="AG151" i="27"/>
  <c r="R151" i="27"/>
  <c r="AG91" i="27"/>
  <c r="V91" i="27"/>
  <c r="R91" i="27"/>
  <c r="AG114" i="27"/>
  <c r="T114" i="27"/>
  <c r="R114" i="27"/>
  <c r="AG126" i="27"/>
  <c r="T126" i="27"/>
  <c r="R126" i="27"/>
  <c r="AG194" i="27"/>
  <c r="V194" i="27"/>
  <c r="T194" i="27"/>
  <c r="R194" i="27"/>
  <c r="AG110" i="27"/>
  <c r="T110" i="27"/>
  <c r="R110" i="27"/>
  <c r="AG109" i="27"/>
  <c r="T109" i="27"/>
  <c r="R109" i="27"/>
  <c r="AG129" i="27"/>
  <c r="R129" i="27"/>
  <c r="AG133" i="27"/>
  <c r="R133" i="27"/>
  <c r="AG104" i="27"/>
  <c r="R104" i="27"/>
  <c r="AG124" i="27"/>
  <c r="R124" i="27"/>
  <c r="AG120" i="27"/>
  <c r="R120" i="27"/>
  <c r="AG237" i="27"/>
  <c r="T237" i="27"/>
  <c r="R237" i="27"/>
  <c r="AG128" i="27"/>
  <c r="R128" i="27"/>
  <c r="AG59" i="27"/>
  <c r="V59" i="27"/>
  <c r="T59" i="27"/>
  <c r="R59" i="27"/>
  <c r="AG101" i="27"/>
  <c r="R101" i="27"/>
  <c r="AG78" i="27"/>
  <c r="V78" i="27"/>
  <c r="R78" i="27"/>
  <c r="AG241" i="27"/>
  <c r="T241" i="27"/>
  <c r="R241" i="27"/>
  <c r="AG166" i="27"/>
  <c r="R166" i="27"/>
  <c r="AG172" i="27"/>
  <c r="R172" i="27"/>
  <c r="AG170" i="27"/>
  <c r="R170" i="27"/>
  <c r="AG143" i="27"/>
  <c r="R143" i="27"/>
  <c r="AG82" i="27"/>
  <c r="R82" i="27"/>
  <c r="AG192" i="27"/>
  <c r="V192" i="27"/>
  <c r="R192" i="27"/>
  <c r="AG89" i="27"/>
  <c r="R89" i="27"/>
  <c r="AG85" i="27"/>
  <c r="V85" i="27"/>
  <c r="T85" i="27"/>
  <c r="R85" i="27"/>
  <c r="AG169" i="27"/>
  <c r="V169" i="27"/>
  <c r="T169" i="27"/>
  <c r="R169" i="27"/>
  <c r="AG233" i="27"/>
  <c r="V233" i="27"/>
  <c r="R233" i="27"/>
  <c r="AG87" i="27"/>
  <c r="R87" i="27"/>
  <c r="AG12" i="27"/>
  <c r="V12" i="27"/>
  <c r="T12" i="27"/>
  <c r="R12" i="27"/>
  <c r="AG80" i="27"/>
  <c r="V80" i="27"/>
  <c r="T80" i="27"/>
  <c r="R80" i="27"/>
  <c r="AG64" i="27"/>
  <c r="V64" i="27"/>
  <c r="T64" i="27"/>
  <c r="R64" i="27"/>
  <c r="AG191" i="27"/>
  <c r="V191" i="27"/>
  <c r="R191" i="27"/>
  <c r="AG188" i="27"/>
  <c r="V188" i="27"/>
  <c r="T188" i="27"/>
  <c r="R188" i="27"/>
  <c r="AG83" i="27"/>
  <c r="T83" i="27"/>
  <c r="R83" i="27"/>
  <c r="AG141" i="27"/>
  <c r="T141" i="27"/>
  <c r="R141" i="27"/>
  <c r="AG180" i="27"/>
  <c r="V180" i="27"/>
  <c r="R180" i="27"/>
  <c r="AG107" i="27"/>
  <c r="R107" i="27"/>
  <c r="AG96" i="27"/>
  <c r="R96" i="27"/>
  <c r="AG94" i="27"/>
  <c r="V94" i="27"/>
  <c r="R94" i="27"/>
  <c r="AG122" i="27"/>
  <c r="R122" i="27"/>
  <c r="AG62" i="27"/>
  <c r="V62" i="27"/>
  <c r="R62" i="27"/>
  <c r="AG4" i="27"/>
  <c r="V4" i="27"/>
  <c r="R4" i="27"/>
  <c r="AG236" i="27"/>
  <c r="V236" i="27"/>
  <c r="R236" i="27"/>
  <c r="AG58" i="27"/>
  <c r="V58" i="27"/>
  <c r="R58" i="27"/>
  <c r="AG164" i="27"/>
  <c r="V164" i="27"/>
  <c r="R164" i="27"/>
  <c r="AG75" i="27"/>
  <c r="R75" i="27"/>
  <c r="AG187" i="27"/>
  <c r="V187" i="27"/>
  <c r="T187" i="27"/>
  <c r="R187" i="27"/>
  <c r="AG99" i="27"/>
  <c r="V99" i="27"/>
  <c r="R99" i="27"/>
  <c r="AG112" i="27"/>
  <c r="V112" i="27"/>
  <c r="R112" i="27"/>
  <c r="AG184" i="27"/>
  <c r="V184" i="27"/>
  <c r="T184" i="27"/>
  <c r="R184" i="27"/>
  <c r="AG183" i="27"/>
  <c r="V183" i="27"/>
  <c r="T183" i="27"/>
  <c r="R183" i="27"/>
  <c r="AG65" i="27"/>
  <c r="V65" i="27"/>
  <c r="R65" i="27"/>
  <c r="AG243" i="27"/>
  <c r="R243" i="27"/>
  <c r="AG67" i="27"/>
  <c r="V67" i="27"/>
  <c r="R67" i="27"/>
  <c r="AG152" i="27"/>
  <c r="R152" i="27"/>
  <c r="AG66" i="27"/>
  <c r="V66" i="27"/>
  <c r="R66" i="27"/>
  <c r="AG84" i="27"/>
  <c r="V84" i="27"/>
  <c r="R84" i="27"/>
  <c r="AG92" i="27"/>
  <c r="V92" i="27"/>
  <c r="R92" i="27"/>
  <c r="AG242" i="27"/>
  <c r="V242" i="27"/>
  <c r="R242" i="27"/>
  <c r="AG69" i="27"/>
  <c r="T69" i="27"/>
  <c r="R69" i="27"/>
  <c r="AG74" i="27"/>
  <c r="R74" i="27"/>
  <c r="AG182" i="27"/>
  <c r="V182" i="27"/>
  <c r="T182" i="27"/>
  <c r="R182" i="27"/>
  <c r="AG227" i="27"/>
  <c r="V227" i="27"/>
  <c r="R227" i="27"/>
  <c r="AG71" i="27"/>
  <c r="R71" i="27"/>
  <c r="AG51" i="27"/>
  <c r="R51" i="27"/>
  <c r="AG60" i="27"/>
  <c r="R60" i="27"/>
  <c r="AG20" i="27"/>
  <c r="V20" i="27"/>
  <c r="R20" i="27"/>
  <c r="AG161" i="27"/>
  <c r="V161" i="27"/>
  <c r="R161" i="27"/>
  <c r="AG61" i="27"/>
  <c r="R61" i="27"/>
  <c r="AG68" i="27"/>
  <c r="V68" i="27"/>
  <c r="R68" i="27"/>
  <c r="AG25" i="27"/>
  <c r="V25" i="27"/>
  <c r="R25" i="27"/>
  <c r="AG56" i="27"/>
  <c r="V56" i="27"/>
  <c r="R56" i="27"/>
  <c r="AG90" i="27"/>
  <c r="R90" i="27"/>
  <c r="AG181" i="27"/>
  <c r="V181" i="27"/>
  <c r="T181" i="27"/>
  <c r="R181" i="27"/>
  <c r="AG235" i="27"/>
  <c r="V235" i="27"/>
  <c r="R235" i="27"/>
  <c r="AG70" i="27"/>
  <c r="V70" i="27"/>
  <c r="R70" i="27"/>
  <c r="AG185" i="27"/>
  <c r="V185" i="27"/>
  <c r="T185" i="27"/>
  <c r="R185" i="27"/>
  <c r="AG157" i="27"/>
  <c r="V157" i="27"/>
  <c r="R157" i="27"/>
  <c r="AG190" i="27"/>
  <c r="V190" i="27"/>
  <c r="R190" i="27"/>
  <c r="AG163" i="27"/>
  <c r="V163" i="27"/>
  <c r="R163" i="27"/>
  <c r="AG234" i="27"/>
  <c r="V234" i="27"/>
  <c r="T234" i="27"/>
  <c r="R234" i="27"/>
  <c r="H234" i="27"/>
  <c r="AG24" i="27"/>
  <c r="R24" i="27"/>
  <c r="AG177" i="27"/>
  <c r="V177" i="27"/>
  <c r="R177" i="27"/>
  <c r="AG155" i="27"/>
  <c r="V155" i="27"/>
  <c r="R155" i="27"/>
  <c r="H155" i="27"/>
  <c r="AG26" i="27"/>
  <c r="V26" i="27"/>
  <c r="R26" i="27"/>
  <c r="AG160" i="27"/>
  <c r="V160" i="27"/>
  <c r="R160" i="27"/>
  <c r="H160" i="27"/>
  <c r="AG211" i="27"/>
  <c r="V211" i="27"/>
  <c r="R211" i="27"/>
  <c r="AG6" i="27"/>
  <c r="V6" i="27"/>
  <c r="R6" i="27"/>
  <c r="AG218" i="27"/>
  <c r="V218" i="27"/>
  <c r="R218" i="27"/>
  <c r="AG230" i="27"/>
  <c r="V230" i="27"/>
  <c r="R230" i="27"/>
  <c r="H230" i="27"/>
  <c r="AG33" i="27"/>
  <c r="R33" i="27"/>
  <c r="AG176" i="27"/>
  <c r="V176" i="27"/>
  <c r="T176" i="27"/>
  <c r="R176" i="27"/>
  <c r="H176" i="27"/>
  <c r="AG23" i="27"/>
  <c r="V23" i="27"/>
  <c r="R23" i="27"/>
  <c r="AG34" i="27"/>
  <c r="R34" i="27"/>
  <c r="AG156" i="27"/>
  <c r="V156" i="27"/>
  <c r="R156" i="27"/>
  <c r="AG229" i="27"/>
  <c r="R229" i="27"/>
  <c r="AG179" i="27"/>
  <c r="V179" i="27"/>
  <c r="R179" i="27"/>
  <c r="AG22" i="27"/>
  <c r="V22" i="27"/>
  <c r="R22" i="27"/>
  <c r="H22" i="27"/>
  <c r="AG95" i="27"/>
  <c r="V95" i="27"/>
  <c r="R95" i="27"/>
  <c r="AG50" i="27"/>
  <c r="V50" i="27"/>
  <c r="R50" i="27"/>
  <c r="AG46" i="27"/>
  <c r="V46" i="27"/>
  <c r="R46" i="27"/>
  <c r="AG153" i="27"/>
  <c r="V153" i="27"/>
  <c r="R153" i="27"/>
  <c r="AG165" i="27"/>
  <c r="R165" i="27"/>
  <c r="AG217" i="27"/>
  <c r="V217" i="27"/>
  <c r="R217" i="27"/>
  <c r="AG150" i="27"/>
  <c r="V150" i="27"/>
  <c r="R150" i="27"/>
  <c r="H150" i="27"/>
  <c r="AG224" i="27"/>
  <c r="V224" i="27"/>
  <c r="R224" i="27"/>
  <c r="AG221" i="27"/>
  <c r="V221" i="27"/>
  <c r="R221" i="27"/>
  <c r="H221" i="27"/>
  <c r="AG220" i="27"/>
  <c r="V220" i="27"/>
  <c r="R220" i="27"/>
  <c r="H220" i="27"/>
  <c r="AG222" i="27"/>
  <c r="V222" i="27"/>
  <c r="R222" i="27"/>
  <c r="H222" i="27"/>
  <c r="AG35" i="27"/>
  <c r="V35" i="27"/>
  <c r="R35" i="27"/>
  <c r="AG18" i="27"/>
  <c r="V18" i="27"/>
  <c r="R18" i="27"/>
  <c r="AG212" i="27"/>
  <c r="V212" i="27"/>
  <c r="R212" i="27"/>
  <c r="H212" i="27"/>
  <c r="AG30" i="27"/>
  <c r="R30" i="27"/>
  <c r="H30" i="27"/>
  <c r="AH30" i="27" s="1"/>
  <c r="AG240" i="27"/>
  <c r="V240" i="27"/>
  <c r="R240" i="27"/>
  <c r="H240" i="27"/>
  <c r="AG121" i="27"/>
  <c r="R121" i="27"/>
  <c r="AG8" i="27"/>
  <c r="V8" i="27"/>
  <c r="R8" i="27"/>
  <c r="H8" i="27"/>
  <c r="AG215" i="27"/>
  <c r="V215" i="27"/>
  <c r="R215" i="27"/>
  <c r="H215" i="27"/>
  <c r="AG216" i="27"/>
  <c r="V216" i="27"/>
  <c r="R216" i="27"/>
  <c r="H216" i="27"/>
  <c r="H245" i="27"/>
  <c r="V225" i="27"/>
  <c r="R225" i="27"/>
  <c r="H225" i="27"/>
  <c r="V223" i="27"/>
  <c r="R223" i="27"/>
  <c r="H223" i="27"/>
  <c r="AG41" i="27"/>
  <c r="T41" i="27"/>
  <c r="AG209" i="27"/>
  <c r="V209" i="27"/>
  <c r="T209" i="27"/>
  <c r="R209" i="27"/>
  <c r="H209" i="27"/>
  <c r="AG203" i="27"/>
  <c r="V203" i="27"/>
  <c r="T203" i="27"/>
  <c r="R203" i="27"/>
  <c r="H203" i="27"/>
  <c r="AG10" i="27"/>
  <c r="V10" i="27"/>
  <c r="R10" i="27"/>
  <c r="H10" i="27"/>
  <c r="AG204" i="27"/>
  <c r="V204" i="27"/>
  <c r="T204" i="27"/>
  <c r="R204" i="27"/>
  <c r="H204" i="27"/>
  <c r="AH125" i="27" l="1"/>
  <c r="AH98" i="27"/>
  <c r="AH203" i="27"/>
  <c r="AH64" i="27"/>
  <c r="AH234" i="27"/>
  <c r="AH209" i="27"/>
  <c r="AH184" i="27"/>
  <c r="AH12" i="27"/>
  <c r="AH59" i="27"/>
  <c r="AH188" i="27"/>
  <c r="AH169" i="27"/>
  <c r="AH194" i="27"/>
  <c r="AH173" i="27"/>
  <c r="AH204" i="27"/>
  <c r="AH176" i="27"/>
  <c r="AH187" i="27"/>
  <c r="AH193" i="27"/>
  <c r="AH127" i="27"/>
  <c r="AH183" i="27"/>
  <c r="AH80" i="27"/>
  <c r="AH185" i="27"/>
  <c r="AH181" i="27"/>
  <c r="AH182" i="27"/>
  <c r="AH85" i="27"/>
  <c r="AH123" i="27"/>
  <c r="S223" i="26"/>
  <c r="R223" i="26"/>
  <c r="H223" i="26"/>
  <c r="H222" i="26" s="1"/>
  <c r="G223" i="26"/>
  <c r="S222" i="26"/>
  <c r="R222" i="26"/>
  <c r="G222" i="26"/>
  <c r="R221" i="26"/>
  <c r="M221" i="26"/>
  <c r="K221" i="26"/>
  <c r="G221" i="26"/>
  <c r="R220" i="26"/>
  <c r="M220" i="26"/>
  <c r="K220" i="26"/>
  <c r="G220" i="26"/>
  <c r="R219" i="26"/>
  <c r="M219" i="26"/>
  <c r="K219" i="26"/>
  <c r="R218" i="26"/>
  <c r="K218" i="26"/>
  <c r="G218" i="26"/>
  <c r="R217" i="26"/>
  <c r="K217" i="26"/>
  <c r="G217" i="26"/>
  <c r="R216" i="26"/>
  <c r="K216" i="26"/>
  <c r="G216" i="26"/>
  <c r="R215" i="26"/>
  <c r="K215" i="26"/>
  <c r="G215" i="26"/>
  <c r="R214" i="26"/>
  <c r="M214" i="26"/>
  <c r="K214" i="26"/>
  <c r="G214" i="26"/>
  <c r="R213" i="26"/>
  <c r="M213" i="26"/>
  <c r="K213" i="26"/>
  <c r="G213" i="26"/>
  <c r="R212" i="26"/>
  <c r="M212" i="26"/>
  <c r="K212" i="26"/>
  <c r="G212" i="26"/>
  <c r="R211" i="26"/>
  <c r="K211" i="26"/>
  <c r="G211" i="26"/>
  <c r="R210" i="26"/>
  <c r="M210" i="26"/>
  <c r="K210" i="26"/>
  <c r="G210" i="26"/>
  <c r="R209" i="26"/>
  <c r="O209" i="26"/>
  <c r="M209" i="26"/>
  <c r="K209" i="26"/>
  <c r="G209" i="26"/>
  <c r="R208" i="26"/>
  <c r="O208" i="26"/>
  <c r="M208" i="26"/>
  <c r="K208" i="26"/>
  <c r="G208" i="26"/>
  <c r="R207" i="26"/>
  <c r="O207" i="26"/>
  <c r="M207" i="26"/>
  <c r="K207" i="26"/>
  <c r="G207" i="26"/>
  <c r="R206" i="26"/>
  <c r="M206" i="26"/>
  <c r="K206" i="26"/>
  <c r="G206" i="26"/>
  <c r="R205" i="26"/>
  <c r="M205" i="26"/>
  <c r="K205" i="26"/>
  <c r="G205" i="26"/>
  <c r="R204" i="26"/>
  <c r="O204" i="26"/>
  <c r="M204" i="26"/>
  <c r="K204" i="26"/>
  <c r="G204" i="26"/>
  <c r="R203" i="26"/>
  <c r="M203" i="26"/>
  <c r="K203" i="26"/>
  <c r="G203" i="26"/>
  <c r="R202" i="26"/>
  <c r="O202" i="26"/>
  <c r="M202" i="26"/>
  <c r="K202" i="26"/>
  <c r="G202" i="26"/>
  <c r="R201" i="26"/>
  <c r="K201" i="26"/>
  <c r="G201" i="26"/>
  <c r="R200" i="26"/>
  <c r="K200" i="26"/>
  <c r="G200" i="26"/>
  <c r="R199" i="26"/>
  <c r="M199" i="26"/>
  <c r="K199" i="26"/>
  <c r="G199" i="26"/>
  <c r="R198" i="26"/>
  <c r="M198" i="26"/>
  <c r="K198" i="26"/>
  <c r="G198" i="26"/>
  <c r="R197" i="26"/>
  <c r="K197" i="26"/>
  <c r="G197" i="26"/>
  <c r="R196" i="26"/>
  <c r="K196" i="26"/>
  <c r="G196" i="26"/>
  <c r="R195" i="26"/>
  <c r="K195" i="26"/>
  <c r="G195" i="26"/>
  <c r="R194" i="26"/>
  <c r="K194" i="26"/>
  <c r="G194" i="26"/>
  <c r="R193" i="26"/>
  <c r="O193" i="26"/>
  <c r="M193" i="26"/>
  <c r="K193" i="26"/>
  <c r="G193" i="26"/>
  <c r="R192" i="26"/>
  <c r="M192" i="26"/>
  <c r="K192" i="26"/>
  <c r="G192" i="26"/>
  <c r="R191" i="26"/>
  <c r="K191" i="26"/>
  <c r="G191" i="26"/>
  <c r="R190" i="26"/>
  <c r="M190" i="26"/>
  <c r="K190" i="26"/>
  <c r="G190" i="26"/>
  <c r="R189" i="26"/>
  <c r="M189" i="26"/>
  <c r="K189" i="26"/>
  <c r="G189" i="26"/>
  <c r="R188" i="26"/>
  <c r="M188" i="26"/>
  <c r="K188" i="26"/>
  <c r="G188" i="26"/>
  <c r="R187" i="26"/>
  <c r="O187" i="26"/>
  <c r="K187" i="26"/>
  <c r="G187" i="26"/>
  <c r="R186" i="26"/>
  <c r="M186" i="26"/>
  <c r="K186" i="26"/>
  <c r="G186" i="26"/>
  <c r="R185" i="26"/>
  <c r="M185" i="26"/>
  <c r="K185" i="26"/>
  <c r="G185" i="26"/>
  <c r="R184" i="26"/>
  <c r="O184" i="26"/>
  <c r="K184" i="26"/>
  <c r="G184" i="26"/>
  <c r="R183" i="26"/>
  <c r="O183" i="26"/>
  <c r="K183" i="26"/>
  <c r="G183" i="26"/>
  <c r="R182" i="26"/>
  <c r="M182" i="26"/>
  <c r="K182" i="26"/>
  <c r="G182" i="26"/>
  <c r="R181" i="26"/>
  <c r="M181" i="26"/>
  <c r="K181" i="26"/>
  <c r="G181" i="26"/>
  <c r="R180" i="26"/>
  <c r="O180" i="26"/>
  <c r="M180" i="26"/>
  <c r="K180" i="26"/>
  <c r="G180" i="26"/>
  <c r="R179" i="26"/>
  <c r="K179" i="26"/>
  <c r="G179" i="26"/>
  <c r="R178" i="26"/>
  <c r="O178" i="26"/>
  <c r="K178" i="26"/>
  <c r="G178" i="26"/>
  <c r="R177" i="26"/>
  <c r="M177" i="26"/>
  <c r="K177" i="26"/>
  <c r="G177" i="26"/>
  <c r="R176" i="26"/>
  <c r="M176" i="26"/>
  <c r="K176" i="26"/>
  <c r="G176" i="26"/>
  <c r="R175" i="26"/>
  <c r="K175" i="26"/>
  <c r="G175" i="26"/>
  <c r="R174" i="26"/>
  <c r="K174" i="26"/>
  <c r="G174" i="26"/>
  <c r="R173" i="26"/>
  <c r="K173" i="26"/>
  <c r="G173" i="26"/>
  <c r="R172" i="26"/>
  <c r="K172" i="26"/>
  <c r="G172" i="26"/>
  <c r="R171" i="26"/>
  <c r="K171" i="26"/>
  <c r="G171" i="26"/>
  <c r="R170" i="26"/>
  <c r="K170" i="26"/>
  <c r="G170" i="26"/>
  <c r="R169" i="26"/>
  <c r="K169" i="26"/>
  <c r="G169" i="26"/>
  <c r="R168" i="26"/>
  <c r="M168" i="26"/>
  <c r="K168" i="26"/>
  <c r="G168" i="26"/>
  <c r="R167" i="26"/>
  <c r="K167" i="26"/>
  <c r="G167" i="26"/>
  <c r="R166" i="26"/>
  <c r="O166" i="26"/>
  <c r="M166" i="26"/>
  <c r="K166" i="26"/>
  <c r="G166" i="26"/>
  <c r="R165" i="26"/>
  <c r="K165" i="26"/>
  <c r="G165" i="26"/>
  <c r="R164" i="26"/>
  <c r="O164" i="26"/>
  <c r="K164" i="26"/>
  <c r="G164" i="26"/>
  <c r="R163" i="26"/>
  <c r="M163" i="26"/>
  <c r="K163" i="26"/>
  <c r="G163" i="26"/>
  <c r="R162" i="26"/>
  <c r="O162" i="26"/>
  <c r="K162" i="26"/>
  <c r="G162" i="26"/>
  <c r="R161" i="26"/>
  <c r="O161" i="26"/>
  <c r="K161" i="26"/>
  <c r="G161" i="26"/>
  <c r="R160" i="26"/>
  <c r="O160" i="26"/>
  <c r="K160" i="26"/>
  <c r="G160" i="26"/>
  <c r="R159" i="26"/>
  <c r="K159" i="26"/>
  <c r="G159" i="26"/>
  <c r="R158" i="26"/>
  <c r="K158" i="26"/>
  <c r="G158" i="26"/>
  <c r="R157" i="26"/>
  <c r="O157" i="26"/>
  <c r="K157" i="26"/>
  <c r="G157" i="26"/>
  <c r="R156" i="26"/>
  <c r="K156" i="26"/>
  <c r="G156" i="26"/>
  <c r="R155" i="26"/>
  <c r="O155" i="26"/>
  <c r="M155" i="26"/>
  <c r="K155" i="26"/>
  <c r="G155" i="26"/>
  <c r="R154" i="26"/>
  <c r="O154" i="26"/>
  <c r="M154" i="26"/>
  <c r="K154" i="26"/>
  <c r="G154" i="26"/>
  <c r="R153" i="26"/>
  <c r="O153" i="26"/>
  <c r="M153" i="26"/>
  <c r="K153" i="26"/>
  <c r="G153" i="26"/>
  <c r="R152" i="26"/>
  <c r="K152" i="26"/>
  <c r="G152" i="26"/>
  <c r="R151" i="26"/>
  <c r="K151" i="26"/>
  <c r="G151" i="26"/>
  <c r="R150" i="26"/>
  <c r="K150" i="26"/>
  <c r="G150" i="26"/>
  <c r="R149" i="26"/>
  <c r="K149" i="26"/>
  <c r="G149" i="26"/>
  <c r="R148" i="26"/>
  <c r="O148" i="26"/>
  <c r="M148" i="26"/>
  <c r="K148" i="26"/>
  <c r="G148" i="26"/>
  <c r="R147" i="26"/>
  <c r="O147" i="26"/>
  <c r="M147" i="26"/>
  <c r="K147" i="26"/>
  <c r="G147" i="26"/>
  <c r="R146" i="26"/>
  <c r="O146" i="26"/>
  <c r="M146" i="26"/>
  <c r="K146" i="26"/>
  <c r="G146" i="26"/>
  <c r="R145" i="26"/>
  <c r="O145" i="26"/>
  <c r="K145" i="26"/>
  <c r="G145" i="26"/>
  <c r="R144" i="26"/>
  <c r="O144" i="26"/>
  <c r="M144" i="26"/>
  <c r="K144" i="26"/>
  <c r="G144" i="26"/>
  <c r="R143" i="26"/>
  <c r="M143" i="26"/>
  <c r="K143" i="26"/>
  <c r="G143" i="26"/>
  <c r="R142" i="26"/>
  <c r="M142" i="26"/>
  <c r="K142" i="26"/>
  <c r="G142" i="26"/>
  <c r="R141" i="26"/>
  <c r="M141" i="26"/>
  <c r="K141" i="26"/>
  <c r="G141" i="26"/>
  <c r="R140" i="26"/>
  <c r="M140" i="26"/>
  <c r="K140" i="26"/>
  <c r="G140" i="26"/>
  <c r="R139" i="26"/>
  <c r="M139" i="26"/>
  <c r="K139" i="26"/>
  <c r="G139" i="26"/>
  <c r="R138" i="26"/>
  <c r="O138" i="26"/>
  <c r="K138" i="26"/>
  <c r="G138" i="26"/>
  <c r="R137" i="26"/>
  <c r="K137" i="26"/>
  <c r="G137" i="26"/>
  <c r="R136" i="26"/>
  <c r="K136" i="26"/>
  <c r="G136" i="26"/>
  <c r="R135" i="26"/>
  <c r="O135" i="26"/>
  <c r="K135" i="26"/>
  <c r="G135" i="26"/>
  <c r="R134" i="26"/>
  <c r="O134" i="26"/>
  <c r="K134" i="26"/>
  <c r="G134" i="26"/>
  <c r="R133" i="26"/>
  <c r="O133" i="26"/>
  <c r="K133" i="26"/>
  <c r="G133" i="26"/>
  <c r="R132" i="26"/>
  <c r="K132" i="26"/>
  <c r="G132" i="26"/>
  <c r="R131" i="26"/>
  <c r="K131" i="26"/>
  <c r="G131" i="26"/>
  <c r="R130" i="26"/>
  <c r="O130" i="26"/>
  <c r="M130" i="26"/>
  <c r="K130" i="26"/>
  <c r="G130" i="26"/>
  <c r="R129" i="26"/>
  <c r="O129" i="26"/>
  <c r="M129" i="26"/>
  <c r="K129" i="26"/>
  <c r="G129" i="26"/>
  <c r="R128" i="26"/>
  <c r="O128" i="26"/>
  <c r="K128" i="26"/>
  <c r="G128" i="26"/>
  <c r="R127" i="26"/>
  <c r="O127" i="26"/>
  <c r="K127" i="26"/>
  <c r="G127" i="26"/>
  <c r="R126" i="26"/>
  <c r="O126" i="26"/>
  <c r="K126" i="26"/>
  <c r="G126" i="26"/>
  <c r="R125" i="26"/>
  <c r="O125" i="26"/>
  <c r="K125" i="26"/>
  <c r="G125" i="26"/>
  <c r="R124" i="26"/>
  <c r="K124" i="26"/>
  <c r="G124" i="26"/>
  <c r="R123" i="26"/>
  <c r="K123" i="26"/>
  <c r="G123" i="26"/>
  <c r="R122" i="26"/>
  <c r="O122" i="26"/>
  <c r="M122" i="26"/>
  <c r="K122" i="26"/>
  <c r="G122" i="26"/>
  <c r="R121" i="26"/>
  <c r="O121" i="26"/>
  <c r="M121" i="26"/>
  <c r="K121" i="26"/>
  <c r="G121" i="26"/>
  <c r="R120" i="26"/>
  <c r="O120" i="26"/>
  <c r="M120" i="26"/>
  <c r="K120" i="26"/>
  <c r="G120" i="26"/>
  <c r="R119" i="26"/>
  <c r="O119" i="26"/>
  <c r="M119" i="26"/>
  <c r="K119" i="26"/>
  <c r="G119" i="26"/>
  <c r="R118" i="26"/>
  <c r="O118" i="26"/>
  <c r="M118" i="26"/>
  <c r="K118" i="26"/>
  <c r="G118" i="26"/>
  <c r="R117" i="26"/>
  <c r="O117" i="26"/>
  <c r="M117" i="26"/>
  <c r="K117" i="26"/>
  <c r="G117" i="26"/>
  <c r="R116" i="26"/>
  <c r="O116" i="26"/>
  <c r="M116" i="26"/>
  <c r="K116" i="26"/>
  <c r="G116" i="26"/>
  <c r="R115" i="26"/>
  <c r="O115" i="26"/>
  <c r="K115" i="26"/>
  <c r="G115" i="26"/>
  <c r="R114" i="26"/>
  <c r="O114" i="26"/>
  <c r="K114" i="26"/>
  <c r="G114" i="26"/>
  <c r="R113" i="26"/>
  <c r="O113" i="26"/>
  <c r="K113" i="26"/>
  <c r="G113" i="26"/>
  <c r="R112" i="26"/>
  <c r="O112" i="26"/>
  <c r="K112" i="26"/>
  <c r="G112" i="26"/>
  <c r="R111" i="26"/>
  <c r="O111" i="26"/>
  <c r="K111" i="26"/>
  <c r="G111" i="26"/>
  <c r="R110" i="26"/>
  <c r="O110" i="26"/>
  <c r="K110" i="26"/>
  <c r="G110" i="26"/>
  <c r="R109" i="26"/>
  <c r="O109" i="26"/>
  <c r="K109" i="26"/>
  <c r="G109" i="26"/>
  <c r="R108" i="26"/>
  <c r="O108" i="26"/>
  <c r="K108" i="26"/>
  <c r="G108" i="26"/>
  <c r="R107" i="26"/>
  <c r="O107" i="26"/>
  <c r="K107" i="26"/>
  <c r="G107" i="26"/>
  <c r="R106" i="26"/>
  <c r="M106" i="26"/>
  <c r="K106" i="26"/>
  <c r="G106" i="26"/>
  <c r="R105" i="26"/>
  <c r="M105" i="26"/>
  <c r="K105" i="26"/>
  <c r="G105" i="26"/>
  <c r="R104" i="26"/>
  <c r="O104" i="26"/>
  <c r="M104" i="26"/>
  <c r="K104" i="26"/>
  <c r="G104" i="26"/>
  <c r="R103" i="26"/>
  <c r="O103" i="26"/>
  <c r="K103" i="26"/>
  <c r="G103" i="26"/>
  <c r="R102" i="26"/>
  <c r="K102" i="26"/>
  <c r="G102" i="26"/>
  <c r="R101" i="26"/>
  <c r="K101" i="26"/>
  <c r="G101" i="26"/>
  <c r="R100" i="26"/>
  <c r="K100" i="26"/>
  <c r="G100" i="26"/>
  <c r="R99" i="26"/>
  <c r="O99" i="26"/>
  <c r="K99" i="26"/>
  <c r="G99" i="26"/>
  <c r="R98" i="26"/>
  <c r="O98" i="26"/>
  <c r="K98" i="26"/>
  <c r="G98" i="26"/>
  <c r="R97" i="26"/>
  <c r="O97" i="26"/>
  <c r="K97" i="26"/>
  <c r="G97" i="26"/>
  <c r="R96" i="26"/>
  <c r="K96" i="26"/>
  <c r="G96" i="26"/>
  <c r="R95" i="26"/>
  <c r="K95" i="26"/>
  <c r="G95" i="26"/>
  <c r="R94" i="26"/>
  <c r="M94" i="26"/>
  <c r="K94" i="26"/>
  <c r="G94" i="26"/>
  <c r="R93" i="26"/>
  <c r="O93" i="26"/>
  <c r="K93" i="26"/>
  <c r="G93" i="26"/>
  <c r="R92" i="26"/>
  <c r="O92" i="26"/>
  <c r="K92" i="26"/>
  <c r="G92" i="26"/>
  <c r="R91" i="26"/>
  <c r="O91" i="26"/>
  <c r="K91" i="26"/>
  <c r="G91" i="26"/>
  <c r="R90" i="26"/>
  <c r="O90" i="26"/>
  <c r="K90" i="26"/>
  <c r="G90" i="26"/>
  <c r="R89" i="26"/>
  <c r="O89" i="26"/>
  <c r="K89" i="26"/>
  <c r="G89" i="26"/>
  <c r="R88" i="26"/>
  <c r="O88" i="26"/>
  <c r="M88" i="26"/>
  <c r="K88" i="26"/>
  <c r="G88" i="26"/>
  <c r="R87" i="26"/>
  <c r="O87" i="26"/>
  <c r="K87" i="26"/>
  <c r="G87" i="26"/>
  <c r="R86" i="26"/>
  <c r="O86" i="26"/>
  <c r="K86" i="26"/>
  <c r="G86" i="26"/>
  <c r="R85" i="26"/>
  <c r="O85" i="26"/>
  <c r="M85" i="26"/>
  <c r="K85" i="26"/>
  <c r="G85" i="26"/>
  <c r="R84" i="26"/>
  <c r="O84" i="26"/>
  <c r="K84" i="26"/>
  <c r="G84" i="26"/>
  <c r="R83" i="26"/>
  <c r="O83" i="26"/>
  <c r="K83" i="26"/>
  <c r="G83" i="26"/>
  <c r="R82" i="26"/>
  <c r="O82" i="26"/>
  <c r="K82" i="26"/>
  <c r="G82" i="26"/>
  <c r="R81" i="26"/>
  <c r="O81" i="26"/>
  <c r="K81" i="26"/>
  <c r="G81" i="26"/>
  <c r="R80" i="26"/>
  <c r="O80" i="26"/>
  <c r="M80" i="26"/>
  <c r="K80" i="26"/>
  <c r="G80" i="26"/>
  <c r="R79" i="26"/>
  <c r="K79" i="26"/>
  <c r="G79" i="26"/>
  <c r="R78" i="26"/>
  <c r="O78" i="26"/>
  <c r="K78" i="26"/>
  <c r="G78" i="26"/>
  <c r="R77" i="26"/>
  <c r="O77" i="26"/>
  <c r="K77" i="26"/>
  <c r="G77" i="26"/>
  <c r="R76" i="26"/>
  <c r="O76" i="26"/>
  <c r="K76" i="26"/>
  <c r="G76" i="26"/>
  <c r="R75" i="26"/>
  <c r="O75" i="26"/>
  <c r="K75" i="26"/>
  <c r="G75" i="26"/>
  <c r="R74" i="26"/>
  <c r="O74" i="26"/>
  <c r="K74" i="26"/>
  <c r="G74" i="26"/>
  <c r="R73" i="26"/>
  <c r="O73" i="26"/>
  <c r="K73" i="26"/>
  <c r="G73" i="26"/>
  <c r="R72" i="26"/>
  <c r="O72" i="26"/>
  <c r="K72" i="26"/>
  <c r="G72" i="26"/>
  <c r="R71" i="26"/>
  <c r="O71" i="26"/>
  <c r="K71" i="26"/>
  <c r="G71" i="26"/>
  <c r="R70" i="26"/>
  <c r="K70" i="26"/>
  <c r="G70" i="26"/>
  <c r="R69" i="26"/>
  <c r="O69" i="26"/>
  <c r="M69" i="26"/>
  <c r="K69" i="26"/>
  <c r="G69" i="26"/>
  <c r="R68" i="26"/>
  <c r="O68" i="26"/>
  <c r="K68" i="26"/>
  <c r="G68" i="26"/>
  <c r="R67" i="26"/>
  <c r="O67" i="26"/>
  <c r="K67" i="26"/>
  <c r="G67" i="26"/>
  <c r="R66" i="26"/>
  <c r="O66" i="26"/>
  <c r="K66" i="26"/>
  <c r="G66" i="26"/>
  <c r="R65" i="26"/>
  <c r="M65" i="26"/>
  <c r="K65" i="26"/>
  <c r="G65" i="26"/>
  <c r="R64" i="26"/>
  <c r="O64" i="26"/>
  <c r="K64" i="26"/>
  <c r="G64" i="26"/>
  <c r="R63" i="26"/>
  <c r="K63" i="26"/>
  <c r="G63" i="26"/>
  <c r="R62" i="26"/>
  <c r="O62" i="26"/>
  <c r="K62" i="26"/>
  <c r="G62" i="26"/>
  <c r="R61" i="26"/>
  <c r="O61" i="26"/>
  <c r="K61" i="26"/>
  <c r="G61" i="26"/>
  <c r="R60" i="26"/>
  <c r="O60" i="26"/>
  <c r="K60" i="26"/>
  <c r="G60" i="26"/>
  <c r="R59" i="26"/>
  <c r="O59" i="26"/>
  <c r="K59" i="26"/>
  <c r="G59" i="26"/>
  <c r="R58" i="26"/>
  <c r="O58" i="26"/>
  <c r="K58" i="26"/>
  <c r="G58" i="26"/>
  <c r="R57" i="26"/>
  <c r="O57" i="26"/>
  <c r="K57" i="26"/>
  <c r="G57" i="26"/>
  <c r="R56" i="26"/>
  <c r="O56" i="26"/>
  <c r="K56" i="26"/>
  <c r="G56" i="26"/>
  <c r="R55" i="26"/>
  <c r="O55" i="26"/>
  <c r="K55" i="26"/>
  <c r="G55" i="26"/>
  <c r="R54" i="26"/>
  <c r="O54" i="26"/>
  <c r="K54" i="26"/>
  <c r="G54" i="26"/>
  <c r="R53" i="26"/>
  <c r="O53" i="26"/>
  <c r="K53" i="26"/>
  <c r="G53" i="26"/>
  <c r="R52" i="26"/>
  <c r="O52" i="26"/>
  <c r="K52" i="26"/>
  <c r="G52" i="26"/>
  <c r="R51" i="26"/>
  <c r="O51" i="26"/>
  <c r="K51" i="26"/>
  <c r="G51" i="26"/>
  <c r="R50" i="26"/>
  <c r="O50" i="26"/>
  <c r="K50" i="26"/>
  <c r="G50" i="26"/>
  <c r="R49" i="26"/>
  <c r="O49" i="26"/>
  <c r="K49" i="26"/>
  <c r="G49" i="26"/>
  <c r="R48" i="26"/>
  <c r="O48" i="26"/>
  <c r="K48" i="26"/>
  <c r="G48" i="26"/>
  <c r="R47" i="26"/>
  <c r="O47" i="26"/>
  <c r="K47" i="26"/>
  <c r="G47" i="26"/>
  <c r="R46" i="26"/>
  <c r="O46" i="26"/>
  <c r="K46" i="26"/>
  <c r="G46" i="26"/>
  <c r="R45" i="26"/>
  <c r="O45" i="26"/>
  <c r="K45" i="26"/>
  <c r="G45" i="26"/>
  <c r="R44" i="26"/>
  <c r="O44" i="26"/>
  <c r="K44" i="26"/>
  <c r="G44" i="26"/>
  <c r="R43" i="26"/>
  <c r="O43" i="26"/>
  <c r="K43" i="26"/>
  <c r="G43" i="26"/>
  <c r="R42" i="26"/>
  <c r="O42" i="26"/>
  <c r="K42" i="26"/>
  <c r="G42" i="26"/>
  <c r="R41" i="26"/>
  <c r="O41" i="26"/>
  <c r="K41" i="26"/>
  <c r="G41" i="26"/>
  <c r="R40" i="26"/>
  <c r="O40" i="26"/>
  <c r="K40" i="26"/>
  <c r="G40" i="26"/>
  <c r="R39" i="26"/>
  <c r="O39" i="26"/>
  <c r="K39" i="26"/>
  <c r="G39" i="26"/>
  <c r="R38" i="26"/>
  <c r="O38" i="26"/>
  <c r="K38" i="26"/>
  <c r="G38" i="26"/>
  <c r="R37" i="26"/>
  <c r="O37" i="26"/>
  <c r="K37" i="26"/>
  <c r="G37" i="26"/>
  <c r="R36" i="26"/>
  <c r="O36" i="26"/>
  <c r="K36" i="26"/>
  <c r="G36" i="26"/>
  <c r="R35" i="26"/>
  <c r="O35" i="26"/>
  <c r="K35" i="26"/>
  <c r="G35" i="26"/>
  <c r="R34" i="26"/>
  <c r="O34" i="26"/>
  <c r="K34" i="26"/>
  <c r="G34" i="26"/>
  <c r="R33" i="26"/>
  <c r="O33" i="26"/>
  <c r="K33" i="26"/>
  <c r="G33" i="26"/>
  <c r="R32" i="26"/>
  <c r="O32" i="26"/>
  <c r="K32" i="26"/>
  <c r="G32" i="26"/>
  <c r="R31" i="26"/>
  <c r="O31" i="26"/>
  <c r="K31" i="26"/>
  <c r="G31" i="26"/>
  <c r="R30" i="26"/>
  <c r="O30" i="26"/>
  <c r="K30" i="26"/>
  <c r="G30" i="26"/>
  <c r="R29" i="26"/>
  <c r="K29" i="26"/>
  <c r="G29" i="26"/>
  <c r="S29" i="26" s="1"/>
  <c r="R28" i="26"/>
  <c r="K28" i="26"/>
  <c r="G28" i="26"/>
  <c r="S28" i="26" s="1"/>
  <c r="R27" i="26"/>
  <c r="K27" i="26"/>
  <c r="G27" i="26"/>
  <c r="S27" i="26" s="1"/>
  <c r="R26" i="26"/>
  <c r="O26" i="26"/>
  <c r="K26" i="26"/>
  <c r="G26" i="26"/>
  <c r="S26" i="26" s="1"/>
  <c r="R25" i="26"/>
  <c r="O25" i="26"/>
  <c r="K25" i="26"/>
  <c r="G25" i="26"/>
  <c r="S25" i="26" s="1"/>
  <c r="R24" i="26"/>
  <c r="O24" i="26"/>
  <c r="K24" i="26"/>
  <c r="G24" i="26"/>
  <c r="S24" i="26" s="1"/>
  <c r="R23" i="26"/>
  <c r="O23" i="26"/>
  <c r="K23" i="26"/>
  <c r="G23" i="26"/>
  <c r="S23" i="26" s="1"/>
  <c r="R22" i="26"/>
  <c r="O22" i="26"/>
  <c r="K22" i="26"/>
  <c r="G22" i="26"/>
  <c r="S22" i="26" s="1"/>
  <c r="R21" i="26"/>
  <c r="O21" i="26"/>
  <c r="K21" i="26"/>
  <c r="G21" i="26"/>
  <c r="S21" i="26" s="1"/>
  <c r="R20" i="26"/>
  <c r="O20" i="26"/>
  <c r="M20" i="26"/>
  <c r="K20" i="26"/>
  <c r="G20" i="26"/>
  <c r="S20" i="26" s="1"/>
  <c r="R19" i="26"/>
  <c r="O19" i="26"/>
  <c r="K19" i="26"/>
  <c r="G19" i="26"/>
  <c r="S19" i="26" s="1"/>
  <c r="R18" i="26"/>
  <c r="O18" i="26"/>
  <c r="K18" i="26"/>
  <c r="G18" i="26"/>
  <c r="S18" i="26" s="1"/>
  <c r="R17" i="26"/>
  <c r="O17" i="26"/>
  <c r="K17" i="26"/>
  <c r="G17" i="26"/>
  <c r="S17" i="26" s="1"/>
  <c r="R16" i="26"/>
  <c r="O16" i="26"/>
  <c r="K16" i="26"/>
  <c r="G16" i="26"/>
  <c r="S16" i="26" s="1"/>
  <c r="R15" i="26"/>
  <c r="O15" i="26"/>
  <c r="K15" i="26"/>
  <c r="G15" i="26"/>
  <c r="S15" i="26" s="1"/>
  <c r="R14" i="26"/>
  <c r="O14" i="26"/>
  <c r="K14" i="26"/>
  <c r="G14" i="26"/>
  <c r="S14" i="26" s="1"/>
  <c r="R13" i="26"/>
  <c r="O13" i="26"/>
  <c r="M13" i="26"/>
  <c r="K13" i="26"/>
  <c r="G13" i="26"/>
  <c r="S13" i="26" s="1"/>
  <c r="R12" i="26"/>
  <c r="O12" i="26"/>
  <c r="M12" i="26"/>
  <c r="K12" i="26"/>
  <c r="G12" i="26"/>
  <c r="S12" i="26" s="1"/>
  <c r="R11" i="26"/>
  <c r="O11" i="26"/>
  <c r="M11" i="26"/>
  <c r="K11" i="26"/>
  <c r="G11" i="26"/>
  <c r="S11" i="26" s="1"/>
  <c r="R10" i="26"/>
  <c r="O10" i="26"/>
  <c r="M10" i="26"/>
  <c r="K10" i="26"/>
  <c r="G10" i="26"/>
  <c r="S10" i="26" s="1"/>
  <c r="R9" i="26"/>
  <c r="O9" i="26"/>
  <c r="M9" i="26"/>
  <c r="K9" i="26"/>
  <c r="G9" i="26"/>
  <c r="S9" i="26" s="1"/>
  <c r="R8" i="26"/>
  <c r="O8" i="26"/>
  <c r="M8" i="26"/>
  <c r="K8" i="26"/>
  <c r="G8" i="26"/>
  <c r="S8" i="26" s="1"/>
  <c r="R7" i="26"/>
  <c r="O7" i="26"/>
  <c r="M7" i="26"/>
  <c r="K7" i="26"/>
  <c r="G7" i="26"/>
  <c r="S7" i="26" s="1"/>
  <c r="R6" i="26"/>
  <c r="O6" i="26"/>
  <c r="M6" i="26"/>
  <c r="K6" i="26"/>
  <c r="G6" i="26"/>
  <c r="S6" i="26" s="1"/>
  <c r="R5" i="26"/>
  <c r="O5" i="26"/>
  <c r="M5" i="26"/>
  <c r="K5" i="26"/>
  <c r="G5" i="26"/>
  <c r="S5" i="26" s="1"/>
  <c r="R4" i="26"/>
  <c r="O4" i="26"/>
  <c r="M4" i="26"/>
  <c r="K4" i="26"/>
  <c r="G4" i="26"/>
  <c r="S4" i="26" s="1"/>
  <c r="R3" i="26"/>
  <c r="O3" i="26"/>
  <c r="M3" i="26"/>
  <c r="K3" i="26"/>
  <c r="G3" i="26"/>
  <c r="S3" i="26" s="1"/>
  <c r="R2" i="26"/>
  <c r="O2" i="26"/>
  <c r="M2" i="26"/>
  <c r="K2" i="26"/>
  <c r="G2" i="26"/>
  <c r="S2" i="26" s="1"/>
  <c r="S116" i="26" l="1"/>
  <c r="S148" i="26"/>
  <c r="S180" i="26"/>
  <c r="S204" i="26"/>
  <c r="S69" i="26"/>
  <c r="S85" i="26"/>
  <c r="S117" i="26"/>
  <c r="S121" i="26"/>
  <c r="S129" i="26"/>
  <c r="S153" i="26"/>
  <c r="S193" i="26"/>
  <c r="S209" i="26"/>
  <c r="S118" i="26"/>
  <c r="S166" i="26"/>
  <c r="S119" i="26"/>
  <c r="S147" i="26"/>
  <c r="S155" i="26"/>
  <c r="S207" i="26"/>
  <c r="S122" i="26"/>
  <c r="S130" i="26"/>
  <c r="S146" i="26"/>
  <c r="S154" i="26"/>
  <c r="S202" i="26"/>
  <c r="S80" i="26"/>
  <c r="S88" i="26"/>
  <c r="S104" i="26"/>
  <c r="S120" i="26"/>
  <c r="S144" i="26"/>
  <c r="S208" i="26"/>
  <c r="K10" i="2" l="1"/>
  <c r="V154" i="27" s="1"/>
  <c r="H10" i="2"/>
  <c r="K9" i="2"/>
  <c r="H9" i="2"/>
  <c r="K8" i="2"/>
  <c r="H8" i="2"/>
  <c r="H7" i="2"/>
  <c r="H6" i="2"/>
  <c r="H5" i="2"/>
  <c r="T76" i="27" l="1"/>
  <c r="AH76" i="27" s="1"/>
  <c r="T103" i="27"/>
  <c r="AH103" i="27" s="1"/>
  <c r="T115" i="27"/>
  <c r="AH115" i="27" s="1"/>
  <c r="T63" i="27"/>
  <c r="T130" i="27"/>
  <c r="T47" i="27"/>
  <c r="T102" i="27"/>
  <c r="AH102" i="27" s="1"/>
  <c r="T105" i="27"/>
  <c r="AH105" i="27" s="1"/>
  <c r="T37" i="27"/>
  <c r="T49" i="27"/>
  <c r="AH49" i="27" s="1"/>
  <c r="T16" i="27"/>
  <c r="AH16" i="27" s="1"/>
  <c r="T154" i="27"/>
  <c r="AH154" i="27" s="1"/>
  <c r="V137" i="27"/>
  <c r="V144" i="27"/>
  <c r="T239" i="27"/>
  <c r="AH239" i="27" s="1"/>
  <c r="T210" i="27"/>
  <c r="AH210" i="27" s="1"/>
  <c r="T27" i="27"/>
  <c r="AH27" i="27" s="1"/>
  <c r="T42" i="27"/>
  <c r="AH42" i="27" s="1"/>
  <c r="T148" i="27"/>
  <c r="AH148" i="27" s="1"/>
  <c r="T93" i="27"/>
  <c r="AH93" i="27" s="1"/>
  <c r="T45" i="27"/>
  <c r="AH45" i="27" s="1"/>
  <c r="T43" i="27"/>
  <c r="AH43" i="27" s="1"/>
  <c r="T29" i="27"/>
  <c r="AH29" i="27" s="1"/>
  <c r="T97" i="27"/>
  <c r="AH97" i="27" s="1"/>
  <c r="T52" i="27"/>
  <c r="AH52" i="27" s="1"/>
  <c r="T111" i="27"/>
  <c r="AH111" i="27" s="1"/>
  <c r="T113" i="27"/>
  <c r="T57" i="27"/>
  <c r="AH57" i="27" s="1"/>
  <c r="T137" i="27"/>
  <c r="T54" i="27"/>
  <c r="AH54" i="27" s="1"/>
  <c r="V130" i="27"/>
  <c r="V47" i="27"/>
  <c r="V113" i="27"/>
  <c r="V63" i="27"/>
  <c r="T119" i="27"/>
  <c r="AH119" i="27" s="1"/>
  <c r="T144" i="27"/>
  <c r="V53" i="27"/>
  <c r="V55" i="27"/>
  <c r="V132" i="27"/>
  <c r="V90" i="27"/>
  <c r="T3" i="27"/>
  <c r="AH3" i="27" s="1"/>
  <c r="T10" i="27"/>
  <c r="AH10" i="27" s="1"/>
  <c r="T53" i="27"/>
  <c r="T55" i="27"/>
  <c r="T9" i="27"/>
  <c r="AH9" i="27" s="1"/>
  <c r="T4" i="27"/>
  <c r="AH4" i="27" s="1"/>
  <c r="T118" i="27"/>
  <c r="T132" i="27"/>
  <c r="V118" i="27"/>
  <c r="T19" i="27"/>
  <c r="AH19" i="27" s="1"/>
  <c r="T38" i="27"/>
  <c r="T199" i="27"/>
  <c r="AH199" i="27" s="1"/>
  <c r="T2" i="27"/>
  <c r="AH2" i="27" s="1"/>
  <c r="T11" i="27"/>
  <c r="AH11" i="27" s="1"/>
  <c r="T34" i="27"/>
  <c r="U164" i="32"/>
  <c r="U25" i="31"/>
  <c r="U21" i="31"/>
  <c r="U102" i="31"/>
  <c r="AF102" i="31" s="1"/>
  <c r="U154" i="31"/>
  <c r="U184" i="32"/>
  <c r="AF184" i="32" s="1"/>
  <c r="U149" i="32"/>
  <c r="U136" i="32"/>
  <c r="AF136" i="32" s="1"/>
  <c r="U121" i="32"/>
  <c r="U123" i="31"/>
  <c r="AF123" i="31" s="1"/>
  <c r="U97" i="31"/>
  <c r="AF97" i="31" s="1"/>
  <c r="U89" i="31"/>
  <c r="U123" i="32"/>
  <c r="U167" i="31"/>
  <c r="U166" i="32"/>
  <c r="AF166" i="32" s="1"/>
  <c r="U129" i="32"/>
  <c r="U129" i="31"/>
  <c r="U165" i="31"/>
  <c r="U149" i="31"/>
  <c r="U150" i="32"/>
  <c r="U174" i="31"/>
  <c r="AF174" i="31" s="1"/>
  <c r="U166" i="31"/>
  <c r="U90" i="31"/>
  <c r="U172" i="32"/>
  <c r="AF172" i="32" s="1"/>
  <c r="U21" i="32"/>
  <c r="U15" i="32"/>
  <c r="U143" i="31"/>
  <c r="AF143" i="31" s="1"/>
  <c r="U152" i="31"/>
  <c r="U94" i="31"/>
  <c r="U167" i="32"/>
  <c r="AF167" i="32" s="1"/>
  <c r="U163" i="32"/>
  <c r="U91" i="31"/>
  <c r="U173" i="32"/>
  <c r="U162" i="32"/>
  <c r="U145" i="32"/>
  <c r="U133" i="32"/>
  <c r="AF133" i="32" s="1"/>
  <c r="U78" i="32"/>
  <c r="U169" i="31"/>
  <c r="AF169" i="31" s="1"/>
  <c r="S182" i="32"/>
  <c r="AF182" i="32" s="1"/>
  <c r="S122" i="32"/>
  <c r="AF122" i="32" s="1"/>
  <c r="S66" i="32"/>
  <c r="AF66" i="32" s="1"/>
  <c r="S51" i="32"/>
  <c r="AF51" i="32" s="1"/>
  <c r="S154" i="31"/>
  <c r="S146" i="31"/>
  <c r="S131" i="31"/>
  <c r="S91" i="31"/>
  <c r="S150" i="32"/>
  <c r="AF150" i="32" s="1"/>
  <c r="S142" i="32"/>
  <c r="S113" i="31"/>
  <c r="AF113" i="31" s="1"/>
  <c r="S145" i="31"/>
  <c r="S108" i="32"/>
  <c r="AF108" i="32" s="1"/>
  <c r="S75" i="32"/>
  <c r="AF75" i="32" s="1"/>
  <c r="S52" i="32"/>
  <c r="AF52" i="32" s="1"/>
  <c r="S38" i="32"/>
  <c r="S133" i="31"/>
  <c r="AF133" i="31" s="1"/>
  <c r="S106" i="31"/>
  <c r="S96" i="31"/>
  <c r="AF96" i="31" s="1"/>
  <c r="S67" i="31"/>
  <c r="S18" i="31"/>
  <c r="AF18" i="31" s="1"/>
  <c r="S15" i="31"/>
  <c r="AF15" i="31" s="1"/>
  <c r="S140" i="32"/>
  <c r="S137" i="31"/>
  <c r="AF137" i="31" s="1"/>
  <c r="S31" i="31"/>
  <c r="AF31" i="31" s="1"/>
  <c r="S98" i="32"/>
  <c r="AF98" i="32" s="1"/>
  <c r="S82" i="32"/>
  <c r="AF82" i="32" s="1"/>
  <c r="S60" i="32"/>
  <c r="AF60" i="32" s="1"/>
  <c r="S53" i="32"/>
  <c r="AF53" i="32" s="1"/>
  <c r="S89" i="31"/>
  <c r="AF89" i="31" s="1"/>
  <c r="S65" i="31"/>
  <c r="AF65" i="31" s="1"/>
  <c r="S8" i="31"/>
  <c r="S54" i="31"/>
  <c r="AF54" i="31" s="1"/>
  <c r="S44" i="31"/>
  <c r="S62" i="32"/>
  <c r="S46" i="32"/>
  <c r="AF46" i="32" s="1"/>
  <c r="S3" i="32"/>
  <c r="AF3" i="32" s="1"/>
  <c r="S126" i="31"/>
  <c r="AF126" i="31" s="1"/>
  <c r="S46" i="31"/>
  <c r="AF46" i="31" s="1"/>
  <c r="S30" i="31"/>
  <c r="AF30" i="31" s="1"/>
  <c r="S179" i="32"/>
  <c r="AF179" i="32" s="1"/>
  <c r="S147" i="32"/>
  <c r="S126" i="32"/>
  <c r="S123" i="32"/>
  <c r="S12" i="32"/>
  <c r="AF12" i="32" s="1"/>
  <c r="S107" i="31"/>
  <c r="AF107" i="31" s="1"/>
  <c r="S92" i="31"/>
  <c r="AF92" i="31" s="1"/>
  <c r="S68" i="31"/>
  <c r="AF68" i="31" s="1"/>
  <c r="S32" i="31"/>
  <c r="AF32" i="31" s="1"/>
  <c r="S157" i="31"/>
  <c r="AF157" i="31" s="1"/>
  <c r="S23" i="31"/>
  <c r="AF23" i="31" s="1"/>
  <c r="S89" i="32"/>
  <c r="AF89" i="32" s="1"/>
  <c r="S88" i="32"/>
  <c r="S41" i="32"/>
  <c r="AF41" i="32" s="1"/>
  <c r="S175" i="32"/>
  <c r="AF175" i="32" s="1"/>
  <c r="S77" i="31"/>
  <c r="S78" i="32"/>
  <c r="S59" i="32"/>
  <c r="AF59" i="32" s="1"/>
  <c r="S26" i="32"/>
  <c r="S2" i="31"/>
  <c r="AF2" i="31" s="1"/>
  <c r="T79" i="27"/>
  <c r="AH79" i="27" s="1"/>
  <c r="S163" i="32"/>
  <c r="S128" i="32"/>
  <c r="S105" i="32"/>
  <c r="S39" i="32"/>
  <c r="S204" i="31"/>
  <c r="AF204" i="31" s="1"/>
  <c r="S178" i="31"/>
  <c r="AF178" i="31" s="1"/>
  <c r="S183" i="32"/>
  <c r="AF183" i="32" s="1"/>
  <c r="S106" i="32"/>
  <c r="S28" i="32"/>
  <c r="S139" i="31"/>
  <c r="S57" i="31"/>
  <c r="AF57" i="31" s="1"/>
  <c r="S9" i="31"/>
  <c r="S61" i="32"/>
  <c r="S125" i="31"/>
  <c r="S111" i="31"/>
  <c r="S58" i="31"/>
  <c r="AF58" i="31" s="1"/>
  <c r="S81" i="31"/>
  <c r="S204" i="32"/>
  <c r="AF204" i="32" s="1"/>
  <c r="S111" i="32"/>
  <c r="AF111" i="32" s="1"/>
  <c r="S96" i="32"/>
  <c r="AF96" i="32" s="1"/>
  <c r="S198" i="31"/>
  <c r="AF198" i="31" s="1"/>
  <c r="S134" i="31"/>
  <c r="S80" i="31"/>
  <c r="S59" i="31"/>
  <c r="S166" i="31"/>
  <c r="S198" i="32"/>
  <c r="AF198" i="32" s="1"/>
  <c r="S141" i="31"/>
  <c r="AF141" i="31" s="1"/>
  <c r="S41" i="31"/>
  <c r="S107" i="32"/>
  <c r="S132" i="32"/>
  <c r="S80" i="32"/>
  <c r="AF80" i="32" s="1"/>
  <c r="S13" i="32"/>
  <c r="AF13" i="32" s="1"/>
  <c r="S115" i="31"/>
  <c r="AF115" i="31" s="1"/>
  <c r="S101" i="31"/>
  <c r="AF101" i="31" s="1"/>
  <c r="S119" i="32"/>
  <c r="S81" i="32"/>
  <c r="AF81" i="32" s="1"/>
  <c r="S83" i="31"/>
  <c r="S66" i="31"/>
  <c r="S60" i="31"/>
  <c r="S138" i="32"/>
  <c r="S43" i="32"/>
  <c r="S124" i="31"/>
  <c r="AF124" i="31" s="1"/>
  <c r="S45" i="31"/>
  <c r="AF45" i="31" s="1"/>
  <c r="S121" i="32"/>
  <c r="AF121" i="32" s="1"/>
  <c r="S156" i="31"/>
  <c r="S140" i="31"/>
  <c r="S142" i="31"/>
  <c r="S115" i="32"/>
  <c r="AF115" i="32" s="1"/>
  <c r="S129" i="31"/>
  <c r="S149" i="31"/>
  <c r="S77" i="32"/>
  <c r="S109" i="32"/>
  <c r="S87" i="32"/>
  <c r="S90" i="31"/>
  <c r="S145" i="32"/>
  <c r="S152" i="32"/>
  <c r="S118" i="32"/>
  <c r="AF118" i="32" s="1"/>
  <c r="S64" i="32"/>
  <c r="AF64" i="32" s="1"/>
  <c r="S122" i="31"/>
  <c r="AF122" i="31" s="1"/>
  <c r="S173" i="32"/>
  <c r="AF173" i="32" s="1"/>
  <c r="S134" i="32"/>
  <c r="S86" i="31"/>
  <c r="T31" i="27"/>
  <c r="S85" i="31"/>
  <c r="S164" i="32"/>
  <c r="S131" i="32"/>
  <c r="AF131" i="32" s="1"/>
  <c r="S138" i="31"/>
  <c r="AF138" i="31" s="1"/>
  <c r="S203" i="32"/>
  <c r="AF203" i="32" s="1"/>
  <c r="S169" i="32"/>
  <c r="S125" i="32"/>
  <c r="AF125" i="32" s="1"/>
  <c r="S139" i="32"/>
  <c r="S54" i="32"/>
  <c r="AF54" i="32" s="1"/>
  <c r="S165" i="31"/>
  <c r="AF165" i="31" s="1"/>
  <c r="S203" i="31"/>
  <c r="AF203" i="31" s="1"/>
  <c r="S116" i="32"/>
  <c r="S167" i="31"/>
  <c r="S128" i="31"/>
  <c r="AF128" i="31" s="1"/>
  <c r="S33" i="31"/>
  <c r="AF33" i="31" s="1"/>
  <c r="S176" i="31"/>
  <c r="S144" i="31"/>
  <c r="S162" i="32"/>
  <c r="AF162" i="32" s="1"/>
  <c r="S112" i="32"/>
  <c r="AF112" i="32" s="1"/>
  <c r="S50" i="31"/>
  <c r="AF50" i="31" s="1"/>
  <c r="S35" i="31"/>
  <c r="AF35" i="31" s="1"/>
  <c r="S26" i="31"/>
  <c r="AF26" i="31" s="1"/>
  <c r="S202" i="32"/>
  <c r="S168" i="32"/>
  <c r="S159" i="32"/>
  <c r="S93" i="32"/>
  <c r="AF93" i="32" s="1"/>
  <c r="S24" i="32"/>
  <c r="AF24" i="32" s="1"/>
  <c r="S132" i="31"/>
  <c r="AF132" i="31" s="1"/>
  <c r="S110" i="31"/>
  <c r="AF110" i="31" s="1"/>
  <c r="S37" i="31"/>
  <c r="AF37" i="31" s="1"/>
  <c r="S21" i="31"/>
  <c r="S70" i="32"/>
  <c r="AF70" i="32" s="1"/>
  <c r="S99" i="31"/>
  <c r="AF99" i="31" s="1"/>
  <c r="S36" i="31"/>
  <c r="AF36" i="31" s="1"/>
  <c r="S153" i="31"/>
  <c r="AF153" i="31" s="1"/>
  <c r="S149" i="32"/>
  <c r="S37" i="32"/>
  <c r="AF37" i="32" s="1"/>
  <c r="S2" i="32"/>
  <c r="AF2" i="32" s="1"/>
  <c r="S73" i="31"/>
  <c r="S55" i="32"/>
  <c r="AF55" i="32" s="1"/>
  <c r="S47" i="32"/>
  <c r="AF47" i="32" s="1"/>
  <c r="S49" i="31"/>
  <c r="AF49" i="31" s="1"/>
  <c r="S129" i="32"/>
  <c r="S99" i="32"/>
  <c r="AF99" i="32" s="1"/>
  <c r="S69" i="32"/>
  <c r="AF69" i="32" s="1"/>
  <c r="S44" i="32"/>
  <c r="S84" i="31"/>
  <c r="AF84" i="31" s="1"/>
  <c r="S34" i="31"/>
  <c r="AF34" i="31" s="1"/>
  <c r="S71" i="32"/>
  <c r="AF71" i="32" s="1"/>
  <c r="S56" i="32"/>
  <c r="AF56" i="32" s="1"/>
  <c r="S175" i="31"/>
  <c r="S116" i="31"/>
  <c r="S14" i="31"/>
  <c r="AF14" i="31" s="1"/>
  <c r="S48" i="31"/>
  <c r="AF48" i="31" s="1"/>
  <c r="S127" i="32"/>
  <c r="AF127" i="32" s="1"/>
  <c r="S101" i="32"/>
  <c r="AF101" i="32" s="1"/>
  <c r="S57" i="32"/>
  <c r="AF57" i="32" s="1"/>
  <c r="S15" i="32"/>
  <c r="S202" i="31"/>
  <c r="S152" i="31"/>
  <c r="S94" i="31"/>
  <c r="S108" i="31"/>
  <c r="AF108" i="31" s="1"/>
  <c r="S62" i="31"/>
  <c r="S97" i="32"/>
  <c r="U202" i="32"/>
  <c r="U148" i="32"/>
  <c r="AF148" i="32" s="1"/>
  <c r="U138" i="32"/>
  <c r="U106" i="32"/>
  <c r="U43" i="32"/>
  <c r="U38" i="32"/>
  <c r="U163" i="31"/>
  <c r="AF163" i="31" s="1"/>
  <c r="U155" i="31"/>
  <c r="AF155" i="31" s="1"/>
  <c r="U106" i="31"/>
  <c r="U139" i="31"/>
  <c r="U87" i="31"/>
  <c r="AF87" i="31" s="1"/>
  <c r="U76" i="31"/>
  <c r="AF76" i="31" s="1"/>
  <c r="U67" i="31"/>
  <c r="U158" i="32"/>
  <c r="AF158" i="32" s="1"/>
  <c r="U116" i="32"/>
  <c r="U87" i="32"/>
  <c r="U79" i="32"/>
  <c r="AF79" i="32" s="1"/>
  <c r="U63" i="31"/>
  <c r="AF63" i="31" s="1"/>
  <c r="U85" i="31"/>
  <c r="U165" i="32"/>
  <c r="AF165" i="32" s="1"/>
  <c r="U100" i="32"/>
  <c r="AF100" i="32" s="1"/>
  <c r="U84" i="32"/>
  <c r="AF84" i="32" s="1"/>
  <c r="U61" i="32"/>
  <c r="U156" i="31"/>
  <c r="U140" i="31"/>
  <c r="U125" i="31"/>
  <c r="U118" i="31"/>
  <c r="U111" i="31"/>
  <c r="U73" i="31"/>
  <c r="U151" i="32"/>
  <c r="AF151" i="32" s="1"/>
  <c r="U48" i="32"/>
  <c r="AF48" i="32" s="1"/>
  <c r="U146" i="31"/>
  <c r="U153" i="32"/>
  <c r="AF153" i="32" s="1"/>
  <c r="U139" i="32"/>
  <c r="U85" i="32"/>
  <c r="U62" i="32"/>
  <c r="U44" i="32"/>
  <c r="U134" i="31"/>
  <c r="U119" i="31"/>
  <c r="U80" i="31"/>
  <c r="U59" i="31"/>
  <c r="U109" i="32"/>
  <c r="U151" i="31"/>
  <c r="AF151" i="31" s="1"/>
  <c r="U74" i="31"/>
  <c r="AF74" i="31" s="1"/>
  <c r="U131" i="31"/>
  <c r="U142" i="32"/>
  <c r="U140" i="32"/>
  <c r="U130" i="32"/>
  <c r="AF130" i="32" s="1"/>
  <c r="U102" i="32"/>
  <c r="AF102" i="32" s="1"/>
  <c r="U77" i="32"/>
  <c r="U63" i="32"/>
  <c r="U190" i="31"/>
  <c r="AF190" i="31" s="1"/>
  <c r="U150" i="31"/>
  <c r="AF150" i="31" s="1"/>
  <c r="U142" i="31"/>
  <c r="U81" i="31"/>
  <c r="U60" i="31"/>
  <c r="U44" i="31"/>
  <c r="U147" i="32"/>
  <c r="U126" i="32"/>
  <c r="U41" i="31"/>
  <c r="U56" i="31"/>
  <c r="AF56" i="31" s="1"/>
  <c r="U152" i="32"/>
  <c r="U132" i="32"/>
  <c r="U117" i="32"/>
  <c r="AF117" i="32" s="1"/>
  <c r="U103" i="32"/>
  <c r="AF103" i="32" s="1"/>
  <c r="U88" i="32"/>
  <c r="U202" i="31"/>
  <c r="U168" i="31"/>
  <c r="AF168" i="31" s="1"/>
  <c r="U144" i="31"/>
  <c r="U64" i="31"/>
  <c r="U77" i="31"/>
  <c r="U62" i="31"/>
  <c r="U42" i="31"/>
  <c r="U114" i="32"/>
  <c r="U66" i="31"/>
  <c r="U190" i="32"/>
  <c r="AF190" i="32" s="1"/>
  <c r="U134" i="32"/>
  <c r="U119" i="32"/>
  <c r="U113" i="32"/>
  <c r="U107" i="32"/>
  <c r="U97" i="32"/>
  <c r="U109" i="31"/>
  <c r="AF109" i="31" s="1"/>
  <c r="U145" i="31"/>
  <c r="U95" i="31"/>
  <c r="AF95" i="31" s="1"/>
  <c r="U75" i="31"/>
  <c r="AF75" i="31" s="1"/>
  <c r="U86" i="31"/>
  <c r="U146" i="32"/>
  <c r="AF146" i="32" s="1"/>
  <c r="U128" i="32"/>
  <c r="U105" i="32"/>
  <c r="U39" i="32"/>
  <c r="U83" i="31"/>
  <c r="U27" i="31"/>
  <c r="AF27" i="31" s="1"/>
  <c r="V152" i="27"/>
  <c r="S201" i="32"/>
  <c r="AF201" i="32" s="1"/>
  <c r="S191" i="32"/>
  <c r="AF191" i="32" s="1"/>
  <c r="S114" i="32"/>
  <c r="S92" i="32"/>
  <c r="AF92" i="32" s="1"/>
  <c r="S36" i="32"/>
  <c r="AF36" i="32" s="1"/>
  <c r="S35" i="32"/>
  <c r="AF35" i="32" s="1"/>
  <c r="S27" i="32"/>
  <c r="S22" i="32"/>
  <c r="S7" i="32"/>
  <c r="AF7" i="32" s="1"/>
  <c r="S130" i="31"/>
  <c r="AF130" i="31" s="1"/>
  <c r="S17" i="31"/>
  <c r="AF17" i="31" s="1"/>
  <c r="S11" i="31"/>
  <c r="S179" i="31"/>
  <c r="AF179" i="31" s="1"/>
  <c r="S16" i="32"/>
  <c r="AF16" i="32" s="1"/>
  <c r="S31" i="32"/>
  <c r="S200" i="31"/>
  <c r="S171" i="31"/>
  <c r="AF171" i="31" s="1"/>
  <c r="S78" i="31"/>
  <c r="AF78" i="31" s="1"/>
  <c r="S10" i="31"/>
  <c r="S192" i="32"/>
  <c r="AF192" i="32" s="1"/>
  <c r="S124" i="32"/>
  <c r="S120" i="32"/>
  <c r="AF120" i="32" s="1"/>
  <c r="S8" i="32"/>
  <c r="AF8" i="32" s="1"/>
  <c r="S205" i="31"/>
  <c r="AF205" i="31" s="1"/>
  <c r="S196" i="31"/>
  <c r="AF196" i="31" s="1"/>
  <c r="S28" i="31"/>
  <c r="AF28" i="31" s="1"/>
  <c r="S12" i="31"/>
  <c r="S159" i="31"/>
  <c r="AF159" i="31" s="1"/>
  <c r="S127" i="31"/>
  <c r="S193" i="31"/>
  <c r="AF193" i="31" s="1"/>
  <c r="S193" i="32"/>
  <c r="AF193" i="32" s="1"/>
  <c r="S110" i="32"/>
  <c r="AF110" i="32" s="1"/>
  <c r="S18" i="32"/>
  <c r="S9" i="32"/>
  <c r="AF9" i="32" s="1"/>
  <c r="S135" i="31"/>
  <c r="AF135" i="31" s="1"/>
  <c r="S118" i="31"/>
  <c r="S29" i="31"/>
  <c r="AF29" i="31" s="1"/>
  <c r="S19" i="31"/>
  <c r="AF19" i="31" s="1"/>
  <c r="S6" i="31"/>
  <c r="AF6" i="31" s="1"/>
  <c r="S16" i="31"/>
  <c r="S161" i="31"/>
  <c r="AF161" i="31" s="1"/>
  <c r="S205" i="32"/>
  <c r="AF205" i="32" s="1"/>
  <c r="S65" i="32"/>
  <c r="AF65" i="32" s="1"/>
  <c r="S63" i="32"/>
  <c r="S11" i="32"/>
  <c r="AF11" i="32" s="1"/>
  <c r="S88" i="31"/>
  <c r="AF88" i="31" s="1"/>
  <c r="S176" i="32"/>
  <c r="AF176" i="32" s="1"/>
  <c r="S42" i="31"/>
  <c r="S196" i="32"/>
  <c r="AF196" i="32" s="1"/>
  <c r="S86" i="32"/>
  <c r="AF86" i="32" s="1"/>
  <c r="S85" i="32"/>
  <c r="S25" i="32"/>
  <c r="AF25" i="32" s="1"/>
  <c r="S30" i="32"/>
  <c r="S19" i="32"/>
  <c r="S10" i="32"/>
  <c r="AF10" i="32" s="1"/>
  <c r="S199" i="31"/>
  <c r="AF199" i="31" s="1"/>
  <c r="S136" i="31"/>
  <c r="AF136" i="31" s="1"/>
  <c r="S119" i="31"/>
  <c r="AF119" i="31" s="1"/>
  <c r="S98" i="31"/>
  <c r="AF98" i="31" s="1"/>
  <c r="S43" i="31"/>
  <c r="AF43" i="31" s="1"/>
  <c r="S13" i="31"/>
  <c r="AF13" i="31" s="1"/>
  <c r="S183" i="31"/>
  <c r="AF183" i="31" s="1"/>
  <c r="S7" i="31"/>
  <c r="S170" i="31"/>
  <c r="AF170" i="31" s="1"/>
  <c r="S178" i="32"/>
  <c r="AF178" i="32" s="1"/>
  <c r="S177" i="32"/>
  <c r="AF177" i="32" s="1"/>
  <c r="S6" i="32"/>
  <c r="AF6" i="32" s="1"/>
  <c r="S40" i="32"/>
  <c r="AF40" i="32" s="1"/>
  <c r="S32" i="32"/>
  <c r="S5" i="32"/>
  <c r="AF5" i="32" s="1"/>
  <c r="S201" i="31"/>
  <c r="AF201" i="31" s="1"/>
  <c r="S191" i="31"/>
  <c r="AF191" i="31" s="1"/>
  <c r="S114" i="31"/>
  <c r="AF114" i="31" s="1"/>
  <c r="S181" i="31"/>
  <c r="AF181" i="31" s="1"/>
  <c r="S172" i="31"/>
  <c r="AF172" i="31" s="1"/>
  <c r="S185" i="31"/>
  <c r="AF185" i="31" s="1"/>
  <c r="S182" i="31"/>
  <c r="AF182" i="31" s="1"/>
  <c r="S42" i="32"/>
  <c r="AF42" i="32" s="1"/>
  <c r="S199" i="32"/>
  <c r="AF199" i="32" s="1"/>
  <c r="S180" i="32"/>
  <c r="AF180" i="32" s="1"/>
  <c r="S49" i="32"/>
  <c r="AF49" i="32" s="1"/>
  <c r="S33" i="32"/>
  <c r="S14" i="32"/>
  <c r="AF14" i="32" s="1"/>
  <c r="S192" i="31"/>
  <c r="AF192" i="31" s="1"/>
  <c r="S93" i="31"/>
  <c r="AF93" i="31" s="1"/>
  <c r="S64" i="31"/>
  <c r="S38" i="31"/>
  <c r="AF38" i="31" s="1"/>
  <c r="S173" i="31"/>
  <c r="AF173" i="31" s="1"/>
  <c r="S200" i="32"/>
  <c r="S181" i="32"/>
  <c r="AF181" i="32" s="1"/>
  <c r="S113" i="32"/>
  <c r="S50" i="32"/>
  <c r="AF50" i="32" s="1"/>
  <c r="S34" i="32"/>
  <c r="AF34" i="32" s="1"/>
  <c r="S39" i="31"/>
  <c r="AF39" i="31" s="1"/>
  <c r="S20" i="31"/>
  <c r="S5" i="31"/>
  <c r="AF5" i="31" s="1"/>
  <c r="T39" i="27"/>
  <c r="T14" i="27"/>
  <c r="AH14" i="27" s="1"/>
  <c r="T200" i="27"/>
  <c r="AH200" i="27" s="1"/>
  <c r="T198" i="27"/>
  <c r="AH198" i="27" s="1"/>
  <c r="T213" i="27"/>
  <c r="AH213" i="27" s="1"/>
  <c r="T21" i="27"/>
  <c r="AH21" i="27" s="1"/>
  <c r="T32" i="27"/>
  <c r="U168" i="32"/>
  <c r="U159" i="32"/>
  <c r="U124" i="32"/>
  <c r="U121" i="31"/>
  <c r="AF121" i="31" s="1"/>
  <c r="U169" i="32"/>
  <c r="U164" i="31"/>
  <c r="AF164" i="31" s="1"/>
  <c r="U171" i="32"/>
  <c r="AF171" i="32" s="1"/>
  <c r="U120" i="31"/>
  <c r="AF120" i="31" s="1"/>
  <c r="U174" i="32"/>
  <c r="AF174" i="32" s="1"/>
  <c r="U116" i="31"/>
  <c r="U170" i="32"/>
  <c r="AF170" i="32" s="1"/>
  <c r="U200" i="31"/>
  <c r="U127" i="31"/>
  <c r="U175" i="31"/>
  <c r="U160" i="32"/>
  <c r="AF160" i="32" s="1"/>
  <c r="U176" i="31"/>
  <c r="U200" i="32"/>
  <c r="U177" i="31"/>
  <c r="AF177" i="31" s="1"/>
  <c r="V17" i="27"/>
  <c r="AH17" i="27" s="1"/>
  <c r="V15" i="27"/>
  <c r="V168" i="27"/>
  <c r="AH168" i="27" s="1"/>
  <c r="V167" i="27"/>
  <c r="AH167" i="27" s="1"/>
  <c r="V116" i="27"/>
  <c r="V138" i="27"/>
  <c r="AH138" i="27" s="1"/>
  <c r="V108" i="27"/>
  <c r="V174" i="27"/>
  <c r="V77" i="27"/>
  <c r="V171" i="27"/>
  <c r="V72" i="27"/>
  <c r="AH72" i="27" s="1"/>
  <c r="V244" i="27"/>
  <c r="AH244" i="27" s="1"/>
  <c r="V145" i="27"/>
  <c r="AH145" i="27" s="1"/>
  <c r="V140" i="27"/>
  <c r="AH140" i="27" s="1"/>
  <c r="V126" i="27"/>
  <c r="AH126" i="27" s="1"/>
  <c r="V109" i="27"/>
  <c r="AH109" i="27" s="1"/>
  <c r="V129" i="27"/>
  <c r="V133" i="27"/>
  <c r="V124" i="27"/>
  <c r="V120" i="27"/>
  <c r="V237" i="27"/>
  <c r="AH237" i="27" s="1"/>
  <c r="V128" i="27"/>
  <c r="V241" i="27"/>
  <c r="AH241" i="27" s="1"/>
  <c r="V166" i="27"/>
  <c r="V172" i="27"/>
  <c r="V170" i="27"/>
  <c r="V82" i="27"/>
  <c r="V89" i="27"/>
  <c r="V87" i="27"/>
  <c r="V83" i="27"/>
  <c r="AH83" i="27" s="1"/>
  <c r="V141" i="27"/>
  <c r="AH141" i="27" s="1"/>
  <c r="V96" i="27"/>
  <c r="V122" i="27"/>
  <c r="V75" i="27"/>
  <c r="V69" i="27"/>
  <c r="AH69" i="27" s="1"/>
  <c r="V74" i="27"/>
  <c r="V71" i="27"/>
  <c r="V51" i="27"/>
  <c r="V60" i="27"/>
  <c r="V61" i="27"/>
  <c r="V33" i="27"/>
  <c r="V24" i="27"/>
  <c r="V34" i="27"/>
  <c r="V229" i="27"/>
  <c r="O205" i="26"/>
  <c r="S205" i="26" s="1"/>
  <c r="O201" i="26"/>
  <c r="O197" i="26"/>
  <c r="O189" i="26"/>
  <c r="S189" i="26" s="1"/>
  <c r="O185" i="26"/>
  <c r="S185" i="26" s="1"/>
  <c r="O181" i="26"/>
  <c r="S181" i="26" s="1"/>
  <c r="O173" i="26"/>
  <c r="O169" i="26"/>
  <c r="O149" i="26"/>
  <c r="O141" i="26"/>
  <c r="S141" i="26" s="1"/>
  <c r="O105" i="26"/>
  <c r="S105" i="26" s="1"/>
  <c r="O101" i="26"/>
  <c r="O65" i="26"/>
  <c r="S65" i="26" s="1"/>
  <c r="O188" i="26"/>
  <c r="S188" i="26" s="1"/>
  <c r="O176" i="26"/>
  <c r="S176" i="26" s="1"/>
  <c r="O172" i="26"/>
  <c r="O168" i="26"/>
  <c r="S168" i="26" s="1"/>
  <c r="O156" i="26"/>
  <c r="O152" i="26"/>
  <c r="O140" i="26"/>
  <c r="S140" i="26" s="1"/>
  <c r="O136" i="26"/>
  <c r="O132" i="26"/>
  <c r="O124" i="26"/>
  <c r="O100" i="26"/>
  <c r="O96" i="26"/>
  <c r="O27" i="26"/>
  <c r="O191" i="26"/>
  <c r="O179" i="26"/>
  <c r="O175" i="26"/>
  <c r="O167" i="26"/>
  <c r="O163" i="26"/>
  <c r="S163" i="26" s="1"/>
  <c r="O159" i="26"/>
  <c r="O143" i="26"/>
  <c r="S143" i="26" s="1"/>
  <c r="O139" i="26"/>
  <c r="S139" i="26" s="1"/>
  <c r="O131" i="26"/>
  <c r="O123" i="26"/>
  <c r="O95" i="26"/>
  <c r="O79" i="26"/>
  <c r="O63" i="26"/>
  <c r="O214" i="26"/>
  <c r="S214" i="26" s="1"/>
  <c r="O210" i="26"/>
  <c r="S210" i="26" s="1"/>
  <c r="O206" i="26"/>
  <c r="S206" i="26" s="1"/>
  <c r="O194" i="26"/>
  <c r="O190" i="26"/>
  <c r="S190" i="26" s="1"/>
  <c r="O186" i="26"/>
  <c r="S186" i="26" s="1"/>
  <c r="O174" i="26"/>
  <c r="O170" i="26"/>
  <c r="O158" i="26"/>
  <c r="O150" i="26"/>
  <c r="O142" i="26"/>
  <c r="S142" i="26" s="1"/>
  <c r="O106" i="26"/>
  <c r="S106" i="26" s="1"/>
  <c r="O102" i="26"/>
  <c r="O94" i="26"/>
  <c r="S94" i="26" s="1"/>
  <c r="O70" i="26"/>
  <c r="T28" i="27"/>
  <c r="AH28" i="27" s="1"/>
  <c r="T189" i="27"/>
  <c r="AH189" i="27" s="1"/>
  <c r="T88" i="27"/>
  <c r="AH88" i="27" s="1"/>
  <c r="T40" i="27"/>
  <c r="T228" i="27"/>
  <c r="AH228" i="27" s="1"/>
  <c r="T50" i="27"/>
  <c r="AH50" i="27" s="1"/>
  <c r="T165" i="27"/>
  <c r="T217" i="27"/>
  <c r="AH217" i="27" s="1"/>
  <c r="T150" i="27"/>
  <c r="AH150" i="27" s="1"/>
  <c r="T24" i="27"/>
  <c r="T23" i="27"/>
  <c r="AH23" i="27" s="1"/>
  <c r="T156" i="27"/>
  <c r="AH156" i="27" s="1"/>
  <c r="T121" i="27"/>
  <c r="T179" i="27"/>
  <c r="AH179" i="27" s="1"/>
  <c r="T171" i="27"/>
  <c r="T104" i="27"/>
  <c r="T166" i="27"/>
  <c r="T172" i="27"/>
  <c r="T170" i="27"/>
  <c r="T233" i="27"/>
  <c r="AH233" i="27" s="1"/>
  <c r="T94" i="27"/>
  <c r="AH94" i="27" s="1"/>
  <c r="T122" i="27"/>
  <c r="T62" i="27"/>
  <c r="AH62" i="27" s="1"/>
  <c r="T227" i="27"/>
  <c r="AH227" i="27" s="1"/>
  <c r="T71" i="27"/>
  <c r="T68" i="27"/>
  <c r="AH68" i="27" s="1"/>
  <c r="T157" i="27"/>
  <c r="AH157" i="27" s="1"/>
  <c r="T190" i="27"/>
  <c r="AH190" i="27" s="1"/>
  <c r="T163" i="27"/>
  <c r="AH163" i="27" s="1"/>
  <c r="M178" i="26"/>
  <c r="S178" i="26" s="1"/>
  <c r="M162" i="26"/>
  <c r="S162" i="26" s="1"/>
  <c r="M134" i="26"/>
  <c r="S134" i="26" s="1"/>
  <c r="M102" i="26"/>
  <c r="M82" i="26"/>
  <c r="S82" i="26" s="1"/>
  <c r="M62" i="26"/>
  <c r="S62" i="26" s="1"/>
  <c r="M58" i="26"/>
  <c r="S58" i="26" s="1"/>
  <c r="M54" i="26"/>
  <c r="S54" i="26" s="1"/>
  <c r="M50" i="26"/>
  <c r="S50" i="26" s="1"/>
  <c r="M46" i="26"/>
  <c r="S46" i="26" s="1"/>
  <c r="M38" i="26"/>
  <c r="S38" i="26" s="1"/>
  <c r="M161" i="26"/>
  <c r="S161" i="26" s="1"/>
  <c r="M133" i="26"/>
  <c r="S133" i="26" s="1"/>
  <c r="M125" i="26"/>
  <c r="S125" i="26" s="1"/>
  <c r="M81" i="26"/>
  <c r="S81" i="26" s="1"/>
  <c r="M61" i="26"/>
  <c r="S61" i="26" s="1"/>
  <c r="M49" i="26"/>
  <c r="S49" i="26" s="1"/>
  <c r="M37" i="26"/>
  <c r="S37" i="26" s="1"/>
  <c r="M160" i="26"/>
  <c r="S160" i="26" s="1"/>
  <c r="M132" i="26"/>
  <c r="M84" i="26"/>
  <c r="S84" i="26" s="1"/>
  <c r="M64" i="26"/>
  <c r="S64" i="26" s="1"/>
  <c r="M60" i="26"/>
  <c r="S60" i="26" s="1"/>
  <c r="M56" i="26"/>
  <c r="S56" i="26" s="1"/>
  <c r="M48" i="26"/>
  <c r="S48" i="26" s="1"/>
  <c r="M36" i="26"/>
  <c r="S36" i="26" s="1"/>
  <c r="M32" i="26"/>
  <c r="S32" i="26" s="1"/>
  <c r="M191" i="26"/>
  <c r="M171" i="26"/>
  <c r="M151" i="26"/>
  <c r="M131" i="26"/>
  <c r="M103" i="26"/>
  <c r="S103" i="26" s="1"/>
  <c r="M83" i="26"/>
  <c r="S83" i="26" s="1"/>
  <c r="M79" i="26"/>
  <c r="M59" i="26"/>
  <c r="S59" i="26" s="1"/>
  <c r="M55" i="26"/>
  <c r="S55" i="26" s="1"/>
  <c r="M47" i="26"/>
  <c r="S47" i="26" s="1"/>
  <c r="M26" i="26"/>
  <c r="T86" i="27"/>
  <c r="AH86" i="27" s="1"/>
  <c r="T142" i="27"/>
  <c r="T117" i="27"/>
  <c r="T174" i="27"/>
  <c r="T129" i="27"/>
  <c r="T133" i="27"/>
  <c r="T101" i="27"/>
  <c r="T192" i="27"/>
  <c r="AH192" i="27" s="1"/>
  <c r="T89" i="27"/>
  <c r="T51" i="27"/>
  <c r="M174" i="26"/>
  <c r="M197" i="26"/>
  <c r="M173" i="26"/>
  <c r="M165" i="26"/>
  <c r="M157" i="26"/>
  <c r="S157" i="26" s="1"/>
  <c r="M101" i="26"/>
  <c r="M216" i="26"/>
  <c r="M172" i="26"/>
  <c r="S172" i="26" s="1"/>
  <c r="M156" i="26"/>
  <c r="M100" i="26"/>
  <c r="M215" i="26"/>
  <c r="M175" i="26"/>
  <c r="M135" i="26"/>
  <c r="S135" i="26" s="1"/>
  <c r="T15" i="27"/>
  <c r="T202" i="27"/>
  <c r="AH202" i="27" s="1"/>
  <c r="T226" i="27"/>
  <c r="AH226" i="27" s="1"/>
  <c r="T238" i="27"/>
  <c r="AH238" i="27" s="1"/>
  <c r="T5" i="27"/>
  <c r="AH5" i="27" s="1"/>
  <c r="T100" i="27"/>
  <c r="AH100" i="27" s="1"/>
  <c r="T219" i="27"/>
  <c r="AH219" i="27" s="1"/>
  <c r="T178" i="27"/>
  <c r="AH178" i="27" s="1"/>
  <c r="T214" i="27"/>
  <c r="AH214" i="27" s="1"/>
  <c r="T116" i="27"/>
  <c r="T13" i="27"/>
  <c r="AH13" i="27" s="1"/>
  <c r="T201" i="27"/>
  <c r="AH201" i="27" s="1"/>
  <c r="T197" i="27"/>
  <c r="AH197" i="27" s="1"/>
  <c r="T231" i="27"/>
  <c r="AH231" i="27" s="1"/>
  <c r="T26" i="27"/>
  <c r="AH26" i="27" s="1"/>
  <c r="T160" i="27"/>
  <c r="AH160" i="27" s="1"/>
  <c r="T95" i="27"/>
  <c r="AH95" i="27" s="1"/>
  <c r="T153" i="27"/>
  <c r="AH153" i="27" s="1"/>
  <c r="T35" i="27"/>
  <c r="T212" i="27"/>
  <c r="AH212" i="27" s="1"/>
  <c r="T215" i="27"/>
  <c r="AH215" i="27" s="1"/>
  <c r="T225" i="27"/>
  <c r="AH225" i="27" s="1"/>
  <c r="T223" i="27"/>
  <c r="AH223" i="27" s="1"/>
  <c r="T22" i="27"/>
  <c r="AH22" i="27" s="1"/>
  <c r="T8" i="27"/>
  <c r="AH8" i="27" s="1"/>
  <c r="T211" i="27"/>
  <c r="AH211" i="27" s="1"/>
  <c r="T224" i="27"/>
  <c r="AH224" i="27" s="1"/>
  <c r="T221" i="27"/>
  <c r="AH221" i="27" s="1"/>
  <c r="T216" i="27"/>
  <c r="AH216" i="27" s="1"/>
  <c r="T245" i="27"/>
  <c r="T177" i="27"/>
  <c r="AH177" i="27" s="1"/>
  <c r="T222" i="27"/>
  <c r="AH222" i="27" s="1"/>
  <c r="T78" i="27"/>
  <c r="AH78" i="27" s="1"/>
  <c r="T107" i="27"/>
  <c r="T75" i="27"/>
  <c r="T84" i="27"/>
  <c r="AH84" i="27" s="1"/>
  <c r="T92" i="27"/>
  <c r="AH92" i="27" s="1"/>
  <c r="T242" i="27"/>
  <c r="AH242" i="27" s="1"/>
  <c r="T20" i="27"/>
  <c r="AH20" i="27" s="1"/>
  <c r="T61" i="27"/>
  <c r="T220" i="27"/>
  <c r="AH220" i="27" s="1"/>
  <c r="T240" i="27"/>
  <c r="AH240" i="27" s="1"/>
  <c r="T155" i="27"/>
  <c r="AH155" i="27" s="1"/>
  <c r="M78" i="26"/>
  <c r="S78" i="26" s="1"/>
  <c r="M74" i="26"/>
  <c r="S74" i="26" s="1"/>
  <c r="M66" i="26"/>
  <c r="S66" i="26" s="1"/>
  <c r="M42" i="26"/>
  <c r="S42" i="26" s="1"/>
  <c r="M34" i="26"/>
  <c r="S34" i="26" s="1"/>
  <c r="M30" i="26"/>
  <c r="S30" i="26" s="1"/>
  <c r="M29" i="26"/>
  <c r="M25" i="26"/>
  <c r="M21" i="26"/>
  <c r="M17" i="26"/>
  <c r="M137" i="26"/>
  <c r="M109" i="26"/>
  <c r="S109" i="26" s="1"/>
  <c r="M89" i="26"/>
  <c r="S89" i="26" s="1"/>
  <c r="M77" i="26"/>
  <c r="S77" i="26" s="1"/>
  <c r="M57" i="26"/>
  <c r="S57" i="26" s="1"/>
  <c r="M45" i="26"/>
  <c r="S45" i="26" s="1"/>
  <c r="M41" i="26"/>
  <c r="S41" i="26" s="1"/>
  <c r="M33" i="26"/>
  <c r="S33" i="26" s="1"/>
  <c r="M24" i="26"/>
  <c r="M16" i="26"/>
  <c r="M164" i="26"/>
  <c r="S164" i="26" s="1"/>
  <c r="M152" i="26"/>
  <c r="M124" i="26"/>
  <c r="M108" i="26"/>
  <c r="S108" i="26" s="1"/>
  <c r="M96" i="26"/>
  <c r="M76" i="26"/>
  <c r="S76" i="26" s="1"/>
  <c r="M52" i="26"/>
  <c r="S52" i="26" s="1"/>
  <c r="M44" i="26"/>
  <c r="S44" i="26" s="1"/>
  <c r="M40" i="26"/>
  <c r="S40" i="26" s="1"/>
  <c r="M23" i="26"/>
  <c r="M19" i="26"/>
  <c r="M15" i="26"/>
  <c r="M123" i="26"/>
  <c r="M107" i="26"/>
  <c r="S107" i="26" s="1"/>
  <c r="M99" i="26"/>
  <c r="S99" i="26" s="1"/>
  <c r="M95" i="26"/>
  <c r="M75" i="26"/>
  <c r="S75" i="26" s="1"/>
  <c r="M51" i="26"/>
  <c r="S51" i="26" s="1"/>
  <c r="M43" i="26"/>
  <c r="S43" i="26" s="1"/>
  <c r="M39" i="26"/>
  <c r="S39" i="26" s="1"/>
  <c r="M35" i="26"/>
  <c r="S35" i="26" s="1"/>
  <c r="M31" i="26"/>
  <c r="S31" i="26" s="1"/>
  <c r="M22" i="26"/>
  <c r="M18" i="26"/>
  <c r="M14" i="26"/>
  <c r="T232" i="27"/>
  <c r="AH232" i="27" s="1"/>
  <c r="T44" i="27"/>
  <c r="AH44" i="27" s="1"/>
  <c r="T46" i="27"/>
  <c r="AH46" i="27" s="1"/>
  <c r="T18" i="27"/>
  <c r="AH18" i="27" s="1"/>
  <c r="T6" i="27"/>
  <c r="AH6" i="27" s="1"/>
  <c r="T30" i="27"/>
  <c r="T136" i="27"/>
  <c r="T151" i="27"/>
  <c r="T91" i="27"/>
  <c r="AH91" i="27" s="1"/>
  <c r="T143" i="27"/>
  <c r="T191" i="27"/>
  <c r="AH191" i="27" s="1"/>
  <c r="T96" i="27"/>
  <c r="T99" i="27"/>
  <c r="AH99" i="27" s="1"/>
  <c r="T112" i="27"/>
  <c r="AH112" i="27" s="1"/>
  <c r="T65" i="27"/>
  <c r="AH65" i="27" s="1"/>
  <c r="T243" i="27"/>
  <c r="T67" i="27"/>
  <c r="AH67" i="27" s="1"/>
  <c r="T152" i="27"/>
  <c r="T66" i="27"/>
  <c r="AH66" i="27" s="1"/>
  <c r="T25" i="27"/>
  <c r="AH25" i="27" s="1"/>
  <c r="T56" i="27"/>
  <c r="AH56" i="27" s="1"/>
  <c r="T90" i="27"/>
  <c r="T229" i="27"/>
  <c r="M114" i="26"/>
  <c r="S114" i="26" s="1"/>
  <c r="M110" i="26"/>
  <c r="S110" i="26" s="1"/>
  <c r="M90" i="26"/>
  <c r="S90" i="26" s="1"/>
  <c r="M145" i="26"/>
  <c r="S145" i="26" s="1"/>
  <c r="M113" i="26"/>
  <c r="S113" i="26" s="1"/>
  <c r="M93" i="26"/>
  <c r="S93" i="26" s="1"/>
  <c r="M73" i="26"/>
  <c r="S73" i="26" s="1"/>
  <c r="M53" i="26"/>
  <c r="S53" i="26" s="1"/>
  <c r="M28" i="26"/>
  <c r="M200" i="26"/>
  <c r="M184" i="26"/>
  <c r="S184" i="26" s="1"/>
  <c r="M136" i="26"/>
  <c r="M112" i="26"/>
  <c r="S112" i="26" s="1"/>
  <c r="M92" i="26"/>
  <c r="S92" i="26" s="1"/>
  <c r="M68" i="26"/>
  <c r="S68" i="26" s="1"/>
  <c r="M183" i="26"/>
  <c r="S183" i="26" s="1"/>
  <c r="M159" i="26"/>
  <c r="S159" i="26" s="1"/>
  <c r="M115" i="26"/>
  <c r="S115" i="26" s="1"/>
  <c r="M111" i="26"/>
  <c r="S111" i="26" s="1"/>
  <c r="M91" i="26"/>
  <c r="S91" i="26" s="1"/>
  <c r="M67" i="26"/>
  <c r="S67" i="26" s="1"/>
  <c r="M63" i="26"/>
  <c r="V30" i="27"/>
  <c r="V41" i="27"/>
  <c r="AH41" i="27" s="1"/>
  <c r="V146" i="27"/>
  <c r="AH146" i="27" s="1"/>
  <c r="V134" i="27"/>
  <c r="V158" i="27"/>
  <c r="V142" i="27"/>
  <c r="V117" i="27"/>
  <c r="V131" i="27"/>
  <c r="V32" i="27"/>
  <c r="V139" i="27"/>
  <c r="AH139" i="27" s="1"/>
  <c r="V149" i="27"/>
  <c r="V114" i="27"/>
  <c r="AH114" i="27" s="1"/>
  <c r="V110" i="27"/>
  <c r="AH110" i="27" s="1"/>
  <c r="V104" i="27"/>
  <c r="V101" i="27"/>
  <c r="V143" i="27"/>
  <c r="V243" i="27"/>
  <c r="V165" i="27"/>
  <c r="V121" i="27"/>
  <c r="O217" i="26"/>
  <c r="O177" i="26"/>
  <c r="S177" i="26" s="1"/>
  <c r="O165" i="26"/>
  <c r="O137" i="26"/>
  <c r="O28" i="26"/>
  <c r="O216" i="26"/>
  <c r="O196" i="26"/>
  <c r="O192" i="26"/>
  <c r="S192" i="26" s="1"/>
  <c r="O215" i="26"/>
  <c r="O211" i="26"/>
  <c r="O203" i="26"/>
  <c r="S203" i="26" s="1"/>
  <c r="O199" i="26"/>
  <c r="S199" i="26" s="1"/>
  <c r="O195" i="26"/>
  <c r="O171" i="26"/>
  <c r="O151" i="26"/>
  <c r="O219" i="26"/>
  <c r="S219" i="26" s="1"/>
  <c r="O218" i="26"/>
  <c r="O198" i="26"/>
  <c r="S198" i="26" s="1"/>
  <c r="O182" i="26"/>
  <c r="S182" i="26" s="1"/>
  <c r="T81" i="27"/>
  <c r="AH81" i="27" s="1"/>
  <c r="T218" i="27"/>
  <c r="AH218" i="27" s="1"/>
  <c r="T230" i="27"/>
  <c r="AH230" i="27" s="1"/>
  <c r="T131" i="27"/>
  <c r="T77" i="27"/>
  <c r="T73" i="27"/>
  <c r="AH73" i="27" s="1"/>
  <c r="T124" i="27"/>
  <c r="T120" i="27"/>
  <c r="T128" i="27"/>
  <c r="T87" i="27"/>
  <c r="T236" i="27"/>
  <c r="AH236" i="27" s="1"/>
  <c r="T58" i="27"/>
  <c r="AH58" i="27" s="1"/>
  <c r="T164" i="27"/>
  <c r="AH164" i="27" s="1"/>
  <c r="T74" i="27"/>
  <c r="T60" i="27"/>
  <c r="T161" i="27"/>
  <c r="AH161" i="27" s="1"/>
  <c r="T70" i="27"/>
  <c r="AH70" i="27" s="1"/>
  <c r="T33" i="27"/>
  <c r="M194" i="26"/>
  <c r="M170" i="26"/>
  <c r="M150" i="26"/>
  <c r="M126" i="26"/>
  <c r="S126" i="26" s="1"/>
  <c r="M98" i="26"/>
  <c r="S98" i="26" s="1"/>
  <c r="M86" i="26"/>
  <c r="S86" i="26" s="1"/>
  <c r="M70" i="26"/>
  <c r="M169" i="26"/>
  <c r="M149" i="26"/>
  <c r="M97" i="26"/>
  <c r="S97" i="26" s="1"/>
  <c r="M128" i="26"/>
  <c r="S128" i="26" s="1"/>
  <c r="M72" i="26"/>
  <c r="S72" i="26" s="1"/>
  <c r="M27" i="26"/>
  <c r="M211" i="26"/>
  <c r="M187" i="26"/>
  <c r="S187" i="26" s="1"/>
  <c r="M167" i="26"/>
  <c r="M127" i="26"/>
  <c r="S127" i="26" s="1"/>
  <c r="M71" i="26"/>
  <c r="S71" i="26" s="1"/>
  <c r="T106" i="27"/>
  <c r="AH106" i="27" s="1"/>
  <c r="T134" i="27"/>
  <c r="AH134" i="27" s="1"/>
  <c r="T158" i="27"/>
  <c r="AH158" i="27" s="1"/>
  <c r="T108" i="27"/>
  <c r="T48" i="27"/>
  <c r="AH48" i="27" s="1"/>
  <c r="T149" i="27"/>
  <c r="T82" i="27"/>
  <c r="T180" i="27"/>
  <c r="AH180" i="27" s="1"/>
  <c r="T235" i="27"/>
  <c r="AH235" i="27" s="1"/>
  <c r="M218" i="26"/>
  <c r="M158" i="26"/>
  <c r="M138" i="26"/>
  <c r="S138" i="26" s="1"/>
  <c r="M217" i="26"/>
  <c r="M201" i="26"/>
  <c r="M196" i="26"/>
  <c r="M195" i="26"/>
  <c r="M179" i="26"/>
  <c r="S179" i="26" s="1"/>
  <c r="M87" i="26"/>
  <c r="S87" i="26" s="1"/>
  <c r="V245" i="27"/>
  <c r="V162" i="27"/>
  <c r="AH162" i="27" s="1"/>
  <c r="V135" i="27"/>
  <c r="AH135" i="27" s="1"/>
  <c r="V147" i="27"/>
  <c r="AH147" i="27" s="1"/>
  <c r="V159" i="27"/>
  <c r="AH159" i="27" s="1"/>
  <c r="V136" i="27"/>
  <c r="V151" i="27"/>
  <c r="V107" i="27"/>
  <c r="O213" i="26"/>
  <c r="S213" i="26" s="1"/>
  <c r="O221" i="26"/>
  <c r="S221" i="26" s="1"/>
  <c r="O212" i="26"/>
  <c r="S212" i="26" s="1"/>
  <c r="O200" i="26"/>
  <c r="O220" i="26"/>
  <c r="S220" i="26" s="1"/>
  <c r="AF15" i="32" l="1"/>
  <c r="AF129" i="31"/>
  <c r="AF164" i="32"/>
  <c r="AH137" i="27"/>
  <c r="AH47" i="27"/>
  <c r="S169" i="26"/>
  <c r="S197" i="26"/>
  <c r="AF149" i="32"/>
  <c r="AH130" i="27"/>
  <c r="AH74" i="27"/>
  <c r="S152" i="26"/>
  <c r="AH144" i="27"/>
  <c r="AH63" i="27"/>
  <c r="AH113" i="27"/>
  <c r="AH245" i="27"/>
  <c r="AH90" i="27"/>
  <c r="AH108" i="27"/>
  <c r="AH96" i="27"/>
  <c r="AH55" i="27"/>
  <c r="AH60" i="27"/>
  <c r="AH152" i="27"/>
  <c r="AH128" i="27"/>
  <c r="AH132" i="27"/>
  <c r="AH122" i="27"/>
  <c r="AH229" i="27"/>
  <c r="AH120" i="27"/>
  <c r="AH89" i="27"/>
  <c r="AH174" i="27"/>
  <c r="AH15" i="27"/>
  <c r="AH170" i="27"/>
  <c r="AH133" i="27"/>
  <c r="AH149" i="27"/>
  <c r="AH53" i="27"/>
  <c r="AH51" i="27"/>
  <c r="AH71" i="27"/>
  <c r="AH24" i="27"/>
  <c r="AH171" i="27"/>
  <c r="AH82" i="27"/>
  <c r="AH75" i="27"/>
  <c r="AH87" i="27"/>
  <c r="AH124" i="27"/>
  <c r="AH116" i="27"/>
  <c r="AH77" i="27"/>
  <c r="AH61" i="27"/>
  <c r="AH172" i="27"/>
  <c r="AH131" i="27"/>
  <c r="AH166" i="27"/>
  <c r="AH129" i="27"/>
  <c r="AH143" i="27"/>
  <c r="AH243" i="27"/>
  <c r="AH151" i="27"/>
  <c r="AH101" i="27"/>
  <c r="AH136" i="27"/>
  <c r="AH104" i="27"/>
  <c r="AH165" i="27"/>
  <c r="AH117" i="27"/>
  <c r="AH118" i="27"/>
  <c r="AH142" i="27"/>
  <c r="AH121" i="27"/>
  <c r="AH107" i="27"/>
  <c r="AF64" i="31"/>
  <c r="AF113" i="32"/>
  <c r="AF149" i="31"/>
  <c r="AF166" i="31"/>
  <c r="AF145" i="32"/>
  <c r="AF167" i="31"/>
  <c r="S191" i="26"/>
  <c r="S194" i="26"/>
  <c r="AF63" i="32"/>
  <c r="AF118" i="31"/>
  <c r="AF85" i="32"/>
  <c r="AF42" i="31"/>
  <c r="AF152" i="31"/>
  <c r="S174" i="26"/>
  <c r="AF94" i="31"/>
  <c r="AF87" i="32"/>
  <c r="AF156" i="31"/>
  <c r="AF83" i="31"/>
  <c r="AF107" i="32"/>
  <c r="AF61" i="32"/>
  <c r="AF147" i="32"/>
  <c r="AF44" i="31"/>
  <c r="AF106" i="31"/>
  <c r="AF142" i="32"/>
  <c r="AF116" i="31"/>
  <c r="AF116" i="32"/>
  <c r="AF109" i="32"/>
  <c r="AF39" i="32"/>
  <c r="AF78" i="32"/>
  <c r="AF97" i="32"/>
  <c r="AF154" i="31"/>
  <c r="AF123" i="32"/>
  <c r="AF127" i="31"/>
  <c r="AF124" i="32"/>
  <c r="AF202" i="31"/>
  <c r="AF175" i="31"/>
  <c r="AF129" i="32"/>
  <c r="AF77" i="32"/>
  <c r="AF119" i="32"/>
  <c r="AF105" i="32"/>
  <c r="AF77" i="31"/>
  <c r="AF38" i="32"/>
  <c r="AF91" i="31"/>
  <c r="AF139" i="31"/>
  <c r="AF128" i="32"/>
  <c r="AF140" i="32"/>
  <c r="AF131" i="31"/>
  <c r="AF134" i="32"/>
  <c r="S149" i="26"/>
  <c r="AF114" i="32"/>
  <c r="AF159" i="32"/>
  <c r="AF144" i="31"/>
  <c r="AF85" i="31"/>
  <c r="AF43" i="32"/>
  <c r="AF81" i="31"/>
  <c r="AF163" i="32"/>
  <c r="AF146" i="31"/>
  <c r="AF168" i="32"/>
  <c r="AF176" i="31"/>
  <c r="AF139" i="32"/>
  <c r="AF152" i="32"/>
  <c r="AF138" i="32"/>
  <c r="AF59" i="31"/>
  <c r="AF106" i="32"/>
  <c r="AF88" i="32"/>
  <c r="AF41" i="31"/>
  <c r="S96" i="26"/>
  <c r="AF200" i="32"/>
  <c r="AF62" i="31"/>
  <c r="AF73" i="31"/>
  <c r="AF202" i="32"/>
  <c r="AF142" i="31"/>
  <c r="AF60" i="31"/>
  <c r="AF80" i="31"/>
  <c r="AF111" i="31"/>
  <c r="AF67" i="31"/>
  <c r="AF145" i="31"/>
  <c r="S136" i="26"/>
  <c r="AF200" i="31"/>
  <c r="AF44" i="32"/>
  <c r="AF169" i="32"/>
  <c r="AF86" i="31"/>
  <c r="AF90" i="31"/>
  <c r="AF140" i="31"/>
  <c r="AF66" i="31"/>
  <c r="AF132" i="32"/>
  <c r="AF134" i="31"/>
  <c r="AF125" i="31"/>
  <c r="AF126" i="32"/>
  <c r="AF62" i="32"/>
  <c r="S158" i="26"/>
  <c r="S123" i="26"/>
  <c r="S156" i="26"/>
  <c r="S170" i="26"/>
  <c r="S63" i="26"/>
  <c r="S124" i="26"/>
  <c r="S173" i="26"/>
  <c r="S218" i="26"/>
  <c r="S217" i="26"/>
  <c r="S131" i="26"/>
  <c r="S195" i="26"/>
  <c r="S95" i="26"/>
  <c r="S175" i="26"/>
  <c r="S100" i="26"/>
  <c r="S101" i="26"/>
  <c r="S102" i="26"/>
  <c r="S211" i="26"/>
  <c r="S196" i="26"/>
  <c r="S70" i="26"/>
  <c r="S150" i="26"/>
  <c r="S167" i="26"/>
  <c r="S201" i="26"/>
  <c r="S165" i="26"/>
  <c r="S79" i="26"/>
  <c r="S151" i="26"/>
  <c r="S137" i="26"/>
  <c r="S215" i="26"/>
  <c r="S216" i="26"/>
  <c r="S171" i="26"/>
  <c r="S200" i="26"/>
  <c r="S132" i="26"/>
</calcChain>
</file>

<file path=xl/sharedStrings.xml><?xml version="1.0" encoding="utf-8"?>
<sst xmlns="http://schemas.openxmlformats.org/spreadsheetml/2006/main" count="10109" uniqueCount="1248">
  <si>
    <t>Current 2019 Projects</t>
  </si>
  <si>
    <t>ROM cost</t>
  </si>
  <si>
    <t>C</t>
  </si>
  <si>
    <t>VCT &amp; SBH Upgrades</t>
  </si>
  <si>
    <t>VCT Electrical</t>
  </si>
  <si>
    <t>VCT &amp; SBH Hi-Mast LEDs</t>
  </si>
  <si>
    <t>J</t>
  </si>
  <si>
    <t>Copper Piping / AII Rooms</t>
  </si>
  <si>
    <t>Swimming Pool Renovation</t>
  </si>
  <si>
    <t>Animal Shelter</t>
  </si>
  <si>
    <t>Force Main Design</t>
  </si>
  <si>
    <t>S</t>
  </si>
  <si>
    <t>Flooding</t>
  </si>
  <si>
    <t>Fire Station</t>
  </si>
  <si>
    <t>S. Meals Ave</t>
  </si>
  <si>
    <t>Civic Center Staining</t>
  </si>
  <si>
    <t>N</t>
  </si>
  <si>
    <t>Kelsey Dock Phase 2</t>
  </si>
  <si>
    <t>New Well</t>
  </si>
  <si>
    <t>Whalen Ave</t>
  </si>
  <si>
    <t>Imp. Score</t>
  </si>
  <si>
    <t>Priority Score</t>
  </si>
  <si>
    <t>Urg. Score</t>
  </si>
  <si>
    <t>Funding</t>
  </si>
  <si>
    <t>Elevated Priority</t>
  </si>
  <si>
    <t>Elevation Score</t>
  </si>
  <si>
    <t>Importance Category</t>
  </si>
  <si>
    <t>Department Priority</t>
  </si>
  <si>
    <t>Urgency</t>
  </si>
  <si>
    <t>-</t>
  </si>
  <si>
    <t>Maj. Maint.</t>
  </si>
  <si>
    <t>CM</t>
  </si>
  <si>
    <t>Life Safety</t>
  </si>
  <si>
    <t>Failed</t>
  </si>
  <si>
    <t>CIP</t>
  </si>
  <si>
    <t>Council</t>
  </si>
  <si>
    <t>Failed System</t>
  </si>
  <si>
    <t>&lt;1 Year</t>
  </si>
  <si>
    <t>CIP 2018</t>
  </si>
  <si>
    <t>In House</t>
  </si>
  <si>
    <t>Lifecycle replacement</t>
  </si>
  <si>
    <t>1-2 years</t>
  </si>
  <si>
    <t>Deferred Maintenance</t>
  </si>
  <si>
    <t>3-5 years</t>
  </si>
  <si>
    <t>Operational Improvement</t>
  </si>
  <si>
    <t>5-10 years</t>
  </si>
  <si>
    <t>Capital Investment</t>
  </si>
  <si>
    <t>10+ Years</t>
  </si>
  <si>
    <t>#</t>
  </si>
  <si>
    <t>Department</t>
  </si>
  <si>
    <t>Project Name</t>
  </si>
  <si>
    <t>Brief Description</t>
  </si>
  <si>
    <t>Justification</t>
  </si>
  <si>
    <t>Status</t>
  </si>
  <si>
    <t>Estimated Cost</t>
  </si>
  <si>
    <t>Fiscal Year Requested</t>
  </si>
  <si>
    <t>Score</t>
  </si>
  <si>
    <t>Score2</t>
  </si>
  <si>
    <t>Score3</t>
  </si>
  <si>
    <t>Project Ranking</t>
  </si>
  <si>
    <t xml:space="preserve">Estimated Cost total </t>
  </si>
  <si>
    <t>Ports &amp; Harbor</t>
  </si>
  <si>
    <t>In Progress</t>
  </si>
  <si>
    <t>Repair Items Identified in the 2015 Underwater Inspection Report. Defering this project will cause catostrophic failure of the VCT infrastructure.</t>
  </si>
  <si>
    <t>`</t>
  </si>
  <si>
    <t>Hospital</t>
  </si>
  <si>
    <t>Copper Piping / All Rooms</t>
  </si>
  <si>
    <t>Parks &amp; Recreation</t>
  </si>
  <si>
    <t>Swimming Pool Renovations</t>
  </si>
  <si>
    <t>Public Safety</t>
  </si>
  <si>
    <t>Public Works</t>
  </si>
  <si>
    <t>Community Development</t>
  </si>
  <si>
    <t>Fire</t>
  </si>
  <si>
    <t>Civic Center</t>
  </si>
  <si>
    <t>Fire Station Mitigation</t>
  </si>
  <si>
    <t>Roof, Decon Room, HVAC, Exhaust System</t>
  </si>
  <si>
    <t>Generator at PW Shop</t>
  </si>
  <si>
    <t>Emergency generator controls regularly malfunction</t>
  </si>
  <si>
    <t xml:space="preserve">Emergency generator controls </t>
  </si>
  <si>
    <t>Building Maintenance</t>
  </si>
  <si>
    <t>Baler OHD Replacement</t>
  </si>
  <si>
    <t>Replace Fabric doors at Baler</t>
  </si>
  <si>
    <t xml:space="preserve">Old doors are damaged and at end of life. </t>
  </si>
  <si>
    <t>The front doors are in dire need of repair. The locks are sticky and supposedly we cannot get parts for them anymore. The handicap automatic door is not a true automatic door becaue although the front door opens, the second door to the artic entryway does not. We need to either fix the doors or replace them.</t>
  </si>
  <si>
    <t>ATS &amp; Generator Extension to Hospital</t>
  </si>
  <si>
    <t>Evaluate &amp; replace ATS on generator to be effective during brown-outs. Expand service of generator to power Clinic.</t>
  </si>
  <si>
    <t>Regulatory mandated ATS' function within 10 seconds. Not currently automatically transfering during brown-outs. Clinic not on Hospital back-up power.</t>
  </si>
  <si>
    <t>Hospital*</t>
  </si>
  <si>
    <t>1 button Lockdown - security enhancements</t>
  </si>
  <si>
    <t>Install lock-down button at the nurses station</t>
  </si>
  <si>
    <t>facility security</t>
  </si>
  <si>
    <t>Park Maintenance</t>
  </si>
  <si>
    <t xml:space="preserve">Mitigate safety issues at shooting range </t>
  </si>
  <si>
    <t>Additional fill/targets/soil/fencing</t>
  </si>
  <si>
    <t>Valdez City Schools</t>
  </si>
  <si>
    <t>GMS &amp; VHS Concrete Replacement</t>
  </si>
  <si>
    <t>Mezanine at PW shop</t>
  </si>
  <si>
    <t>Needs weight rating/ OSHA Requirement</t>
  </si>
  <si>
    <t>Facility is quite old and has  shown severe signs of aging in the past 2 summers, It is a high use facility in the summer</t>
  </si>
  <si>
    <t>VHS-HHES Generator replacement (and switches)</t>
  </si>
  <si>
    <t>State has indicated replacement is nec</t>
  </si>
  <si>
    <t>Outlived life expectency</t>
  </si>
  <si>
    <t>Imaging Hallway Doors - Locked</t>
  </si>
  <si>
    <t xml:space="preserve">Add alarm lock to the fire system </t>
  </si>
  <si>
    <t>door can't be locked at all times, but would help deter people from coming down the hallway HIPA</t>
  </si>
  <si>
    <t>Exterior Signage for ER</t>
  </si>
  <si>
    <t>Lighted signage at both hospital entrance roads clearly identifying hospital, clinic and ER</t>
  </si>
  <si>
    <t>Emergency Lighting in Theatre</t>
  </si>
  <si>
    <t>When the theatre lights go down, the only lighting available to patrons are the theatre stair lights. It's incredibly hard to see in there and would be very hard to exit in a hurry in the event of an emergency.</t>
  </si>
  <si>
    <t>The level of difficulty to navigate the stairs during a movie is a safety hazzard.</t>
  </si>
  <si>
    <t>Station #4, Back up power</t>
  </si>
  <si>
    <t>Back-up Power for Station</t>
  </si>
  <si>
    <t>Designated shelter will not function with no power</t>
  </si>
  <si>
    <t>Panic Hardware and ADA upgrades</t>
  </si>
  <si>
    <t>Install Panic Hardware on Hall doors City Hall</t>
  </si>
  <si>
    <t xml:space="preserve">Doors are not in fire code compliance.  </t>
  </si>
  <si>
    <t>Replace Electrical Vaults in the Small Boat Harbor Maintenance Pads</t>
  </si>
  <si>
    <t>Replace Failing Electrical Service Vaults int eh Small Boat Harbor Uplands or in new location identified in the Master Plan</t>
  </si>
  <si>
    <t>Failed Sysytem with a poor design</t>
  </si>
  <si>
    <t>Tour Dock Pump Out Replacement</t>
  </si>
  <si>
    <t>Replace Failing Pump out System</t>
  </si>
  <si>
    <t>Ensure Tour Vessel Operators can Pump Effluent from vessels</t>
  </si>
  <si>
    <t xml:space="preserve">Glacier Haul Rd </t>
  </si>
  <si>
    <t>Emergency dike needs rebuilt to Engineer's specs</t>
  </si>
  <si>
    <t>Sewer / Grease Trap</t>
  </si>
  <si>
    <t>Big Dipper like at middle school</t>
  </si>
  <si>
    <t>Lift Install Phase II</t>
  </si>
  <si>
    <t>Install lifts as previously installed in facility</t>
  </si>
  <si>
    <t>approx. 1/3 of facility is complete</t>
  </si>
  <si>
    <t>Psych Ed</t>
  </si>
  <si>
    <t>Designate area for Psych</t>
  </si>
  <si>
    <t>need safe place for psych room</t>
  </si>
  <si>
    <t>Armor the edge by balefield/ add rip-rap and dig in a toe</t>
  </si>
  <si>
    <t>Landfill protection. Repair river scour from 2017</t>
  </si>
  <si>
    <t>Waterline replacement VHS</t>
  </si>
  <si>
    <t>Waterlines are nearly non functional</t>
  </si>
  <si>
    <t>Waterline replacement HHES</t>
  </si>
  <si>
    <t>waterlines are nearly non functional</t>
  </si>
  <si>
    <t>outlived life expectency</t>
  </si>
  <si>
    <t>Waterline Replacement District Office</t>
  </si>
  <si>
    <t>failed System</t>
  </si>
  <si>
    <t>Repair sewer main between Lift Stations 2 &amp;3</t>
  </si>
  <si>
    <t>Pipe was potentially damaged by well point installed for nearby water main construction; Recommend TV line to look at condition; Evaluate feasibility of trenchless repair.</t>
  </si>
  <si>
    <t>Police</t>
  </si>
  <si>
    <t>PD Storage (including secure evidence)</t>
  </si>
  <si>
    <t>A dedicated secure building for PD storage (bomb equipment, etc.) as well as secure evidence storage (vehicles).  Will require electric and heat - maybe not water</t>
  </si>
  <si>
    <t>Lack of storage and no secure evidence locations for large evidence items such as vehicles.  Basically a copy of the existing Trooper building near DOT.</t>
  </si>
  <si>
    <t>Public Works office- 2nd exit</t>
  </si>
  <si>
    <t xml:space="preserve">We have a emergency window ladder only </t>
  </si>
  <si>
    <t>White Noise Machines</t>
  </si>
  <si>
    <t>Add white noise machines at behavioral health</t>
  </si>
  <si>
    <t>Can hear in the hallway at times</t>
  </si>
  <si>
    <t>Valdez Senior Center, Inc.</t>
  </si>
  <si>
    <t xml:space="preserve">Hot Water Power Booster </t>
  </si>
  <si>
    <t>A hot water power booster is needed under the kitchen commercial dishwasher</t>
  </si>
  <si>
    <t>This is a safety issue. As a City facility in Valdez serving food, we are required to maintain certain water temperatures during dishwasher wash &amp; rinse cycles to assure items are being sterilized and sanitized.</t>
  </si>
  <si>
    <t>Station #4, Shelter Up-grade</t>
  </si>
  <si>
    <t xml:space="preserve">Design </t>
  </si>
  <si>
    <t>St #4 does not function as a shelter</t>
  </si>
  <si>
    <t>Library</t>
  </si>
  <si>
    <t>Water Drainage</t>
  </si>
  <si>
    <t>Loading Dock needs more drainage spring thaw and rain will fill the area.</t>
  </si>
  <si>
    <t>Need to remove water and ponding.</t>
  </si>
  <si>
    <t>Locker Room Remodel</t>
  </si>
  <si>
    <t>Update/Remodel existing PD locker rooms</t>
  </si>
  <si>
    <t>Locker rooms are outdated and in need of remodel/repair.  They have been the same since at least 1999</t>
  </si>
  <si>
    <t>PD Impound Lot</t>
  </si>
  <si>
    <t>Clear existing dedicated lot, establish driveway and install gate</t>
  </si>
  <si>
    <t>Lack of qualified impound options</t>
  </si>
  <si>
    <t>Fire Hydrant Replacement - In fill</t>
  </si>
  <si>
    <t xml:space="preserve">Replace out dated infrustructure </t>
  </si>
  <si>
    <t>On-going program, multi year</t>
  </si>
  <si>
    <t>Replace windows of VHS library</t>
  </si>
  <si>
    <t>Fire Wall Compliance Project</t>
  </si>
  <si>
    <t>Imaging Office window and Speech Office Window out of compliance.</t>
  </si>
  <si>
    <t>Boiler Revent</t>
  </si>
  <si>
    <t>Ventilation on boilers needs upgraded</t>
  </si>
  <si>
    <t>New weather stripping around catering doors, loading dock doors, roof access hatch and theatre man doors.</t>
  </si>
  <si>
    <t xml:space="preserve">Cold air just pours in around the doors near the kitchen and loading dock. </t>
  </si>
  <si>
    <t>Improvement of heating efficiency.</t>
  </si>
  <si>
    <t>WanderGuard Upgrade</t>
  </si>
  <si>
    <t>Current radio frequencies have multiple interferences</t>
  </si>
  <si>
    <t>Harbor Boardwalk Reconstruction</t>
  </si>
  <si>
    <t>Replace failling Harbor Boardwalks and Rest Shelters.</t>
  </si>
  <si>
    <t xml:space="preserve">Triping Hazzards and Failied Harbor walks.  </t>
  </si>
  <si>
    <t>Apartment Upgrades</t>
  </si>
  <si>
    <t xml:space="preserve">Replace carpeting &amp; vinyl flooring; refinish kitchen cabinets; replace existing appliances; new backsplashes and counter tops; replace built in wall ovens and flat top burners with single stove w/built in overhead microwave ovens; redo electrical wiring for stoves that isn't up to code; interior painting; replace existing overhead light fixtures; upgrade entire bathrooms with new vanities, raised toilets, light fixtures, medicine cabinets, and step in showers with grab bars &amp; shower seats.  </t>
  </si>
  <si>
    <t xml:space="preserve">The apartments are over 30 years old and are in serious need of upgrade. Approximately one-half of the apartments need most of the upgrades listed. All but 5 apartments need showers replaced due to inaccessible bathtubs. Two tenants are currently in serious need of shower replacements; both are unable to step over the high sides of their bathtubs to shower. </t>
  </si>
  <si>
    <t>Baler Roof</t>
  </si>
  <si>
    <t>Roof Repalcement</t>
  </si>
  <si>
    <t>Leaks</t>
  </si>
  <si>
    <t>Emergency Department Entrance Redesign</t>
  </si>
  <si>
    <t>Create a triage desk and waiting area upon entrance to the hospital.  Move the morgue to the back of the hospital.</t>
  </si>
  <si>
    <t>Infection Prevention, security, Privacy for removal of remains from the morgue, safety of employees moving remains - hard to lift and move remains from current room.</t>
  </si>
  <si>
    <t>Remove old Picnic Shelters at Civic Center</t>
  </si>
  <si>
    <t>Replace with decorative landscape</t>
  </si>
  <si>
    <t>Door cut between concession and tickets</t>
  </si>
  <si>
    <t>We desperately need a doorway between concessions and tickets to allow heat to disperse and communication between the two areas during a movie</t>
  </si>
  <si>
    <t>The concession stand gets so hot in the summer it melts the chocolate products. It would also allow us to potentially use less staff if you could move between one line and another with ease during a slower movie.</t>
  </si>
  <si>
    <t>Boiler Replacement Council Chambers</t>
  </si>
  <si>
    <t>Replace aged boiler</t>
  </si>
  <si>
    <t>Council Boiler is old and we can't get parts for it.</t>
  </si>
  <si>
    <t>New Carpet Council Chambers</t>
  </si>
  <si>
    <t>Replace warn out Carpet  in Council</t>
  </si>
  <si>
    <t xml:space="preserve">Carpet is warn and frayed causes a trip hazard. </t>
  </si>
  <si>
    <t>REC CENTER Remodel</t>
  </si>
  <si>
    <t>See combined Rec Center Scopes</t>
  </si>
  <si>
    <t>Facility has outlived current use and function.</t>
  </si>
  <si>
    <t>Chiller Replacement</t>
  </si>
  <si>
    <t>retrofit or replace the chiller</t>
  </si>
  <si>
    <t>Freon will become obsolete in 2020</t>
  </si>
  <si>
    <t xml:space="preserve">Replace Library Windows </t>
  </si>
  <si>
    <t>13 windows (7 that open) along the back wall of the main floor of the library need to be replaced with more energy efficient windows that can be locked.</t>
  </si>
  <si>
    <t xml:space="preserve">Of the seven windows that open,five have broken latches and cannot be closed securely.  Each window has a 1/2 inch gap in the top,so even when closed the windows are not air tight. In the winter, sometimes windows are drilled shut,to prevent them from blowing open in the wind.  This means the windows cannot be opened in case of fire or another emergency.  All of the windows have blinds inside the two panes of glass,and most of the blinds no longer work.  Bottom line,these  windows are energy
inefficient and pose a security risk.
</t>
  </si>
  <si>
    <t>Museum</t>
  </si>
  <si>
    <t>HVAC at Main Museum</t>
  </si>
  <si>
    <t>Replace Failing HVAC at Main Museum</t>
  </si>
  <si>
    <t>VCT Waterline Repair/Replacement</t>
  </si>
  <si>
    <t>Replace Failed Water System at the VCT</t>
  </si>
  <si>
    <t>Failed Does not supply enough water for Fire Safety.</t>
  </si>
  <si>
    <t>Information Technology</t>
  </si>
  <si>
    <t>Build New Data Center (Server Room)</t>
  </si>
  <si>
    <t>Current server room lacks proper climate control, fire suppression system, flooring, cooling, etc.  Timing might be dependent on future building (e.g. Fire Department).</t>
  </si>
  <si>
    <t>Existing server room has been "built over time" and lacks many of the industry standard attributes to run a safe and efficient location for IT servers and network equipment.</t>
  </si>
  <si>
    <t>TBD</t>
  </si>
  <si>
    <t>HVAC at Annex</t>
  </si>
  <si>
    <t>Replace Inadequate HVAC at Annex</t>
  </si>
  <si>
    <t>While the library is not the cause of the imbalance, the warehouse facility does not function well with the climate control system</t>
  </si>
  <si>
    <t>Harbor office fish clean station has water line break that needs repaired. Replace valves and sidewalk</t>
  </si>
  <si>
    <t xml:space="preserve">underground waterline break </t>
  </si>
  <si>
    <t>Aging infrastructure</t>
  </si>
  <si>
    <t>Roof has exhausted its life expectancy</t>
  </si>
  <si>
    <t>VHS Exterior Door Replacement &amp; Security Upgrades</t>
  </si>
  <si>
    <t>Replace exterior doors</t>
  </si>
  <si>
    <t>HHES Exterior Door Replacement &amp; Security Upgrades</t>
  </si>
  <si>
    <t>Sidewalk replacement District Office</t>
  </si>
  <si>
    <t xml:space="preserve">Existing sidewalks deteriorated </t>
  </si>
  <si>
    <t>District Office Boiler Replacement</t>
  </si>
  <si>
    <t>Replace boiler system</t>
  </si>
  <si>
    <t>Carpeting for VSC facility offices and stairs</t>
  </si>
  <si>
    <t>Replace original carpeting in two front offices, two upstairs offices and stairway. Repair damaged floor in Director's office.</t>
  </si>
  <si>
    <t>The carpeting in the facility is very old and stained. It is too worn to clean and is unsightly to the public. VSC needs to project a professional image to the public.</t>
  </si>
  <si>
    <t>Re-grade Black Gold Park for proper drainage and to make it usable area in the summer</t>
  </si>
  <si>
    <t>Regrade and improve drainage</t>
  </si>
  <si>
    <t>Large ponds form and water never drains off the park.</t>
  </si>
  <si>
    <t>Boiler Mates at the Senior Center</t>
  </si>
  <si>
    <t>Replace Domestic Hot Water makers at Senior Center</t>
  </si>
  <si>
    <t xml:space="preserve">Old Hot Water makers are at end of service life and inefficient.  </t>
  </si>
  <si>
    <t>Replace Side walk at City Hall</t>
  </si>
  <si>
    <t>Replace old broken sidewalk</t>
  </si>
  <si>
    <t>Frost heave broken side walk</t>
  </si>
  <si>
    <t>New AC for Museum</t>
  </si>
  <si>
    <t>Replace Air Conditioners at the Museum</t>
  </si>
  <si>
    <t xml:space="preserve">Existing Liberst use R-22 Freon Gas that has been discontinued.  Replacing AC is better than adapting for new Freon. </t>
  </si>
  <si>
    <t>Replace Fuel Tank Senior Center</t>
  </si>
  <si>
    <t>Replace AST Fuel Tank Senior Center</t>
  </si>
  <si>
    <t xml:space="preserve">AST fuel Tank is rusted badly should be replaced. </t>
  </si>
  <si>
    <t>Carpet on theatre stairs.</t>
  </si>
  <si>
    <t>The last time the carpet was replaced in the building (around 2009) the theatre stair carpet was not replaced. It is old and frayed in some places and is in need of replacement.</t>
  </si>
  <si>
    <t>Tripping hazzard and visual improvement.</t>
  </si>
  <si>
    <t>Re-key Facility</t>
  </si>
  <si>
    <t>Replace locks and re-key</t>
  </si>
  <si>
    <t>Library and Staff Restrooms</t>
  </si>
  <si>
    <t>There are four public restrooms in the library and one staff restroom. Two of the public restrooms are located on the main floor and two on the basement level.  Each restroom needs updated  fixtures,new flooring,counter tops,and automatic doors(public restrooms only).</t>
  </si>
  <si>
    <t>The current restrooms are functional,but not ADA compliant. Each restroom has big heavy door that is difficult to manage for anyone with impaired mobility. Fixtures are very out of date.  Any public facility in the City should have restrooms that are ADA accessible,and all of our patrons  would benefit  from an upgrade to our restrooms.</t>
  </si>
  <si>
    <t>Replace Rest Areas in the Small Boat Harbor Boardwalks</t>
  </si>
  <si>
    <t>Failing and Due to be replaced</t>
  </si>
  <si>
    <t>HHES Cafeteria floor</t>
  </si>
  <si>
    <t xml:space="preserve">tile floor replacement necessary </t>
  </si>
  <si>
    <t>floor has settled, deteriorated, tiles loose</t>
  </si>
  <si>
    <t>Exterior shop doors replacement</t>
  </si>
  <si>
    <t>Shop doors need replacement</t>
  </si>
  <si>
    <t>Doors have exhausted their life expectency</t>
  </si>
  <si>
    <t>PVC siding of entire VSC building</t>
  </si>
  <si>
    <t xml:space="preserve">Repair damage; staff with Stan P. who is aware of scope of work involved. The scope of work is outside the realm of VSC's operating budget.  </t>
  </si>
  <si>
    <t xml:space="preserve">Repair of damaged siding will resolve existing issues and prevent additional buckling from occurring to the structure. Outside siding problems could lead to leaking issues that could impact other operations. </t>
  </si>
  <si>
    <t>New sand shed roof</t>
  </si>
  <si>
    <t>at city shop</t>
  </si>
  <si>
    <t>roof leaks</t>
  </si>
  <si>
    <t>Hanagita Warehouse Resided/ Concrete Floor</t>
  </si>
  <si>
    <t>Needs to be resided and have a concrete floor and lights installed</t>
  </si>
  <si>
    <t>Building is critical indoor storage but it needs a facelift</t>
  </si>
  <si>
    <t>Doors at PW Shop</t>
  </si>
  <si>
    <t>need, hinges, and weather striping</t>
  </si>
  <si>
    <t xml:space="preserve">Doors are sagging and weather stipping is worn/ leaking </t>
  </si>
  <si>
    <t xml:space="preserve">Repair sewer main at animal shelter  </t>
  </si>
  <si>
    <t>Gravel in line indicates pipe failure; Recommend TV line to look at condition.</t>
  </si>
  <si>
    <t>Fix failing pipe</t>
  </si>
  <si>
    <t xml:space="preserve">Comprehensive reservoir evaluation and cleaning </t>
  </si>
  <si>
    <t>Perform comprehensive evaluation of tank interiors and robotic tank cleaning; Project is ongoing.</t>
  </si>
  <si>
    <t>Identify maintenance issues</t>
  </si>
  <si>
    <t>Public Works office new flooring</t>
  </si>
  <si>
    <t>orginal</t>
  </si>
  <si>
    <t>hard to clean</t>
  </si>
  <si>
    <t>Mineral Creek Bridge Repairs</t>
  </si>
  <si>
    <t>Repair as per ADOT Engineer's report</t>
  </si>
  <si>
    <t xml:space="preserve">New overhead lights installed in Maintenance Shop </t>
  </si>
  <si>
    <t xml:space="preserve">Replace all overhead lights in main shop </t>
  </si>
  <si>
    <t xml:space="preserve">Old lights are failing. Replace with new technology/ lower energy consumption lights. Install contactor. </t>
  </si>
  <si>
    <t>Animal Control</t>
  </si>
  <si>
    <t>Animal Shelter Floor Replacement</t>
  </si>
  <si>
    <t>Replace Animal Shelter Flooring throughout the building (except Kennel area and Garage area)</t>
  </si>
  <si>
    <t>Flooring is in need of replacement and is in a high-traffic, high-visibility area</t>
  </si>
  <si>
    <t xml:space="preserve">Water service at Lift Stations </t>
  </si>
  <si>
    <t xml:space="preserve"> Install water service for wash down at Lift Stations 2, 3, 4, 5, &amp; 6 </t>
  </si>
  <si>
    <t>Speaker/Overhead Paging Upgrade</t>
  </si>
  <si>
    <t>Add speakers and adjust volume on current system</t>
  </si>
  <si>
    <t>LED Lighting Replacement</t>
  </si>
  <si>
    <t>Upgrade Lighting in Facility to LED</t>
  </si>
  <si>
    <t>Electrical savings potential</t>
  </si>
  <si>
    <t>Sloped roofs for well houses</t>
  </si>
  <si>
    <t>Install sloping roofs on Well/Pump houses</t>
  </si>
  <si>
    <t>Flat roofs are failing and allowing water to damage interior of buildings</t>
  </si>
  <si>
    <t>Small Boat Harbor Major Reconstruction</t>
  </si>
  <si>
    <t>Replace H-K Docks, Repair/relocated Boat Lifting Pier and Operations, Replace the Tour Dock, Replace the Travelift, and maximise float capacity.</t>
  </si>
  <si>
    <t>End of life expectancy and needs to be replaced ($5M Grant money)</t>
  </si>
  <si>
    <t>Harbor Office and Maintenance Building</t>
  </si>
  <si>
    <t xml:space="preserve">Remodel/Replace Existing Harbor Office and Maitnenance Building.  Create aditional work spaces, laundry, showers, and indoor maintenance areas.  </t>
  </si>
  <si>
    <t xml:space="preserve">Current Harbor Offices are past their original life expectancy </t>
  </si>
  <si>
    <t>Storm Drain Repair District Office</t>
  </si>
  <si>
    <t>Storm drain has deteriorated</t>
  </si>
  <si>
    <t>storm drain has collapsed…erosion</t>
  </si>
  <si>
    <t>South Harbor Drive complete rebuild</t>
  </si>
  <si>
    <t>Replace: water, sewer, storm, gutter/sidewalk, sub-base, pavement</t>
  </si>
  <si>
    <t>pavement and utilities are all in poor condition due to age.</t>
  </si>
  <si>
    <t>Baler Floor Repair</t>
  </si>
  <si>
    <t>Install new Acid resistant concrete and slope to drain</t>
  </si>
  <si>
    <t>Upgrade HVAC System</t>
  </si>
  <si>
    <t>Gazebo on Egan, mason work on statue gazebo floor</t>
  </si>
  <si>
    <t>Rock has fallen off for years. Was put there by council years ago, gazebo floor, perhaps rain gutters</t>
  </si>
  <si>
    <t>One of the first things tourists see as they drive in to town</t>
  </si>
  <si>
    <t>Re-pave/ Drainage Repair In Robe River Subdivision</t>
  </si>
  <si>
    <t xml:space="preserve">Entire subdivision has failing asphalt and drainage issues </t>
  </si>
  <si>
    <t>LED conversion for PD</t>
  </si>
  <si>
    <t>Convert existing lights to LED</t>
  </si>
  <si>
    <t>Well over 100 lights in an area that has employees working 24 hours a day, 7 days a week, 365 days a year.  The coversion will pay for itself in a matter of two years</t>
  </si>
  <si>
    <t>Fire Training Facility</t>
  </si>
  <si>
    <t>Design, Construct</t>
  </si>
  <si>
    <t xml:space="preserve">Currently, no facility to train at and no props </t>
  </si>
  <si>
    <t>Fiber Optic Runs Throughout City</t>
  </si>
  <si>
    <t>City-wide; begin 2018 and grow through future years.</t>
  </si>
  <si>
    <t>Greater control of network, improved security, cost of time.</t>
  </si>
  <si>
    <t>Concrete Re-sealing for all Port and Harbor Concrete surfaces</t>
  </si>
  <si>
    <t>Concrete Prep and Re-sealing of the VCT float, Kelsey Plaza, and Stand Stephens Plaz areas.</t>
  </si>
  <si>
    <t>The Port would like to meet industry standard Operations and Maintenance standards for Marine Infrastructures to prolong concrete life expectancy and maintenance requirements. (every 5 years)</t>
  </si>
  <si>
    <t>Airport Parking Lot Improvements and paving</t>
  </si>
  <si>
    <t>Improve drainage and repair failed paving areas</t>
  </si>
  <si>
    <t>Pay some now or pay more later.</t>
  </si>
  <si>
    <t>Stan Stephens parking lot and plaza repairs</t>
  </si>
  <si>
    <t xml:space="preserve">Repair curbs, concrete walks, decking, and interpretive shelter. </t>
  </si>
  <si>
    <t>Damaged walks and Curbs are an eyesore and if left unrepaired will eventually cause additional construction replacement costs.</t>
  </si>
  <si>
    <t xml:space="preserve">Back-up well for Well No. 4 </t>
  </si>
  <si>
    <t>Install two test wells in the vicinity of Well No. 4; Develop one into a new production well.</t>
  </si>
  <si>
    <t>Add needed redundancy and capacity to City water system</t>
  </si>
  <si>
    <t>LED Lighting for theatre.</t>
  </si>
  <si>
    <t>We currently have approximately two hundred (200) 750-1000 Watt theatre lights. Not only is the lighting technology antiquated, but it's costly to run when we have a need theatre lights. We could replace the theatre lights in stages, doing one pipe at a time and it would not be such an all-at-once financial hit. This would help to bring our theatre up-to-date will others around the country as all are switching to LED theatrical lights.</t>
  </si>
  <si>
    <t>Cost efficiency and modernization.</t>
  </si>
  <si>
    <t>Repair/Replace picnic shelters at Glacier Campground, Alpine Woods, Robe River Park,  Dock Point</t>
  </si>
  <si>
    <t>Structures need to be maintained preparatory for replacement. Support posts are rotting.</t>
  </si>
  <si>
    <t>Evaluation complete in 2017</t>
  </si>
  <si>
    <t xml:space="preserve">Bypass at Lift Station 1 </t>
  </si>
  <si>
    <t>Valves and quick-disconnect pump connection on force main to isolate station and allow bypass pumping.</t>
  </si>
  <si>
    <t>Will allow bypass pumping during emergency shutdown of lift station</t>
  </si>
  <si>
    <t>Senior Center Rd/parking lot corner removal</t>
  </si>
  <si>
    <t>corner needs to be reworked for snow removal</t>
  </si>
  <si>
    <t>will improve access around Hospital and Senior Center</t>
  </si>
  <si>
    <t>Electric line over Senior Center Road</t>
  </si>
  <si>
    <t>Need to be removed for snow removal safety</t>
  </si>
  <si>
    <t>Dangerous for snow removal operations</t>
  </si>
  <si>
    <t xml:space="preserve">Marine Infrastructure underwater/Inpsection </t>
  </si>
  <si>
    <t>This item is reoccuring every 5 years and should be built intot he long term plan.</t>
  </si>
  <si>
    <t>Maintenance is less costly than replacement.</t>
  </si>
  <si>
    <t>New Police Station</t>
  </si>
  <si>
    <t>Build new Police Station and Jail attached to the newly constructed Fire Station</t>
  </si>
  <si>
    <t>As an alternative to the aforementioned smaller items…..</t>
  </si>
  <si>
    <t>LTC 2 hour fire wall</t>
  </si>
  <si>
    <t>Add the the wall separating long term care</t>
  </si>
  <si>
    <t>reduces liability during inspections</t>
  </si>
  <si>
    <t>Dispatch exterior door and balcony</t>
  </si>
  <si>
    <t>Build a small balcony off of the south side wall of Dispatch, install sliding door or exterior door</t>
  </si>
  <si>
    <t>Dispatchers work long hours (12) in which they are unable to leave their work station - doing this project would allow them the ability to step outside and get fresh air/sunshine while still performing their job functions</t>
  </si>
  <si>
    <t>VCT Floating Dock</t>
  </si>
  <si>
    <t>Concrete and Cables are end of life expectancy and failing.</t>
  </si>
  <si>
    <t>Critical Port Infrastructure</t>
  </si>
  <si>
    <t>Gold Fields Upgrades</t>
  </si>
  <si>
    <t>Repaint and trim Gold Fields Facility and new fenceline/dugouts/upper level office remodel</t>
  </si>
  <si>
    <t>Wood rot in facility and original construction (circa 1980s) fence line deteriorating.</t>
  </si>
  <si>
    <t xml:space="preserve">Well </t>
  </si>
  <si>
    <t>Add well, for water redundancy as well as use with chiller</t>
  </si>
  <si>
    <t>Water redundancy</t>
  </si>
  <si>
    <t>Covered Vehicle Parking</t>
  </si>
  <si>
    <t>Covered area for trash trucks</t>
  </si>
  <si>
    <t>Protection from weather and animals for expensive equipment</t>
  </si>
  <si>
    <t>Replace Alpine Woods Outhouse</t>
  </si>
  <si>
    <t>Replace Outhouse at Alpine woods park nearest tennis court with Romtec</t>
  </si>
  <si>
    <t>Structure is failing.</t>
  </si>
  <si>
    <t>Airport Remodel</t>
  </si>
  <si>
    <t xml:space="preserve">Airport Lobby Remodel, new lighting and interior décor.  </t>
  </si>
  <si>
    <t>Dated and aged lobby/welcoming Port</t>
  </si>
  <si>
    <t xml:space="preserve">WWTP Improvements </t>
  </si>
  <si>
    <t xml:space="preserve">New headworks screening and septage receiving;
New Biolac aeration system in Lagoon 2
</t>
  </si>
  <si>
    <t>Improve efficiency of treatment lagoons</t>
  </si>
  <si>
    <t>Snow shed roof at LS# 5,7 and 8.</t>
  </si>
  <si>
    <t>Install pitched roofs to eliminate snow loading and frequent shoveling</t>
  </si>
  <si>
    <t>would eliminate need to shovel roofs often during the winter</t>
  </si>
  <si>
    <t xml:space="preserve">Reroute Lift Station 3 force main </t>
  </si>
  <si>
    <t>Reroute force main to manhole upstream of Lift Station 4; Eliminates manifold connection to Lift Station 1 force main.</t>
  </si>
  <si>
    <t>Will eliminate small force main back-up</t>
  </si>
  <si>
    <t>Build a new Solid Waste transfer site</t>
  </si>
  <si>
    <t>Transfer site for Baler location</t>
  </si>
  <si>
    <t>Will make Baler operations more efficient</t>
  </si>
  <si>
    <t>Electrical support for HHES</t>
  </si>
  <si>
    <t>Need to add add'l service to HHES</t>
  </si>
  <si>
    <t>Electrical access not meeting needs</t>
  </si>
  <si>
    <t>Replace Incinerator in Animal Shelter</t>
  </si>
  <si>
    <t>End of life cycle (this one bought in 2005 and estimated life cycle is 20 years)</t>
  </si>
  <si>
    <t>Lighting</t>
  </si>
  <si>
    <t>Replace all fluorescent and other bulbs in the library with energy efficient bulbs and update the light fixtures in the library.</t>
  </si>
  <si>
    <t>The library has a very high electrical bill every year. Fluorescent bulbs have proven to be energy inefficient and there are better alternatives out there. If we update the fixtures and choose different bulbs, we should see a decrease in the electricity bill. Also, the cast of light from fluorescent bulbs is difficult on the eyes and not ideal for reading and work on computers. Changing out the bulbs and fixtures will also improve the overall look of the library.</t>
  </si>
  <si>
    <t>Rec Center Canopy &amp; storage Addition</t>
  </si>
  <si>
    <t>Add storage and extend patio roof</t>
  </si>
  <si>
    <t>Storage for activities is currently limited to single storage shed. Expanding the patio would allow actual use of the space. Currently too small to be functional.</t>
  </si>
  <si>
    <t>High Level Disinfectant Processing Room Division</t>
  </si>
  <si>
    <t>split room dirty room for scope processing - clean and dirty area or move scope to clean room.</t>
  </si>
  <si>
    <t>High level disinfectant (HDL) Processing Room</t>
  </si>
  <si>
    <t>Rec Center ADA Upgrades</t>
  </si>
  <si>
    <t>Whole facility ADA compliant upgrades</t>
  </si>
  <si>
    <t>Need to ensure ADA accessibility to facility.</t>
  </si>
  <si>
    <t>Rec Center New flooring</t>
  </si>
  <si>
    <t>Replace tiles in entry way; kitchen; dance floor, &amp; carpeting</t>
  </si>
  <si>
    <t>Carpet is worn and has outlived useful service life</t>
  </si>
  <si>
    <t xml:space="preserve">Rec Center New lighting </t>
  </si>
  <si>
    <t>Replace lighting with LED &amp; add lighting where needed</t>
  </si>
  <si>
    <t>interior partitions reduce light and LEDs can be an energy savings</t>
  </si>
  <si>
    <t>Rec Center Exterior upgrades &amp; expanded parking</t>
  </si>
  <si>
    <t>restain/repaint building. Add/ upgrade exterior lighting. Expand parking and add second driveway into facility.</t>
  </si>
  <si>
    <t>more users need parking with expanded services. Exterior is dated and in need of maintenance that has been deferred.</t>
  </si>
  <si>
    <t>Audio/Visual upgrades for meeting space</t>
  </si>
  <si>
    <t>Oak in hall along heating vents needs refinishing.</t>
  </si>
  <si>
    <t>The oak along the heating vents takes a lot of sun damage and heat exposure. Through the years it has become discolored and in serious need of refinishing.</t>
  </si>
  <si>
    <t>This area is highly visual as it is the are people go to look out the windows at one of the best views in Valdez. It's unnattractive to look at sun discolored and spot stained oak trim.</t>
  </si>
  <si>
    <t>RE Staight Building Remodel</t>
  </si>
  <si>
    <t>Building needs a remodel</t>
  </si>
  <si>
    <t>Maintain the building</t>
  </si>
  <si>
    <t xml:space="preserve">Water main valve replacements, city-wide </t>
  </si>
  <si>
    <t>Evaluate condition of existing water main valves and replace nonfunctioning valves</t>
  </si>
  <si>
    <t>Replace aged, leaking or stuck water main valves</t>
  </si>
  <si>
    <t>Restroom Remodel</t>
  </si>
  <si>
    <t>Upgrade Restrooms &amp; make ADA Compliant if possible</t>
  </si>
  <si>
    <t>access/necessary upkeep</t>
  </si>
  <si>
    <t>Wildlife Viewing Platform</t>
  </si>
  <si>
    <t>Wildlife viewing platform on Dayville Road, west of the Hatchery.</t>
  </si>
  <si>
    <t>Plans already exist - wildlife viewing platform at Dayville Road to allow point for people to view wildlife while also controlling their movement and establishing better public safety (less bear v. people encounters)</t>
  </si>
  <si>
    <t>Replace tennis courts at Alpine woods park</t>
  </si>
  <si>
    <t>Surface needs redone</t>
  </si>
  <si>
    <t>Robe River/Corbin area sewer extension</t>
  </si>
  <si>
    <t>Install sanitary sewer system to Robe River and Corbin Creek, link to treament plant.</t>
  </si>
  <si>
    <t>Engineering done in 2010 due to too high of density of septic systems. New subdivision to begin construction in 2018. Public health and safety issue, possible natural resource degredation.</t>
  </si>
  <si>
    <t>Improve the location and desirability for public and incoming cruise ship industry port of calls.</t>
  </si>
  <si>
    <t>Carpet Replacement</t>
  </si>
  <si>
    <t>Replace worn carpet when necessary</t>
  </si>
  <si>
    <t>necessary upkeep</t>
  </si>
  <si>
    <t>GMS storage building</t>
  </si>
  <si>
    <t>Building for maintenance equipment</t>
  </si>
  <si>
    <t>Critical to have storage</t>
  </si>
  <si>
    <t>Bleachers for GMS</t>
  </si>
  <si>
    <t>Bleachers for football field</t>
  </si>
  <si>
    <t>Part of original scope</t>
  </si>
  <si>
    <t>Campus Wide Walking Path</t>
  </si>
  <si>
    <t>Safety of mobile residents, health of staff</t>
  </si>
  <si>
    <t>Replace parking lot lights City Hall</t>
  </si>
  <si>
    <t>Replace the lights at City Hall</t>
  </si>
  <si>
    <t>Exterior Lights are rusted and need replacing</t>
  </si>
  <si>
    <t>Under Ground the Power Lines VSBH</t>
  </si>
  <si>
    <t>Underground overhead Power Lines at the SBH Snow Lot</t>
  </si>
  <si>
    <t>Allow us to use the boat lift across the street.</t>
  </si>
  <si>
    <t>Underground the Power Lines at the entrance to the VCT and create staging area for trucks</t>
  </si>
  <si>
    <t>Allows for overheight loads to be moved up the Richardson without the Power Company coming to lower the lines and interrupt service.  Provides additional staging for trucks waiting to pick up frieght.</t>
  </si>
  <si>
    <t>Security/Operations Camera System VCT, Airport, and the Small Boat Harbor</t>
  </si>
  <si>
    <t>Install cameras at the all Port and Harbor facilities.</t>
  </si>
  <si>
    <t xml:space="preserve">This allows for staff to maintain control of facilities from off site locations and manage the Port and Harbor Facilities.  </t>
  </si>
  <si>
    <t>Cemetary Expansion</t>
  </si>
  <si>
    <t>Fill in center of Memorial Cemetary to add lots</t>
  </si>
  <si>
    <t xml:space="preserve">Need more lot space at cemetary. </t>
  </si>
  <si>
    <t>Wireless AlarmLock</t>
  </si>
  <si>
    <t>Upgrade to bluetooth alarmlocks</t>
  </si>
  <si>
    <t>Covered Equipment extended</t>
  </si>
  <si>
    <t xml:space="preserve">Current equipment shed too narrow, much of the large equipment exposed to the weather </t>
  </si>
  <si>
    <t>To shelter expensive equipment from the weather</t>
  </si>
  <si>
    <t>Public Works Kitchen upgrade</t>
  </si>
  <si>
    <t>We are a emergency shelter for HH, would be nice to be able to cook</t>
  </si>
  <si>
    <t xml:space="preserve">would add ability to cook in emergency situations </t>
  </si>
  <si>
    <t>Ski Hill Upgrades</t>
  </si>
  <si>
    <t>Replace Ski Hill Bull wheel and cable/facility building repairs</t>
  </si>
  <si>
    <t>Purchased used and lifespan is undetermined.</t>
  </si>
  <si>
    <t>Corbin Creek/Robe River  water system expansion</t>
  </si>
  <si>
    <t>Install water system in Corbin Creek subdivision, link to existing system in Robe River subdiv.</t>
  </si>
  <si>
    <t>Residents have foul water in their private wells. Engineering was done in 2010. Would make further development in the area more feasible.</t>
  </si>
  <si>
    <t>Kelsey Dock Interpretive Project Phase 2 Up-Land Side</t>
  </si>
  <si>
    <t>Remove the Yellow Building and replace with public event and gathering space. Move Museum.</t>
  </si>
  <si>
    <t>Landscaping (see walking path)</t>
  </si>
  <si>
    <t>Landscaping Plan for Cafeteria end of hospital.</t>
  </si>
  <si>
    <t>Give Residents, Patients and their families a comfortable, inviting outdoor space.</t>
  </si>
  <si>
    <t>GMS Vestibule/Access</t>
  </si>
  <si>
    <t>Covered entryway to weight room</t>
  </si>
  <si>
    <t>additional protection to access</t>
  </si>
  <si>
    <t>Science Room Remodel VHS</t>
  </si>
  <si>
    <t>replace outdated equipment/tables</t>
  </si>
  <si>
    <t>Not meeting needs of dept</t>
  </si>
  <si>
    <t>Priority 4 LTC expansion</t>
  </si>
  <si>
    <t>New Floor Maintenance Shop Offices</t>
  </si>
  <si>
    <t>Replace damaged Tarkett Flooring</t>
  </si>
  <si>
    <t xml:space="preserve">Flooring is damaged and difficult to clean.  </t>
  </si>
  <si>
    <t>Remodel City Hall reception</t>
  </si>
  <si>
    <t>Replace Fire door and create a Bay window and new counter</t>
  </si>
  <si>
    <t xml:space="preserve">Staff can't see customers approach.  Old Fire door doesn't work. </t>
  </si>
  <si>
    <t>Utility expansion for Airport Industrial Subdivision.</t>
  </si>
  <si>
    <t>Expand water and sewer systems to include a loop from Atigun to Airport Rd, via Rudolph St.</t>
  </si>
  <si>
    <t>Planning is well underway for a new zoning district and sales of City land in this subdivision, but all is dependent on access to public utilities.</t>
  </si>
  <si>
    <t>Dry Stack Facility</t>
  </si>
  <si>
    <t>Construct an enclosed upland vessel storage and launch facility.</t>
  </si>
  <si>
    <t>Meet demand for vessels slips and increase revenue in the Harbor enterprise fund. Dry stack is cheaper to construct and maintain than in water slips.</t>
  </si>
  <si>
    <t>Pool Access Siding replacement</t>
  </si>
  <si>
    <t>Siding has been damaged over the years</t>
  </si>
  <si>
    <t>This is main pool entry</t>
  </si>
  <si>
    <t>Add Prox Locks to City Buildings</t>
  </si>
  <si>
    <t>Prox Locks for exterior doors</t>
  </si>
  <si>
    <t xml:space="preserve">Add security and make it possible to track keys better. </t>
  </si>
  <si>
    <t>New Boat Harbor Fuel Float and infrastructure</t>
  </si>
  <si>
    <t>Install tanks and Pumps for New Boat Harbor Fuel Delivery.</t>
  </si>
  <si>
    <t>Avoide congestion in the old boat harbor, and provide fuel vendor and consessions to the masses.</t>
  </si>
  <si>
    <t>Rec Center Gym Addition</t>
  </si>
  <si>
    <t>Addition of gymnasium/ walking track / extended kitchen with more than one work station (stove, sink, fridge)/ class space</t>
  </si>
  <si>
    <t>Adding a gym would allow users a gym space after school, currently difficult to schedule gyms with all the school activities.</t>
  </si>
  <si>
    <t>Replace Gold Fields Electronic clock system</t>
  </si>
  <si>
    <t>VHS Concessions</t>
  </si>
  <si>
    <t>VHS needs permanent concession that meets code/standards</t>
  </si>
  <si>
    <t>Temporary set ups no longer adequate</t>
  </si>
  <si>
    <t>District Vehicle Storage</t>
  </si>
  <si>
    <t>Safe storage of District vehicles</t>
  </si>
  <si>
    <t>Storeage provides safe secure location extending our vehicle life</t>
  </si>
  <si>
    <t>Sea Otter Cell Pile and Expansion</t>
  </si>
  <si>
    <t>Create upland space and waterfront facilities on the Sea Otter Property</t>
  </si>
  <si>
    <t>Additional Waterfront Dockage and fish processing capabilities.</t>
  </si>
  <si>
    <t>Back up generator</t>
  </si>
  <si>
    <t>Back to the back-up generator</t>
  </si>
  <si>
    <t>redundancy that may become required to meet future codes.</t>
  </si>
  <si>
    <t>Blinds for the large southern-facing windows.</t>
  </si>
  <si>
    <t xml:space="preserve">During the summer, especially during events like Theatre Conference, the heat coming off the windows reaches temperatures of 100+. It is the largest source of heat for the building and of course we have no air conditioning in this building. It helps during the summer tremendously if you can shut the blinds during the peak hours of sun. Because the windows are so large, an automated  open/close or up/down type of blinds would be tremendously helpful. </t>
  </si>
  <si>
    <t>Our summers are not getting cooler. We need to find some way to combat the heat in the building and the blinds would help greatly.</t>
  </si>
  <si>
    <t>Daycare site adjacent to LTC</t>
  </si>
  <si>
    <t>Add a wing to the facility for daycare center</t>
  </si>
  <si>
    <t>Dispatch Remodel</t>
  </si>
  <si>
    <t>Remodel / Update Dispatch</t>
  </si>
  <si>
    <t>End of life cycle for equipment (10 years)</t>
  </si>
  <si>
    <t>Priority 3 Assited Living</t>
  </si>
  <si>
    <t>Gas appliances in Dietary</t>
  </si>
  <si>
    <t>replace electric appliances with propane.</t>
  </si>
  <si>
    <t>More efficient with gas appliances</t>
  </si>
  <si>
    <t>New Museum Facility</t>
  </si>
  <si>
    <t>Consolidate infrastructure for operational improvements, space, environmental and human resource effciencies</t>
  </si>
  <si>
    <t>See Museum Master Interpretive Plan</t>
  </si>
  <si>
    <t>Connect N.Sawmill Dr. to Atigun Dr., and pave.</t>
  </si>
  <si>
    <t>Extend N. Sawmill Dr. north approx. 1200' to connect to Atigun St. Would need to pave all of Sawmill Dr. as well.</t>
  </si>
  <si>
    <t>Would help the expansion of Airport Industrial Subdiv, and provide easier access for emergency response.</t>
  </si>
  <si>
    <t>Ruth Pond, dredge pond</t>
  </si>
  <si>
    <t>Resurface Tennis/basketball courts</t>
  </si>
  <si>
    <t>Priority 2 Master Site &amp; Facility Plan - Rehabilitation &amp; Out-patient Expansion (overall plan needs refreshed)</t>
  </si>
  <si>
    <t>Behaviorial Health expansion per the master plan</t>
  </si>
  <si>
    <t>Limits inspections for accreditation as well as provides privacy and meets operational needs of department.</t>
  </si>
  <si>
    <t>Marine Industrial Repair, maintenance, inspection, demolision at the old town site.</t>
  </si>
  <si>
    <t>Create infrastructure to remove vessels from the water and laydown yard space for storage,maintenance and repair.</t>
  </si>
  <si>
    <t>The entire Small Boat Harbor area is congested and overgrown. The current Boat Repair yard is over grown and the electrical vaults need to be replaced.  Movign this to old town makes sense and allows for private development around the City facilities. Create additional industry and Port Revenues.</t>
  </si>
  <si>
    <t>Add new Columbarium</t>
  </si>
  <si>
    <t>Running out of spaces.</t>
  </si>
  <si>
    <t>ADA Access to the Upstairs</t>
  </si>
  <si>
    <t>Provide ADA access to 2nd floor of Library</t>
  </si>
  <si>
    <t>The only way to access the upstairs of the library is by taking the stairs.</t>
  </si>
  <si>
    <t>Kitchen in LTC</t>
  </si>
  <si>
    <t>Additional kitchen for LTC meals</t>
  </si>
  <si>
    <t>Would be nice to have</t>
  </si>
  <si>
    <t>VHS Roof</t>
  </si>
  <si>
    <t>Replace roof due to leaks</t>
  </si>
  <si>
    <t>VHS Windows</t>
  </si>
  <si>
    <t>VHS Exterior caulking</t>
  </si>
  <si>
    <t>Expansion joint caulking at the high school exterior</t>
  </si>
  <si>
    <t>VHS LED Lights</t>
  </si>
  <si>
    <t>LED Parking Lot Lights</t>
  </si>
  <si>
    <t>VHS Overhang Repair</t>
  </si>
  <si>
    <t>Repair the over hang at high school to add insulation to stop the cold air from entering the building</t>
  </si>
  <si>
    <t>VHS/HHES  Appliance upgrade to LP</t>
  </si>
  <si>
    <t>Switch elementary and high school kitchen appliances from electric to LP</t>
  </si>
  <si>
    <t>HHES Bleacher Replacement</t>
  </si>
  <si>
    <t>Replace Bleachers</t>
  </si>
  <si>
    <t>Valdez Museum &amp; Historical Archive</t>
  </si>
  <si>
    <t xml:space="preserve">Status </t>
  </si>
  <si>
    <t>Fiscal Year</t>
  </si>
  <si>
    <t>IT</t>
  </si>
  <si>
    <t>Active</t>
  </si>
  <si>
    <t>Providence Valdez Medical Center - Hospital</t>
  </si>
  <si>
    <t>Park Maintanence</t>
  </si>
  <si>
    <t>Valdez Senior Center</t>
  </si>
  <si>
    <t xml:space="preserve">Police Department - Public Safety - Animal Control </t>
  </si>
  <si>
    <t>Status Score</t>
  </si>
  <si>
    <t>VHS Boys/Girls Locker Room Renovation</t>
  </si>
  <si>
    <t xml:space="preserve">update locker room </t>
  </si>
  <si>
    <t xml:space="preserve">ADA Noncompliant </t>
  </si>
  <si>
    <t>VHS Backetball Backboard Lift Replacements</t>
  </si>
  <si>
    <t>Mechanical issues, outdated without replacement parts</t>
  </si>
  <si>
    <t>Replace exterior windows</t>
  </si>
  <si>
    <t>VHS Entryway Flooring</t>
  </si>
  <si>
    <t>Demand Control Kitchen Ventilation Controls</t>
  </si>
  <si>
    <t>All school Kitchen Vent Hoods</t>
  </si>
  <si>
    <t>Replace Freezer/cooler  at VHS/HHES  Bus Barn</t>
  </si>
  <si>
    <t xml:space="preserve">Replace Motor with emc motor and coils and evapator </t>
  </si>
  <si>
    <t>Ropes Course</t>
  </si>
  <si>
    <t>provide a destination corporate and youth teambuilding opporunity</t>
  </si>
  <si>
    <t>nothing is present south east of Anchorage</t>
  </si>
  <si>
    <t>Covered play ground</t>
  </si>
  <si>
    <t>covered/indoor playground located on Rec Center grounds</t>
  </si>
  <si>
    <t>all year access for youth</t>
  </si>
  <si>
    <t>Eco-Counter</t>
  </si>
  <si>
    <t>track the number of people entering our parks and trails</t>
  </si>
  <si>
    <t>data to use for master plan</t>
  </si>
  <si>
    <t>TreeWalk Village Tree Top Trekking Adventure Park for Kids &amp; adults</t>
  </si>
  <si>
    <t>Adventours, fun, unique opportunity for the community and visitors</t>
  </si>
  <si>
    <t>New Park in Old town</t>
  </si>
  <si>
    <t>a new park and small boat launch</t>
  </si>
  <si>
    <t>Amazing opportunity for the communtiy to access a beautiful part of Historic Valdez</t>
  </si>
  <si>
    <t>VCT Barge Landing Repair/Replace Bulkhead</t>
  </si>
  <si>
    <t xml:space="preserve"> Needs some structural repairs and improvements.</t>
  </si>
  <si>
    <t>Storms have washed out and damaged the landing.  The Barge Landing is critical to 30% of the freight moving across the VCT.  AML uses this landing to off load all of their freight year round.</t>
  </si>
  <si>
    <t>VCT Comfort Stations</t>
  </si>
  <si>
    <t>Portable toilets are t $400 each plus fees.</t>
  </si>
  <si>
    <t xml:space="preserve">VHS Library Window replacement </t>
  </si>
  <si>
    <t>Window seals leak</t>
  </si>
  <si>
    <t>There are no Restroom open to the Users of the VCT other than the properties being leased</t>
  </si>
  <si>
    <t>Public Works/Beautification</t>
  </si>
  <si>
    <t>Replace sidewalk &amp; paving &amp; High School. Replace failed concrete at GMS</t>
  </si>
  <si>
    <t>Trip hazard</t>
  </si>
  <si>
    <t>Re Staining &amp; Exterior Improvements</t>
  </si>
  <si>
    <t>Constant problem</t>
  </si>
  <si>
    <t>Replace Decking Kelsey Dock</t>
  </si>
  <si>
    <t>Wear Decking has failed in a number of places</t>
  </si>
  <si>
    <t>Needs replaced before structure is compromised.</t>
  </si>
  <si>
    <t>Status_Score</t>
  </si>
  <si>
    <t>Capital Facilities</t>
  </si>
  <si>
    <t>Airport Hvac</t>
  </si>
  <si>
    <t>Airport &amp; PD Offices</t>
  </si>
  <si>
    <t>UPDATE: Moved in 2018- Needs $ to finish in 2019   supports have been evaluated by an engineer and recommended to remove ASAP</t>
  </si>
  <si>
    <t>Work ongoing with Water Damage from HWH</t>
  </si>
  <si>
    <t>upgrade dike with State's work</t>
  </si>
  <si>
    <t>Done, need to find generator</t>
  </si>
  <si>
    <t>Add to generator annual contract</t>
  </si>
  <si>
    <t>Add City Hall &amp; Library</t>
  </si>
  <si>
    <t>Capital Facilities / Valdez City Schools</t>
  </si>
  <si>
    <t>Need to count</t>
  </si>
  <si>
    <t>Need to measure</t>
  </si>
  <si>
    <t>See RSA Report, Freon obsolete in 2020</t>
  </si>
  <si>
    <t>Library/Building Maintenance</t>
  </si>
  <si>
    <t>Remove?</t>
  </si>
  <si>
    <t>ADA Compliance?</t>
  </si>
  <si>
    <t>Wood Structures Replacement for picnic and bench shelters</t>
  </si>
  <si>
    <t>Existing floor is spalling bad and does not drain.</t>
  </si>
  <si>
    <t>Is this done?</t>
  </si>
  <si>
    <t>See Force Main</t>
  </si>
  <si>
    <t>Pavement Management Plan</t>
  </si>
  <si>
    <t>Done?</t>
  </si>
  <si>
    <t>HHES Roof &amp; Siding Replacement</t>
  </si>
  <si>
    <t>Force Main'</t>
  </si>
  <si>
    <t>Kelsey Phase 2?</t>
  </si>
  <si>
    <t>Connect sidewalks and out onto lawn for long term care residents (benches)</t>
  </si>
  <si>
    <t>Remaining Middle School money</t>
  </si>
  <si>
    <t>Design (on hold?)</t>
  </si>
  <si>
    <t>Public Works / Econ Dev</t>
  </si>
  <si>
    <t>Add office space at City Hall &amp; Airport for new FTEs</t>
  </si>
  <si>
    <t>New employees need work spaces. Use current office areas to create new offices.</t>
  </si>
  <si>
    <t>Replace N. Meyring Picnic Shelter</t>
  </si>
  <si>
    <t>Erect new picnic structure in location of existing failing structure.</t>
  </si>
  <si>
    <t>Restain the building, fix front entry doors, add covered area at rear ADA/ Emergency exit (Scope includes VCS Admin office for synergies)</t>
  </si>
  <si>
    <t>Comments</t>
  </si>
  <si>
    <t>Hospital* paid &amp; managed by Prov</t>
  </si>
  <si>
    <t>Replace broken Airhandler</t>
  </si>
  <si>
    <t>Unable to legally rent or occupy space as is. Code required update.</t>
  </si>
  <si>
    <t>Building Maintenance/Public Works</t>
  </si>
  <si>
    <t>Project Score</t>
  </si>
  <si>
    <t>Operational Imp.</t>
  </si>
  <si>
    <t>Deferred Maint.</t>
  </si>
  <si>
    <t>Lifecycle repl.</t>
  </si>
  <si>
    <t>Consolidate infrastructure for Operational Imp.s, space, environmental and human resource effciencies</t>
  </si>
  <si>
    <t>Failed System with a poor design</t>
  </si>
  <si>
    <t>Pavement Management Phase I</t>
  </si>
  <si>
    <t>Pavement Management Phase II</t>
  </si>
  <si>
    <t>Pavement Management Phase III</t>
  </si>
  <si>
    <t>Pavement Management Phase IV</t>
  </si>
  <si>
    <t>Pavement Management Phase V</t>
  </si>
  <si>
    <t>Pavement Management Phase VI</t>
  </si>
  <si>
    <t>S. Harbor Dr / W. Egan / Meals Pioneer to Egan</t>
  </si>
  <si>
    <t>Black Gold &amp; Robe River Pavement</t>
  </si>
  <si>
    <t>W. Hanagita / W. Lowe to W. Oumalik</t>
  </si>
  <si>
    <t>Meals from Alatna to Robe River Dr. (and side streets)</t>
  </si>
  <si>
    <t>C. Pioneer/ C. Fairbanks/ S. Meals to Clifton</t>
  </si>
  <si>
    <t>W. Pioneer / Mineral Creek / N. Harbor</t>
  </si>
  <si>
    <t>Gen. Revenue</t>
  </si>
  <si>
    <t>Community Need</t>
  </si>
  <si>
    <t>Community Request</t>
  </si>
  <si>
    <t>Offset Aging Inf.</t>
  </si>
  <si>
    <t>Energy Savings</t>
  </si>
  <si>
    <t>Risk Mitigation</t>
  </si>
  <si>
    <t>Under Contract/Construction/Hold</t>
  </si>
  <si>
    <t xml:space="preserve">On going </t>
  </si>
  <si>
    <t>Install cameras at all Port and Harbor facilities.</t>
  </si>
  <si>
    <t>10 Mile Excavation</t>
  </si>
  <si>
    <t>Design</t>
  </si>
  <si>
    <t>PM</t>
  </si>
  <si>
    <t>TS</t>
  </si>
  <si>
    <t>SB</t>
  </si>
  <si>
    <t>ND</t>
  </si>
  <si>
    <t>MR</t>
  </si>
  <si>
    <t>Design  Contract</t>
  </si>
  <si>
    <t>Const Contract</t>
  </si>
  <si>
    <t>Airport HVAC</t>
  </si>
  <si>
    <t>YB = $2M-2.5M,  P&amp;R add $3-3.5M</t>
  </si>
  <si>
    <t>BM to manage</t>
  </si>
  <si>
    <t>P&amp;H to manage</t>
  </si>
  <si>
    <t>Public Works / Flood Task Force</t>
  </si>
  <si>
    <t>Use Remaining Middle School Bond</t>
  </si>
  <si>
    <t>Erect Canopy over Rock wall entrance, storage building, taller bleachers</t>
  </si>
  <si>
    <t>Money is allocated, reimbursement potential</t>
  </si>
  <si>
    <t>Current monies remaining, School Board recommendation, potential reimbursement.</t>
  </si>
  <si>
    <t>Previously Committed Funds</t>
  </si>
  <si>
    <t>Total Estimated Cost</t>
  </si>
  <si>
    <t>Clinic</t>
  </si>
  <si>
    <t>Copper Piping</t>
  </si>
  <si>
    <t>Fire Wall</t>
  </si>
  <si>
    <t>known leak issues, encapsulated mold issue</t>
  </si>
  <si>
    <t>Initial Budget</t>
  </si>
  <si>
    <t>Total Add</t>
  </si>
  <si>
    <t>Design $ (Add/Deduct)</t>
  </si>
  <si>
    <t>Construction $ (Add/Ded)</t>
  </si>
  <si>
    <t xml:space="preserve">Under Contract/Construction/Hold/Needs 1.5 million more in funding from Hospital Reserve. Combined project cost $3.46M. </t>
  </si>
  <si>
    <t>Current Available Balance</t>
  </si>
  <si>
    <t>Kelsey Dock Phase 2 - Yellow Building</t>
  </si>
  <si>
    <t>Kelsey Dock Phase 2 - Parks &amp; Rec Storage</t>
  </si>
  <si>
    <t>New Well #5</t>
  </si>
  <si>
    <t>Airport  Offices</t>
  </si>
  <si>
    <t>PD Offices</t>
  </si>
  <si>
    <t>Under Contract/ Design If scope is Demo only add $100K</t>
  </si>
  <si>
    <t>Design, Grant funded, price fixed.</t>
  </si>
  <si>
    <t>1A</t>
  </si>
  <si>
    <t>1B</t>
  </si>
  <si>
    <t>1C</t>
  </si>
  <si>
    <t>1D</t>
  </si>
  <si>
    <t>City Building Caulking</t>
  </si>
  <si>
    <t>AR</t>
  </si>
  <si>
    <t>5A</t>
  </si>
  <si>
    <t>5B</t>
  </si>
  <si>
    <t>LV</t>
  </si>
  <si>
    <t>BS</t>
  </si>
  <si>
    <t>LA/TS</t>
  </si>
  <si>
    <t>LA</t>
  </si>
  <si>
    <t>Capital Facilities/Finance</t>
  </si>
  <si>
    <t>Evaluate and Plan Shelter Locations</t>
  </si>
  <si>
    <t>Lack of qualified impound options  [This is a non-issue if the existing FD bays are made available to the Police Department for storage and impound needs]</t>
  </si>
  <si>
    <t xml:space="preserve">Plans already exist - wildlife viewing platform at Dayville Road to allow point for people to view wildlife while also controlling their movement and establishing better public safety (less bear v. people encounters)  The concept of this ebbs and flows depending on Administration and Bear Working Group, etc.  </t>
  </si>
  <si>
    <t xml:space="preserve">Build new Police Station and Jail attached to the newly constructed Fire Station.  Really the only time this would make sound financial sense is if the existing building fails and is inhabitable or just more trouble than it is worth to maintain AND is timed the same as the Dispatch remodel.  </t>
  </si>
  <si>
    <t>As an alternative to the aforementioned smaller items….. And  if the existing building becomes inhabitable</t>
  </si>
  <si>
    <t>Flag Pole Improvement / Upgrade</t>
  </si>
  <si>
    <t>Upgrade / redesign the existing flag display outside of City Hall.    [A 3 poled system, with large flags, and lit up at night]</t>
  </si>
  <si>
    <t>City Hall should have a nice, prominent flag display.  This would also allow a 3rd pole to fly a COV flag.</t>
  </si>
  <si>
    <t>Determine what is needed to function as a shelter</t>
  </si>
  <si>
    <t xml:space="preserve">No adequate shelters in community </t>
  </si>
  <si>
    <t>Secure Storage</t>
  </si>
  <si>
    <t>Space needed for new and used computer storage.</t>
  </si>
  <si>
    <t>Building Maintenance/Library</t>
  </si>
  <si>
    <t>Spacing does not meet code which is greater than 4"</t>
  </si>
  <si>
    <t>New Roof and insulation Fire station #3 &amp; #4</t>
  </si>
  <si>
    <t>Building Maintenance/Fire Station</t>
  </si>
  <si>
    <t>New windows at Rec Center</t>
  </si>
  <si>
    <t>Baler second waste oil furnace system</t>
  </si>
  <si>
    <t>New Roof in Well Houses and Lift Stations</t>
  </si>
  <si>
    <t xml:space="preserve">Replace carpeting &amp; vinyl flooring and install new baseboards; restain/refinish wooden closet, bedroom and front doors if needed; replace kitchen cabinets; replace existing appliances; install new backsplashes and counter tops; replace built in wall ovens and flat top burners with single stove w/built in overhead microwave ovens; build shelves and doors to match cabinets where old ovens were built in; replace electrical wiring for stoves that isn't up to code; interior painting; replace heating registers if needed; replace existing overhead light fixtures; upgrade bathrooms with new vanities, raised toilets, light fixtures, medicine cabinets, and step in showers with grab bars &amp; shower seats.  </t>
  </si>
  <si>
    <t xml:space="preserve">The apartments are over 30 years old and are in serious need of upgrade. Approximately one-half of the apartments need upgrades listed with exceptions of the bathrooms and vinyl flooring (4 apartments still need walk-in showers installed with tile work due to inaccessible bathtubs). 2 apartments are completely renovated; 2 apartments have not had any work done; all other apartments are ready for kitchen upgrades or partial kitchen upgrades (new cabinets, countertops and backsplashes)  to be completely renovated; many will need new carpeting and painting once vacant again.  </t>
  </si>
  <si>
    <t>Control Access for all occupied buildings</t>
  </si>
  <si>
    <t>Some aging fire protection systems have recently been deemed obsolete.</t>
  </si>
  <si>
    <t>(Electronic Card Readers on City Buildings)   Along with this is a re-key of all the city doors master system</t>
  </si>
  <si>
    <t>Council Chamber Upgrade</t>
  </si>
  <si>
    <t>Replace carpet, audio upgrade, new furniture, and other aesthetic improvements</t>
  </si>
  <si>
    <t>Rec Center Offices</t>
  </si>
  <si>
    <t xml:space="preserve">Divide existing offices to meet current staffing needs. </t>
  </si>
  <si>
    <t xml:space="preserve">Current office layout does not provide adequate privacy, leaving potential risk for personnel issues.  Private offices need to be created for full-time, supervisory staff.  </t>
  </si>
  <si>
    <t>Rec Center Restrooms</t>
  </si>
  <si>
    <t>Replace tile walls, floors, stalls, counters, sinks, etc.</t>
  </si>
  <si>
    <t>Install Romtec Vaulted toilet single vault , unisex at: South Meyring Playground, Black Gold playground, Dog Park/Community Garden, Meals Hill</t>
  </si>
  <si>
    <t>New Playground Installation at Robe River Park</t>
  </si>
  <si>
    <t>RE State Building Remodel</t>
  </si>
  <si>
    <t>Fish Cleaning Station New Harbor</t>
  </si>
  <si>
    <t>Causeway Repairs</t>
  </si>
  <si>
    <t>Spacing is too wide and creates a fall hazard</t>
  </si>
  <si>
    <t>Roof Replacement Fire station #3 &amp; #4</t>
  </si>
  <si>
    <t>Insulation saturated/Roof leaks</t>
  </si>
  <si>
    <t>Replace Rec Center Windows</t>
  </si>
  <si>
    <t>Replace second waste oil furnace</t>
  </si>
  <si>
    <t>Furnace is failing</t>
  </si>
  <si>
    <t>Operational Security/Turnover</t>
  </si>
  <si>
    <t xml:space="preserve"> We need to do upgrades so systems can be maintained</t>
  </si>
  <si>
    <t>New Parks Restroom Facilities</t>
  </si>
  <si>
    <t>Lack of public facilities in areas listed</t>
  </si>
  <si>
    <t>Fish Station at New Harbor</t>
  </si>
  <si>
    <t>Guardrail has been hit and damaged the length of the causeway</t>
  </si>
  <si>
    <t>Concrete repairs at pile caps</t>
  </si>
  <si>
    <t>Failing Concrete VCT Inspection Identified as high priority.</t>
  </si>
  <si>
    <t xml:space="preserve">Replace rubber fenders and hinge </t>
  </si>
  <si>
    <t xml:space="preserve">Components beyond reasonable lifespan due for replacement </t>
  </si>
  <si>
    <t>Cancelled</t>
  </si>
  <si>
    <t>Excavate Chanel in Lowe, Material to raise Dikes</t>
  </si>
  <si>
    <t>Complete</t>
  </si>
  <si>
    <t>Landfill protection. Repair river scour from 2017. Repairs done in 2019. Request for NRCS grant.</t>
  </si>
  <si>
    <t>Cost efficiency and modernization. We currently have approximately two hundred (200) 750-1000 Watt theatre lights. Not only is the lighting technology antiquated, but it's costly to run when we have a need theatre lights. We could replace the theatre lights in stages, doing one pipe at a time and it would not be such an all-at-once financial hit. This would help to bring our theatre up-to-date will others around the country as all are switching to LED theatrical lights.</t>
  </si>
  <si>
    <t>Upgrade theatre lighting to LED</t>
  </si>
  <si>
    <t>Bridge repairs identified as high priority.</t>
  </si>
  <si>
    <t>Hanagita Warehouse Replacement</t>
  </si>
  <si>
    <t>New structure for PW storage</t>
  </si>
  <si>
    <t>Building is critical indoor storage but it needs a facelift. Building past life expectancy.</t>
  </si>
  <si>
    <t>Design/construct fire training facility</t>
  </si>
  <si>
    <t>Civic Center Concessions Egress</t>
  </si>
  <si>
    <t>We desperately need a doorway between concessions and tickets to allow heat to disperse and communication between the two areas during a movie. The concession stand gets so hot in the summer it melts the chocolate products. It would also allow us to potentially use less staff if you could move between one line and another with ease during a slower movie.</t>
  </si>
  <si>
    <t>Radio Repeater Repairs &amp; Upgrades</t>
  </si>
  <si>
    <t>Replace existing and failing radio infrastructure</t>
  </si>
  <si>
    <t>Guard Rail Replacement VCT Causeway</t>
  </si>
  <si>
    <t>Regulatory Compliance</t>
  </si>
  <si>
    <t>Pavement and right of way improvements along Whalen Ave</t>
  </si>
  <si>
    <t>Deferred/Hold</t>
  </si>
  <si>
    <t>Defer</t>
  </si>
  <si>
    <t>Senior Center Siding</t>
  </si>
  <si>
    <t>Repair or replace damaged and buckling siding at the Senior Center.</t>
  </si>
  <si>
    <t>Hand Rails at Library &amp; City Hall</t>
  </si>
  <si>
    <t>City Wide Fire Systems upgrade</t>
  </si>
  <si>
    <t>There is limited space currently to store new or used computers</t>
  </si>
  <si>
    <t>VCT Transfer Bridge Repair</t>
  </si>
  <si>
    <t>VMF HVAC System Upgrade</t>
  </si>
  <si>
    <t>Replace obsolete units, incorporate vehicle exhaust capture</t>
  </si>
  <si>
    <t>New Well at Hospital</t>
  </si>
  <si>
    <t>Improve work atmosphere in FS1</t>
  </si>
  <si>
    <t>Remediate mold in decon room, install HRV in berthing quarters, install exhaust extraction.</t>
  </si>
  <si>
    <t>Replace FS1 on Hazelet &amp; Pioneer property</t>
  </si>
  <si>
    <t>existing facility has outlived useful life and no longer meets operational needs.</t>
  </si>
  <si>
    <t>Coat of paint, replace and reseal roofing panels, construct new entry.</t>
  </si>
  <si>
    <t>Building acts as indoor storage and museum annex but it needs a facelift. Building past life expectancy.</t>
  </si>
  <si>
    <t>Clad P&amp;R pole barn and add mezzanine for Parks storage</t>
  </si>
  <si>
    <t>existing structure doesn't adequately cover materials &amp; equipment. Yellow building space need to be replicated prior to removal.</t>
  </si>
  <si>
    <t>Replace sewer force main from LS1 to sewage ponds. Perform upgrades and /or replace LS1.</t>
  </si>
  <si>
    <t>Force main has known failures in the past, running through environmentally sensitive part of town. Conveys all of core of town's sewage.</t>
  </si>
  <si>
    <t>Flooding significant subdivision within City limits.</t>
  </si>
  <si>
    <t>Expansion joint caulking at the high school, City Hall, and Library exterior</t>
  </si>
  <si>
    <t>Roads deemed most critical on new pavement evaluation 2018</t>
  </si>
  <si>
    <t>Install new domestic well on SE corner of town.</t>
  </si>
  <si>
    <t>During peak demand well #4 can be overcome.</t>
  </si>
  <si>
    <t>Construct new Museum facility to house all of museum archive and programming.</t>
  </si>
  <si>
    <t>Roof Replacement</t>
  </si>
  <si>
    <t>Noted on insurance evaluation, Constant problem</t>
  </si>
  <si>
    <t>Repeaters are due for lifecycle replacement, have known issues and are vital for 911 support</t>
  </si>
  <si>
    <t>Complete repairs as noted on FM Global site visit report</t>
  </si>
  <si>
    <t>Insurance carrier identified areas / deficiencies to be upgraded to reduce risk profile.</t>
  </si>
  <si>
    <t>City Wide Insurance Mechanical Repairs</t>
  </si>
  <si>
    <t>Meals Hill Development</t>
  </si>
  <si>
    <t>Feasibility and implementation plan for Meals Hill additions and programming</t>
  </si>
  <si>
    <t>Meals Hill, newly acquired by the City, is a area where the Community should have input into any future use and development for recreation opportunities.</t>
  </si>
  <si>
    <t>Survey control, operational efficiency</t>
  </si>
  <si>
    <t>Airborne Infection Isolation (AII)</t>
  </si>
  <si>
    <t>Deficiency found during survey</t>
  </si>
  <si>
    <t>Replace broken Air handler</t>
  </si>
  <si>
    <t>Cemetery Expansion</t>
  </si>
  <si>
    <t>Fill in center of Memorial Cemetery to add lots</t>
  </si>
  <si>
    <t xml:space="preserve">Need more lot space at cemetery. </t>
  </si>
  <si>
    <t>Replace emergency generators at two schools. Combine generator power for HHES &amp; District office at one location and combine GMS &amp; VHS at the other. Reducing infrastructure and creating efficiencies.</t>
  </si>
  <si>
    <t>Outlived life expectancy, State has indicated replacement is nec</t>
  </si>
  <si>
    <t>The front doors are in dire need of repair. The locks are sticky and supposedly we cannot get parts for them anymore. The handicap automatic door is not a true automatic door because although the front door opens, the second door to the artic entryway does not. We need to either fix the doors or replace them.</t>
  </si>
  <si>
    <t>Outlived life expectancy</t>
  </si>
  <si>
    <t>outlived life expectancy</t>
  </si>
  <si>
    <t>Caulking is failing and creating an infiltration &amp; energy efficiency issue.</t>
  </si>
  <si>
    <t>Consolidate infrastructure for Operational Imp's, space, environmental and human resource efficiencies. See Museum Master Interpretive Plan</t>
  </si>
  <si>
    <t>Current playground is at its end of life and many parts of the apparatus have been removed due to failure</t>
  </si>
  <si>
    <t>The level of difficulty to navigate the stairs during a movie is a safety hazard.</t>
  </si>
  <si>
    <t>There are four public restrooms in the library and one staff restroom. Two of the public restrooms are located on the main floor and two on the basement level.  Each restroom needs updated  fixtures, new flooring, counter tops, and automatic doors(public restrooms only).</t>
  </si>
  <si>
    <t>The current restrooms are functional, but not ADA compliant. Each restroom has big heavy door that is difficult to manage for anyone with impaired mobility. Fixtures are very out of date.  Any public facility in the City should have restrooms that are ADA accessible, and all of our patrons  would benefit  from an upgrade to our restrooms.</t>
  </si>
  <si>
    <t>Replace damaged guardrail</t>
  </si>
  <si>
    <t xml:space="preserve">Of the seven windows that open, five have broken latches and cannot be closed securely.  Each window has a 1/2 inch gap in the top, so even when closed the windows are not air tight. In the winter, sometimes windows are drilled shut, to prevent them from blowing open in the wind.  This means the windows cannot be opened in case of fire or another emergency.  All of the windows have blinds inside the two panes of glass, and most of the blinds no longer work.  Bottom line, these  windows are energy
inefficient and pose a security risk.
</t>
  </si>
  <si>
    <t>Tripping hazard and visual improvement.</t>
  </si>
  <si>
    <t xml:space="preserve">Replace out dated infrastructure </t>
  </si>
  <si>
    <t>Replace H-K Docks, Repair/relocated Boat Lifting Pier and Operations, Replace the Tour Dock, Replace the Travelift, and maximize float capacity.</t>
  </si>
  <si>
    <t xml:space="preserve">Remodel/Replace Existing Harbor Office and Maintenance Building.  Create additional work spaces, laundry, showers, and indoor maintenance areas.  </t>
  </si>
  <si>
    <t xml:space="preserve">Doors are sagging and weather stripping is worn/ leaking </t>
  </si>
  <si>
    <t>original</t>
  </si>
  <si>
    <t>Well over 100 lights in an area that has employees working 24 hours a day, 7 days a week, 365 days a year.  The conversion will pay for itself in a matter of two years</t>
  </si>
  <si>
    <t xml:space="preserve">Marine Infrastructure underwater/Inspection </t>
  </si>
  <si>
    <t>This item is reoccurring every 5 years and should be built into the long term plan.</t>
  </si>
  <si>
    <t>VHS Basketball Backboard Lift Replacements</t>
  </si>
  <si>
    <t xml:space="preserve">Replace Motor with emc motor and coils and evaporator </t>
  </si>
  <si>
    <t>Repaint and trim Gold Fields Facility and new fence line/dugouts/upper level office remodel</t>
  </si>
  <si>
    <t>Restrooms are in poor condition.  Tiles are stained and mis-matched from breaks and patching. Stall doors have been patch-painted due to wear and vandalism.  Sinks and countertops are stained and chipped.  Upgrade to ADA Compliance</t>
  </si>
  <si>
    <t xml:space="preserve">Operation of windows has diminished and are past life expectancy. </t>
  </si>
  <si>
    <t>Doors have exhausted their life expectancy</t>
  </si>
  <si>
    <t>System needs to be updated to meet current demands and for efficiencies</t>
  </si>
  <si>
    <t>Install sanitary sewer system to Robe River and Corbin Creek, link to treatment plant.</t>
  </si>
  <si>
    <t>Engineering done in 2010 due to too high of density of septic systems. New subdivision to begin construction in 2018. Public health and safety issue, possible natural resource degradation.</t>
  </si>
  <si>
    <t>Allows for over height loads to be moved up the Richardson without the Power Company coming to lower the lines and interrupt service.  Provides additional staging for trucks waiting to pick up freight.</t>
  </si>
  <si>
    <t>Infrastructure installed Community request</t>
  </si>
  <si>
    <t>Avoid congestion in the old boat harbor, and provide fuel vendor and concessions to the masses.</t>
  </si>
  <si>
    <t>Not meeting needs of dept.</t>
  </si>
  <si>
    <t>Priority 3 Assisted Living</t>
  </si>
  <si>
    <t>Behavioral Health expansion per the master plan</t>
  </si>
  <si>
    <t>Marine Industrial Repair, maintenance, inspection, demolition at the old town site.</t>
  </si>
  <si>
    <t>Create infrastructure to remove vessels from the water and laydown yard space for storage, maintenance and repair.</t>
  </si>
  <si>
    <t>The entire Small Boat Harbor area is congested and overgrown. The current Boat Repair yard is over grown and the electrical vaults need to be replaced.  Moving this to old town makes sense and allows for private development around the City facilities. Create additional industry and Port Revenues.</t>
  </si>
  <si>
    <t>Undeveloped street adjacent developable property in town</t>
  </si>
  <si>
    <t>Deferred</t>
  </si>
  <si>
    <t>provide a destination corporate and youth teambuilding opportunity</t>
  </si>
  <si>
    <t>This area is highly visual as it is the are people go to look out the windows at one of the best views in Valdez. It's unattractive to look at sun discolored and spot stained oak trim.</t>
  </si>
  <si>
    <t>Construct new assisted living facility</t>
  </si>
  <si>
    <t>Identified as  community health need per assessment.</t>
  </si>
  <si>
    <t>Community health assessment need identified via survey</t>
  </si>
  <si>
    <t>Expand LTC or construct a new facility to house more LTC residents.</t>
  </si>
  <si>
    <t>Administration</t>
  </si>
  <si>
    <t>Harbor water repairs</t>
  </si>
  <si>
    <t>Black Gold</t>
  </si>
  <si>
    <t>Senior Center Expansion</t>
  </si>
  <si>
    <t>Additional housing units for Senior Living</t>
  </si>
  <si>
    <t xml:space="preserve">Significant wait list </t>
  </si>
  <si>
    <t>Begin Design</t>
  </si>
  <si>
    <t>Begin Const.</t>
  </si>
  <si>
    <t>City Hall Revitalization</t>
  </si>
  <si>
    <t>Remodel/expand/replace City Hall</t>
  </si>
  <si>
    <t>Determine how to best utilize the vacated fire station. Desire to have all City Staff centrally located.</t>
  </si>
  <si>
    <t>Combine with E-Light Project</t>
  </si>
  <si>
    <t>Harbor Boardwalk &amp; Rest Area Reconstruction</t>
  </si>
  <si>
    <t>Exterior Envelope / Major Remodel</t>
  </si>
  <si>
    <t>CCO to Boiler Project</t>
  </si>
  <si>
    <t>Gen Revenue</t>
  </si>
  <si>
    <t>Community need</t>
  </si>
  <si>
    <t>Master Plan</t>
  </si>
  <si>
    <t>Continuation of Pavement Management Plan</t>
  </si>
  <si>
    <t>Old FS1?</t>
  </si>
  <si>
    <t>Corbin subdivision water extension</t>
  </si>
  <si>
    <t>Opportunity to increase development. Provide City utilities to outlying area.</t>
  </si>
  <si>
    <t>Back-up to the back-up generator</t>
  </si>
  <si>
    <t>Install water system in Corbin Creek subdivision, link to existing system in Robe River subdiv. Install Hydrants</t>
  </si>
  <si>
    <t>Replace or provide seismic restraint for lights in main Airport lobby</t>
  </si>
  <si>
    <t>During earthquake some fixtures fell and were swaying significantly.</t>
  </si>
  <si>
    <t>Replace Emergency Room patient room doors with sliding doors to facilitate patient transfer.</t>
  </si>
  <si>
    <t>Doors don't allow gurney transit and should be upgraded to work with upgraded AII system.</t>
  </si>
  <si>
    <t>Replace sand shed roof at city shop</t>
  </si>
  <si>
    <t>VHS Renovation</t>
  </si>
  <si>
    <t>Upgrade envelope and address remaining deferred maintenance items as a package.</t>
  </si>
  <si>
    <t>Deferred maintenance has accumulated and should be addressed. Major exterior systems are due for lifecycle replacement.</t>
  </si>
  <si>
    <t>Replace Failing Electrical Service Vaults in the Small Boat Harbor Uplands or in new location identified in the Master Plan</t>
  </si>
  <si>
    <t>Airport Tennant Garage Exhaust</t>
  </si>
  <si>
    <t>Add exhaust system to airport tennant garage spaces</t>
  </si>
  <si>
    <t>Fumes travel into offices at airport.</t>
  </si>
  <si>
    <t>ER &amp; Admitting door upgrade</t>
  </si>
  <si>
    <t>Transfer Switch Replacement</t>
  </si>
  <si>
    <t>Replace transfer switches on Generator</t>
  </si>
  <si>
    <t>Switches are not meeting regulatory requirements for transfer times and parts are becoming difficult to obtain.</t>
  </si>
  <si>
    <t>X-Ray Replacement</t>
  </si>
  <si>
    <t>Replace Radiology Suite</t>
  </si>
  <si>
    <t>X-Ray no longer works. Currently using portable unit.</t>
  </si>
  <si>
    <t>Air Treatment System Replacement</t>
  </si>
  <si>
    <t>Replace equipment and upgrade wiring for air treatment equipment</t>
  </si>
  <si>
    <t>End of lifecycle, due for replacement</t>
  </si>
  <si>
    <t>Interior Paint Clinic</t>
  </si>
  <si>
    <t>Repaint interior walls / offices at clinic and public health</t>
  </si>
  <si>
    <t>due for replacement and required for lease agreement.</t>
  </si>
  <si>
    <t>Airport Lighting Replacement</t>
  </si>
  <si>
    <t>New Playground Installation at Alpine Woods</t>
  </si>
  <si>
    <t>Incorporated to H-K Replacement</t>
  </si>
  <si>
    <t>Combine Causeway, Guard Rail &amp; Transfer Bridge</t>
  </si>
  <si>
    <t>Request Assistance from NRCS</t>
  </si>
  <si>
    <t>Loading Dock Water Drainage</t>
  </si>
  <si>
    <t>Combined Roof Project</t>
  </si>
  <si>
    <t>Combine Engineering W/ VCT</t>
  </si>
  <si>
    <t>Cpmbined with mech. Ins. Project</t>
  </si>
  <si>
    <t>Replace parking lot lights City Hall &amp; Library</t>
  </si>
  <si>
    <t>?</t>
  </si>
  <si>
    <t>TBD Council Priority?</t>
  </si>
  <si>
    <t>Incorporate to PM Phase II or III</t>
  </si>
  <si>
    <t>Completed by Schools?</t>
  </si>
  <si>
    <t>Replace/Upgrade AHU system at Library</t>
  </si>
  <si>
    <t>AHU, VAV units, and DDC controls</t>
  </si>
  <si>
    <t xml:space="preserve">Old system was pnumatic and will not balance without serious upgrades.  Air Conditioning unit needs replacement. </t>
  </si>
  <si>
    <t>Master Plan Providence Valdez</t>
  </si>
  <si>
    <t>Evaluation complete in 2017 (Tie this in with installation of Romtec's</t>
  </si>
  <si>
    <t>Lack of public facilities in areas listed (High Priority for PM)</t>
  </si>
  <si>
    <t>Ruth pond improvement project. Conceptual designs are already developed with estimated cost ($1.6 mil)</t>
  </si>
  <si>
    <t>project to update and enhance Ruth Pond facility</t>
  </si>
  <si>
    <t>Identified in the Master Plan as a short term priority</t>
  </si>
  <si>
    <t>Parks Maintenance</t>
  </si>
  <si>
    <t>Trail Head improvement signs. Estimated cost ($20,000 per trail head)</t>
  </si>
  <si>
    <t>uniform trail head markers, signs and standards</t>
  </si>
  <si>
    <t>Meals Hill, newly acquired by the City, is a area where the Community should have input into any future use and development for recreation opportunities. (This has started and will be completed Summer 2021)</t>
  </si>
  <si>
    <t>Large ponds form and water never drains off the park. (Combine this with Black Gold Improvement Project)</t>
  </si>
  <si>
    <t>Harbor water repairs (See H-K Replacement)</t>
  </si>
  <si>
    <t>Baler Roof (see FS 3/4 roofs)</t>
  </si>
  <si>
    <t>Guard Rail Replacement VCT Causeway (see causeway project)</t>
  </si>
  <si>
    <t>Combined</t>
  </si>
  <si>
    <t>Roof Replacement Fire station #3 &amp; #4 &amp; Baler</t>
  </si>
  <si>
    <t>Whalen Ave (Pavement Phase III)</t>
  </si>
  <si>
    <t>Update Hospital Masterplan</t>
  </si>
  <si>
    <t>10 yr renewal</t>
  </si>
  <si>
    <t>Robe River Booster Pump Replacement</t>
  </si>
  <si>
    <t>Replace fire water booster pump at Robe River &amp; upgrade to electric</t>
  </si>
  <si>
    <t>Booster pump has failed and parts aren't available.</t>
  </si>
  <si>
    <t>Pipeline Club Demolition</t>
  </si>
  <si>
    <t>Demolish structures and foundation at Pipeline Club</t>
  </si>
  <si>
    <t>dilapidated building</t>
  </si>
  <si>
    <t>High School Major Renovation</t>
  </si>
  <si>
    <t>Interior and exterior renovations, finishes, windows, doors</t>
  </si>
  <si>
    <t>Accumulated deferred maintenance</t>
  </si>
  <si>
    <t>HHES Exterior Envelope Replacement</t>
  </si>
  <si>
    <t>Replace Roof, siding, and exterior doors</t>
  </si>
  <si>
    <t>VCT Causeway Repairs</t>
  </si>
  <si>
    <t>Emergency Lighting &amp; Carpet in Theatre</t>
  </si>
  <si>
    <t>Black Gold &amp; W. Hanagita</t>
  </si>
  <si>
    <t>Short term solution is to utilize for storage. Evaluate future expansion</t>
  </si>
  <si>
    <t>Shooting Range Safety Mitigation</t>
  </si>
  <si>
    <t>Airport Window Replacement</t>
  </si>
  <si>
    <t>Replace / Reseal high impact windows on airport terminal</t>
  </si>
  <si>
    <t>Windows leak and are drafty</t>
  </si>
  <si>
    <t>Interior renovation of individual apartments including kitchen, bathrooms, and livind space finishes.</t>
  </si>
  <si>
    <t>Remodels needed as tennants move out.</t>
  </si>
  <si>
    <t>Prev. Yr Begin Design</t>
  </si>
  <si>
    <t>Prev. Yr. Begin Const.</t>
  </si>
  <si>
    <t>10 Mile Excavation &amp; Dike Raise Phase 1</t>
  </si>
  <si>
    <t>10 Mile Excavation &amp; Dike Raise Phase 2</t>
  </si>
  <si>
    <t>New Ice Rink</t>
  </si>
  <si>
    <t>Covered Ice Rink</t>
  </si>
  <si>
    <t>Upgrade / redesign the existing flag display outside of City Hall.    [A 3 pole system, with large flags, and lit up at night]</t>
  </si>
  <si>
    <t>Kelsey Dock Interpretive Project Phase 3 Up-Land Side</t>
  </si>
  <si>
    <t>Exterior window blinds</t>
  </si>
  <si>
    <t>AB</t>
  </si>
  <si>
    <t>Concrete repairs at pile caps &amp; guardrail replacement</t>
  </si>
  <si>
    <t>Convert old FS1 into storage</t>
  </si>
  <si>
    <t>TR</t>
  </si>
  <si>
    <t>SP</t>
  </si>
  <si>
    <t>RC</t>
  </si>
  <si>
    <t>BF</t>
  </si>
  <si>
    <t>N/A</t>
  </si>
  <si>
    <t>City Wide Wayfinding</t>
  </si>
  <si>
    <t>Wayfinding signs around town for tourists</t>
  </si>
  <si>
    <t>noted as deficiency with cruise companies and surveys</t>
  </si>
  <si>
    <t>Cheat Code</t>
  </si>
  <si>
    <t>Current Yr Begin Design</t>
  </si>
  <si>
    <t>Current yr. Begin Const.</t>
  </si>
  <si>
    <t>SB/AR</t>
  </si>
  <si>
    <t>MR1</t>
  </si>
  <si>
    <t>MR/ND</t>
  </si>
  <si>
    <t>More efficient with gas appliances, Current ovens not working well</t>
  </si>
  <si>
    <t>Station 4 Sheltering</t>
  </si>
  <si>
    <t>Upgrade / Remodel Station 4 to serve as an adequate shelter for outlying subdivisions</t>
  </si>
  <si>
    <t>Emergency Supply Storage</t>
  </si>
  <si>
    <t>Adequate storage space, preparation space that allows for access and heavy machinery operations</t>
  </si>
  <si>
    <t>Covered and climate controlled storage - outside of the inundation zone- is required for Emergency Management Supplies</t>
  </si>
  <si>
    <t>Outdoor Warning System Upgrade</t>
  </si>
  <si>
    <t>Upgrade/ Expand Outdoor Warning System technology and sites to increase clarity and coverage</t>
  </si>
  <si>
    <t>Valdez has expanded whereas the OWS has not.  Sections of Valdez are left unable to hear any sirens or messages.  Upgrades are needed to the technology of the consoles and chips on which messaging is stored</t>
  </si>
  <si>
    <t>Dog Park</t>
  </si>
  <si>
    <t xml:space="preserve">Build dog park beside Shelter </t>
  </si>
  <si>
    <t>Outdoor enclosed area with enrichment supplies installed would allow the dogs up for adoption to interact with potential adopters / family pets, dogs could be allowed off leash for exercise, and the dog park would be open and available to Valdez residents during off hours</t>
  </si>
  <si>
    <t>Air Handling / Filtration System</t>
  </si>
  <si>
    <t>Install separate air handling / filtration system for the quarantined animals</t>
  </si>
  <si>
    <t>Right now the dogs and cats requiring quarantine due to a virus or airborne illness are separated in distance, but the air handling system is not separate - raising the possiblity that an animal with kennel cough could spread the disease (for example)</t>
  </si>
  <si>
    <t>Doorway Roof</t>
  </si>
  <si>
    <t>Cover the north entrance with a simple roof design to keep snow from accumulating at the doorway</t>
  </si>
  <si>
    <t>Year round access to the doorway.  Also, Animal Control would like to utilize this entrance for impounded animals to prevent them from having to go through the entire intererior of the building.</t>
  </si>
  <si>
    <t>Electronic Message Board Sign</t>
  </si>
  <si>
    <t>Install COV electronic message board, freestanding, outside of City Hall or Council Chambers.  Can be used for routing messaging but also emergency or community messages</t>
  </si>
  <si>
    <t>It has become readily apparent during COVID that COV benefits from being able to provide succint messaging - which can be achieved with well-placed outdoor informational signs.</t>
  </si>
  <si>
    <t xml:space="preserve">Up grade current facility </t>
  </si>
  <si>
    <t>Currently, limited facility to train at and no props, live fire requirements for annual firefighting training and maintaining FF1 certifications.</t>
  </si>
  <si>
    <t>Wireless Access Control points</t>
  </si>
  <si>
    <t>Automation Up-grade</t>
  </si>
  <si>
    <t>Boiler replacement</t>
  </si>
  <si>
    <t>Wireleess door module that hooks up to the wifi.</t>
  </si>
  <si>
    <t>Up-date all obsolete sensors</t>
  </si>
  <si>
    <t xml:space="preserve">Replace 3 boilers with more efficient  models </t>
  </si>
  <si>
    <t>Ease of programmimmg and 1 button Lockdown</t>
  </si>
  <si>
    <t>Boilers are coming to EOL</t>
  </si>
  <si>
    <t>Abatement of Mr. Williams Dump Road Salavage Yard</t>
  </si>
  <si>
    <t>Improvement of Drainage to Mr. Ballow’s property across from City Hall.</t>
  </si>
  <si>
    <t>Infrastructure for Blueberry Road subdivision</t>
  </si>
  <si>
    <t>Installation of a curb of some sort along the north edge of the laydown yard that feeds into some form of containment</t>
  </si>
  <si>
    <t>This would be in hopes of alleviating future contamination into the ditch.</t>
  </si>
  <si>
    <t xml:space="preserve">preferably with an oil/water separator and going into City sewer due to the amount of spills we get from vessels that haul out for the winter.  </t>
  </si>
  <si>
    <t>Electrical replacement and upgrade at the Fisherman’s Dock</t>
  </si>
  <si>
    <t>The existing pedestal/power had to be abandoned due to safety concerns.  Power needs to be available to anyone using the grid for maintenance needs</t>
  </si>
  <si>
    <t>Replacement of the black crane</t>
  </si>
  <si>
    <t>The Grey Crane, 14,000lbs limit is the only way to lift seine skiffs.  The black crane, at 5,000lbs is going to need to be replaced eventually here soon and should be upgraded to lift the heavier skiffs.  I recommend a crane with a taller base pedestal and a longer boom to be more efficient lifting large loads over the tall bull work.  The grey crane had to be set up on a big concrete pad to acquire the appropriate height to clear the bull work.  Even with this pad, people still have issues clearing the bull work. )</t>
  </si>
  <si>
    <t>Paving the rest of the Fisherman’s Dock</t>
  </si>
  <si>
    <t>alleviate arctic terns from nesting there and we could fence in areas for gear storage</t>
  </si>
  <si>
    <t>New Harbor (Warehouse &amp; Bilge Bldg)  Canopy Covers, and Retrofit Existing Entry Cover with drainage</t>
  </si>
  <si>
    <t xml:space="preserve">Canopy covers on three outswing doors with an options for a forth on the new harbor bilge and warehouse buildings.  This work also includes retrofitting the flat roof over the 5 shower/restrooms on the East end of new Warehouse with a heated drain system. </t>
  </si>
  <si>
    <t>Essential Shelter adjacent to New Warehouse</t>
  </si>
  <si>
    <t xml:space="preserve">Cover over fuel tanks and park winter time equipment.
Place opened sided roof system (48 x 80) on West of end of the New Warehouse.
This essential covered sheltered is built over essential fuel tanks and create an area to park essential equipment.
</t>
  </si>
  <si>
    <t xml:space="preserve">VCT Generator &amp; Switch Cabinets Shelter </t>
  </si>
  <si>
    <t>Cover over essential Transformer Cabinets and Old and New Generator Equipment.</t>
  </si>
  <si>
    <t>Green Room &amp; Dressing Room Flood Damage Repairs</t>
  </si>
  <si>
    <t>Replace finishes on walls and floor in dressing and green rooms at Civic Center. Remodel dressing room restrooms</t>
  </si>
  <si>
    <t>Flooding caused by a failed dialectric union on a unit heater flooded the rooms in the basement of the Civic Center</t>
  </si>
  <si>
    <t>It was installed in 1999 and is 21 years old now.  We need a larger crane that can accommodate the lifting of skiffs in the event our gray crane goes down…which is has from time to time.  Our Travelift has a recommended life of 20 years, so I would assume that the cranes life would be about the same. (Aj’s input</t>
  </si>
  <si>
    <t>Relocation of water line from Meals to Richardson Highway</t>
  </si>
  <si>
    <t>Water line crosses LDS and Saxe properties without an easement and underneath existing and planned structures</t>
  </si>
  <si>
    <t>Replace water main and associated valves.</t>
  </si>
  <si>
    <t>Modify drainage slopes or storm drain structures to capture snow melt runnoff</t>
  </si>
  <si>
    <t>Extend water and sewer to new subdivision at bottom of Blue Berry Hill</t>
  </si>
  <si>
    <t>Housing development requiring extended services.</t>
  </si>
  <si>
    <t>Citizen complaints about runnoff and flooding concerns of adjcent property.</t>
  </si>
  <si>
    <t>City Manager</t>
  </si>
  <si>
    <t>Code Enforcement</t>
  </si>
  <si>
    <t>Replace Backup Generator</t>
  </si>
  <si>
    <t>Replace emergency generator</t>
  </si>
  <si>
    <t>Assist with clean-up with property adjcent to dump road</t>
  </si>
  <si>
    <t>VCT Scale Replacement</t>
  </si>
  <si>
    <t>Replace VCT Scale</t>
  </si>
  <si>
    <t>Scale inspection indicates past useful life and in need of replacement.</t>
  </si>
  <si>
    <t>HHES  Kitchen Remodel</t>
  </si>
  <si>
    <t xml:space="preserve">Replace obsolete equipment, explore switching elementary  kitchen appliances from electric to LP, </t>
  </si>
  <si>
    <t>Outlived service life</t>
  </si>
  <si>
    <t>Senior Center Sprinkler Repairs</t>
  </si>
  <si>
    <t>Misc. Repairs to fire protection system</t>
  </si>
  <si>
    <t>freeze-ups and leaks causing damage to the building and rest of the system.</t>
  </si>
  <si>
    <t>Airport Stucco &amp; Paint Repairs</t>
  </si>
  <si>
    <t xml:space="preserve">Repair damaged Stucco </t>
  </si>
  <si>
    <t>Flaking Stucco exposing substrait. Needs repaired &amp; protected.</t>
  </si>
  <si>
    <t>Meals &amp; side streets / Pioneer /Mineral Creek</t>
  </si>
  <si>
    <t>Emergency Preparedness</t>
  </si>
  <si>
    <t>Electrical has been locked out due to current condition.</t>
  </si>
  <si>
    <t>Pavement Management Phase VII</t>
  </si>
  <si>
    <t>Pavement Management Phase VIII</t>
  </si>
  <si>
    <t>S. Meals from Egan to Hazelet</t>
  </si>
  <si>
    <t>Pavement Management Phase IX</t>
  </si>
  <si>
    <t xml:space="preserve"> N. Harbor</t>
  </si>
  <si>
    <t>Pavement Management Phase IV-V</t>
  </si>
  <si>
    <t>Pioneer / side streets W. of Hazelet</t>
  </si>
  <si>
    <t>C. Fairbanks/ Tatitlek / Chenega / Mineral Creek Heights</t>
  </si>
  <si>
    <t xml:space="preserve">Gold Fields Upgrades </t>
  </si>
  <si>
    <t>Coast Guard City Sign</t>
  </si>
  <si>
    <t>Sign commemorating Valdez Coast Guard City</t>
  </si>
  <si>
    <t xml:space="preserve">Add exhaust system to airport generator </t>
  </si>
  <si>
    <t>Airport Generator Exhaust</t>
  </si>
  <si>
    <t>Potential Grant Comments</t>
  </si>
  <si>
    <t>EDA Grant Submitted</t>
  </si>
  <si>
    <t>National Humanities Grant submitted 2021. Museum is lead</t>
  </si>
  <si>
    <t>Requested Grant Assistance from NRCS 2021</t>
  </si>
  <si>
    <t>Under Construction 2022/23</t>
  </si>
  <si>
    <t>Began Design April 2022</t>
  </si>
  <si>
    <t>In Progress, complete August 2022</t>
  </si>
  <si>
    <t>Test well drilled 7/2022</t>
  </si>
  <si>
    <t>North Harbor Drive Traffic Improvements</t>
  </si>
  <si>
    <t>Angled parking &amp;/or one way traffic</t>
  </si>
  <si>
    <t>difficult to navigate N. Harbor for parking during busy season</t>
  </si>
  <si>
    <t>Pedestrian Improvements District Wide</t>
  </si>
  <si>
    <t>improve traffic flow and pedestrian routes to all three schools</t>
  </si>
  <si>
    <t>pick-up and drop off creates hazards for pedestrians.</t>
  </si>
  <si>
    <t>In Progress complete August 2022</t>
  </si>
  <si>
    <t>In Progress Complete Sep. 2022</t>
  </si>
  <si>
    <t>In Progress Complete July 2022</t>
  </si>
  <si>
    <t>In Progress complete June 2022</t>
  </si>
  <si>
    <t>In Progress Complete August 2022</t>
  </si>
  <si>
    <t>Bond approved 5/22, Bidding expected 9/22. Construct 5/23-9/24</t>
  </si>
  <si>
    <t>In Design. Bid Dec. 2022</t>
  </si>
  <si>
    <t>In progress complete Aug 2022</t>
  </si>
  <si>
    <t>In Design. Implement Fal22/spring 23</t>
  </si>
  <si>
    <t>On Hold</t>
  </si>
  <si>
    <t>In construction complete Sep 2022</t>
  </si>
  <si>
    <t>on hold, with DNR</t>
  </si>
  <si>
    <t>In Design</t>
  </si>
  <si>
    <t>State Matching Grant "Awarded", City Match funded. Short $5MM</t>
  </si>
  <si>
    <t>On Hold following Hospital Masterplan</t>
  </si>
  <si>
    <t>See East Hanagita</t>
  </si>
  <si>
    <t>East Hanagita Road Realignment</t>
  </si>
  <si>
    <t>In Design, DB solicitation Fall 2022</t>
  </si>
  <si>
    <t>In Design, CRW Grant responsibility FEMA Port Security Grant</t>
  </si>
  <si>
    <t>Need to rebid Winter 2022</t>
  </si>
  <si>
    <t>Ready to bid</t>
  </si>
  <si>
    <t>N/A under construction, Complete October 2022</t>
  </si>
  <si>
    <t>On Hold for Hospital Masterplan</t>
  </si>
  <si>
    <t>In Design, Bid Winter 2022</t>
  </si>
  <si>
    <t>Waiting on Developer, Need RFQ</t>
  </si>
  <si>
    <t>Waiting on Condition assessment. RFQ Sept. 2022</t>
  </si>
  <si>
    <t>In progress DB W/ Siemens</t>
  </si>
  <si>
    <t>D/B waiting on proposals</t>
  </si>
  <si>
    <t>in Progress</t>
  </si>
  <si>
    <t>In Construction complete Oct 22. CDBG Grant "Awarded", awaiting funds 825K</t>
  </si>
  <si>
    <t>Combined with mech. Ins. Project</t>
  </si>
  <si>
    <t>Secondary Department</t>
  </si>
  <si>
    <t>Economic Development</t>
  </si>
  <si>
    <t xml:space="preserve">Police </t>
  </si>
  <si>
    <t>Senior Center</t>
  </si>
  <si>
    <t>Rec Center Remodel</t>
  </si>
  <si>
    <t xml:space="preserve">Library </t>
  </si>
  <si>
    <t>Police/Fire</t>
  </si>
  <si>
    <t>Ports &amp; Harbors</t>
  </si>
  <si>
    <t>Planning</t>
  </si>
  <si>
    <t>Airport</t>
  </si>
  <si>
    <t>Baler Covered Vehicle Parking</t>
  </si>
  <si>
    <t>Capital facilities</t>
  </si>
  <si>
    <t>Finance</t>
  </si>
  <si>
    <t xml:space="preserve">Fire </t>
  </si>
  <si>
    <t>Public Works/Fire</t>
  </si>
  <si>
    <t>Information Technology/Police/Fire</t>
  </si>
  <si>
    <t>Administration/Police</t>
  </si>
  <si>
    <t>Ports &amp; Harbors/Public Works</t>
  </si>
  <si>
    <t>Public Works/Planning</t>
  </si>
  <si>
    <t>City Manager/Planning</t>
  </si>
  <si>
    <t>Planning/Public Works</t>
  </si>
  <si>
    <t>Police/Administration</t>
  </si>
  <si>
    <t>Ports &amp; Harbors/Economic Development</t>
  </si>
  <si>
    <t>Police/Information Technology</t>
  </si>
  <si>
    <t>Parks &amp; Recreation/Information Technology</t>
  </si>
  <si>
    <t>Public Works /Planning</t>
  </si>
  <si>
    <t>new wall treatments to egan commons</t>
  </si>
  <si>
    <t>update threadbear and worn out wall treatment</t>
  </si>
  <si>
    <t>New front entry</t>
  </si>
  <si>
    <t>although the doors were replaced a few years ago, the wind immediately damaged the doors and the glass box freezes up causing internal issues with the doors. The entry should be reconfigured.</t>
  </si>
  <si>
    <t>Wind will continued to damage the existing doors and they will always need repairs.</t>
  </si>
  <si>
    <t>New doors between Library and Museum</t>
  </si>
  <si>
    <t>internal mechanisms freeze up and do not function in the winter</t>
  </si>
  <si>
    <t>weather will continue to cause this issue</t>
  </si>
  <si>
    <t>Could be grant funding available if city matches funding 
and necessary upkeep</t>
  </si>
  <si>
    <t>New windows in directors office</t>
  </si>
  <si>
    <t>Single pain window letting heat out</t>
  </si>
  <si>
    <t xml:space="preserve">keep the heat in </t>
  </si>
  <si>
    <t xml:space="preserve">the platform is damaged each winter </t>
  </si>
  <si>
    <t>safety hazard as the rebar juts out of the base.</t>
  </si>
  <si>
    <t>Cement replacement in front of museum</t>
  </si>
  <si>
    <t xml:space="preserve">Snow removal has damaged the cement </t>
  </si>
  <si>
    <t>people are falling in the uneven walkway. Two cruise ship passengers took a tumble this year.</t>
  </si>
  <si>
    <t>N/a</t>
  </si>
  <si>
    <t>Paint the exterior and repair facia</t>
  </si>
  <si>
    <t>At least repare the facia. Although it would be great to tone down the green</t>
  </si>
  <si>
    <t>snow has caused sections of the trim to fall off and it looks bad</t>
  </si>
  <si>
    <t>Build an addtion to the Museum complex on Egan</t>
  </si>
  <si>
    <t xml:space="preserve">Re work entry to west side and at the same time build out additional public space. </t>
  </si>
  <si>
    <t>Convert section of Annex for designated Museum Storage</t>
  </si>
  <si>
    <t>We have no space This would allow us to bring colections and other items closer to work space to provide effciencies.</t>
  </si>
  <si>
    <t xml:space="preserve">Maximize warehouse usage by converting one of the sides </t>
  </si>
  <si>
    <t xml:space="preserve">With space limitations this could be a way for additional programming. Move main entry way to alleviate wind issues on the doors. </t>
  </si>
  <si>
    <t>new furnshings - collections, exhibits and office</t>
  </si>
  <si>
    <t xml:space="preserve">furnishing are falling apart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</si>
</sst>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quot;$&quot;#,##0.0000"/>
  </numFmts>
  <fonts count="9" x14ac:knownFonts="1">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name val="Calibri"/>
      <family val="2"/>
      <scheme val="minor"/>
    </font>
    <font>
      <sz val="11"/>
      <color rgb="FF3F3F76"/>
      <name val="Calibri"/>
      <family val="2"/>
      <scheme val="minor"/>
    </font>
    <font>
      <b/>
      <sz val="11"/>
      <color theme="1"/>
      <name val="Calibri"/>
      <family val="2"/>
      <scheme val="minor"/>
    </font>
    <font>
      <b/>
      <sz val="11"/>
      <name val="Calibri"/>
      <family val="2"/>
      <scheme val="minor"/>
    </font>
    <font>
      <sz val="11"/>
      <color rgb="FF006100"/>
      <name val="Calibri"/>
      <family val="2"/>
      <scheme val="minor"/>
    </font>
  </fonts>
  <fills count="1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FCC99"/>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6EFCE"/>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medium">
        <color auto="1"/>
      </left>
      <right style="medium">
        <color auto="1"/>
      </right>
      <top/>
      <bottom style="medium">
        <color rgb="FF000000"/>
      </bottom>
      <diagonal/>
    </border>
    <border>
      <left style="medium">
        <color auto="1"/>
      </left>
      <right style="medium">
        <color auto="1"/>
      </right>
      <top/>
      <bottom style="medium">
        <color indexed="64"/>
      </bottom>
      <diagonal/>
    </border>
    <border>
      <left style="medium">
        <color indexed="64"/>
      </left>
      <right/>
      <top/>
      <bottom/>
      <diagonal/>
    </border>
    <border>
      <left style="thin">
        <color indexed="64"/>
      </left>
      <right/>
      <top/>
      <bottom/>
      <diagonal/>
    </border>
  </borders>
  <cellStyleXfs count="3">
    <xf numFmtId="0" fontId="0" fillId="0" borderId="0"/>
    <xf numFmtId="0" fontId="5" fillId="4" borderId="16" applyNumberFormat="0" applyAlignment="0" applyProtection="0"/>
    <xf numFmtId="0" fontId="8" fillId="10" borderId="0" applyNumberFormat="0" applyBorder="0" applyAlignment="0" applyProtection="0"/>
  </cellStyleXfs>
  <cellXfs count="387">
    <xf numFmtId="0" fontId="0" fillId="0" borderId="0" xfId="0"/>
    <xf numFmtId="0" fontId="0" fillId="0" borderId="1" xfId="0" applyBorder="1"/>
    <xf numFmtId="0" fontId="2" fillId="0" borderId="1" xfId="0" applyFont="1" applyBorder="1"/>
    <xf numFmtId="164" fontId="0" fillId="0" borderId="1" xfId="0" applyNumberFormat="1" applyBorder="1"/>
    <xf numFmtId="0" fontId="2" fillId="0" borderId="1" xfId="0" applyFont="1" applyBorder="1" applyAlignment="1">
      <alignment horizontal="center" wrapText="1"/>
    </xf>
    <xf numFmtId="0" fontId="2" fillId="0" borderId="1" xfId="0" applyFont="1" applyBorder="1" applyAlignment="1">
      <alignment wrapText="1"/>
    </xf>
    <xf numFmtId="164" fontId="2" fillId="0" borderId="1" xfId="0" applyNumberFormat="1" applyFont="1" applyBorder="1" applyAlignment="1">
      <alignment horizontal="center" wrapText="1"/>
    </xf>
    <xf numFmtId="0" fontId="2" fillId="0" borderId="1" xfId="0" applyFont="1" applyBorder="1" applyAlignment="1">
      <alignment horizontal="center"/>
    </xf>
    <xf numFmtId="0" fontId="0" fillId="0" borderId="1" xfId="0" applyBorder="1" applyAlignment="1">
      <alignment horizontal="center"/>
    </xf>
    <xf numFmtId="0" fontId="0" fillId="0" borderId="0" xfId="0" applyAlignment="1">
      <alignment wrapText="1"/>
    </xf>
    <xf numFmtId="0" fontId="0" fillId="0" borderId="1" xfId="0" applyFill="1" applyBorder="1"/>
    <xf numFmtId="0" fontId="0" fillId="0" borderId="1" xfId="0" applyFill="1" applyBorder="1" applyAlignment="1">
      <alignment wrapText="1"/>
    </xf>
    <xf numFmtId="165" fontId="0" fillId="0" borderId="1" xfId="0" applyNumberFormat="1" applyFill="1" applyBorder="1" applyAlignment="1">
      <alignment horizontal="right"/>
    </xf>
    <xf numFmtId="0" fontId="0" fillId="0" borderId="1" xfId="0" applyNumberFormat="1" applyFill="1" applyBorder="1" applyAlignment="1">
      <alignment horizontal="center"/>
    </xf>
    <xf numFmtId="0" fontId="0" fillId="2" borderId="1" xfId="0" applyFill="1" applyBorder="1"/>
    <xf numFmtId="0" fontId="0" fillId="2" borderId="1" xfId="0" applyFill="1" applyBorder="1" applyAlignment="1">
      <alignment wrapText="1"/>
    </xf>
    <xf numFmtId="165" fontId="0" fillId="2" borderId="1" xfId="0" applyNumberFormat="1" applyFill="1" applyBorder="1" applyAlignment="1">
      <alignment horizontal="right"/>
    </xf>
    <xf numFmtId="0" fontId="0" fillId="2" borderId="1" xfId="0" applyNumberForma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1" xfId="0" applyFill="1" applyBorder="1" applyAlignment="1">
      <alignment horizontal="center"/>
    </xf>
    <xf numFmtId="0" fontId="0" fillId="0" borderId="1" xfId="0" applyFill="1" applyBorder="1" applyAlignment="1">
      <alignment horizontal="center" wrapText="1"/>
    </xf>
    <xf numFmtId="165" fontId="0" fillId="0" borderId="1" xfId="0" applyNumberForma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center" wrapText="1"/>
    </xf>
    <xf numFmtId="165" fontId="1" fillId="0" borderId="1" xfId="0" applyNumberFormat="1" applyFont="1" applyFill="1" applyBorder="1" applyAlignment="1">
      <alignment horizontal="right"/>
    </xf>
    <xf numFmtId="0" fontId="1" fillId="0" borderId="1" xfId="0" applyNumberFormat="1" applyFont="1" applyFill="1" applyBorder="1" applyAlignment="1">
      <alignment horizontal="center"/>
    </xf>
    <xf numFmtId="0" fontId="0" fillId="0" borderId="1" xfId="0" applyNumberFormat="1" applyFill="1" applyBorder="1" applyAlignment="1">
      <alignment wrapText="1"/>
    </xf>
    <xf numFmtId="0" fontId="0" fillId="0" borderId="0" xfId="0" applyNumberFormat="1"/>
    <xf numFmtId="0" fontId="0" fillId="0" borderId="2" xfId="0" applyFill="1" applyBorder="1" applyAlignment="1">
      <alignment wrapText="1"/>
    </xf>
    <xf numFmtId="165" fontId="0" fillId="0" borderId="2" xfId="0" applyNumberFormat="1" applyFill="1" applyBorder="1" applyAlignment="1">
      <alignment horizontal="right"/>
    </xf>
    <xf numFmtId="0" fontId="0" fillId="0" borderId="2" xfId="0" applyNumberFormat="1" applyFill="1" applyBorder="1" applyAlignment="1">
      <alignment horizontal="center"/>
    </xf>
    <xf numFmtId="0" fontId="0" fillId="0" borderId="2" xfId="0" applyFill="1" applyBorder="1" applyAlignment="1">
      <alignment horizontal="center" wrapText="1"/>
    </xf>
    <xf numFmtId="0" fontId="0" fillId="0" borderId="3" xfId="0" applyFill="1" applyBorder="1" applyAlignment="1">
      <alignment wrapText="1"/>
    </xf>
    <xf numFmtId="0" fontId="0" fillId="0" borderId="3" xfId="0" applyFill="1" applyBorder="1" applyAlignment="1">
      <alignment horizontal="center" wrapText="1"/>
    </xf>
    <xf numFmtId="165" fontId="0" fillId="0" borderId="3" xfId="0" applyNumberFormat="1" applyFill="1" applyBorder="1" applyAlignment="1">
      <alignment horizontal="right"/>
    </xf>
    <xf numFmtId="0" fontId="0" fillId="0" borderId="3" xfId="0" applyNumberFormat="1" applyFill="1" applyBorder="1" applyAlignment="1">
      <alignment horizontal="center"/>
    </xf>
    <xf numFmtId="0" fontId="0" fillId="0" borderId="3" xfId="0" applyBorder="1"/>
    <xf numFmtId="0" fontId="0" fillId="0" borderId="1" xfId="0" applyBorder="1" applyAlignment="1">
      <alignment wrapText="1"/>
    </xf>
    <xf numFmtId="165" fontId="0" fillId="0" borderId="1" xfId="0" applyNumberFormat="1" applyBorder="1" applyAlignment="1">
      <alignment horizontal="right"/>
    </xf>
    <xf numFmtId="0" fontId="0" fillId="0" borderId="1" xfId="0" applyNumberFormat="1" applyBorder="1" applyAlignment="1">
      <alignment horizontal="center"/>
    </xf>
    <xf numFmtId="0" fontId="0" fillId="0" borderId="1" xfId="0" applyBorder="1" applyAlignment="1">
      <alignment horizontal="center" wrapText="1"/>
    </xf>
    <xf numFmtId="164" fontId="0" fillId="0" borderId="1" xfId="0" applyNumberFormat="1" applyBorder="1" applyAlignment="1">
      <alignment horizontal="right"/>
    </xf>
    <xf numFmtId="164" fontId="0" fillId="0" borderId="1" xfId="0" applyNumberFormat="1" applyBorder="1" applyAlignment="1">
      <alignment horizontal="center"/>
    </xf>
    <xf numFmtId="0" fontId="0" fillId="0" borderId="4" xfId="0" applyBorder="1"/>
    <xf numFmtId="164" fontId="0" fillId="0" borderId="0" xfId="0" applyNumberFormat="1"/>
    <xf numFmtId="0" fontId="0" fillId="0" borderId="0" xfId="0" applyAlignment="1">
      <alignment horizontal="center"/>
    </xf>
    <xf numFmtId="0" fontId="0" fillId="0" borderId="0" xfId="0" applyFill="1" applyAlignment="1">
      <alignment wrapText="1"/>
    </xf>
    <xf numFmtId="0" fontId="0" fillId="0" borderId="0" xfId="0" applyFill="1"/>
    <xf numFmtId="0" fontId="0" fillId="0" borderId="0" xfId="0" applyBorder="1"/>
    <xf numFmtId="0" fontId="0" fillId="0" borderId="0" xfId="0" applyFill="1" applyBorder="1"/>
    <xf numFmtId="0" fontId="0" fillId="0" borderId="0" xfId="0" applyBorder="1" applyAlignment="1">
      <alignment horizontal="center"/>
    </xf>
    <xf numFmtId="164" fontId="0" fillId="0" borderId="0" xfId="0" applyNumberFormat="1" applyAlignment="1">
      <alignment horizontal="center"/>
    </xf>
    <xf numFmtId="0" fontId="2" fillId="0" borderId="11" xfId="0" applyFont="1" applyBorder="1" applyAlignment="1">
      <alignment horizontal="center" wrapText="1"/>
    </xf>
    <xf numFmtId="0" fontId="2" fillId="0" borderId="11" xfId="0" applyFont="1" applyBorder="1" applyAlignment="1">
      <alignment horizontal="center"/>
    </xf>
    <xf numFmtId="164" fontId="2" fillId="0" borderId="11" xfId="0" applyNumberFormat="1" applyFont="1" applyBorder="1" applyAlignment="1">
      <alignment horizontal="center"/>
    </xf>
    <xf numFmtId="0" fontId="2" fillId="0" borderId="11" xfId="0" applyNumberFormat="1" applyFont="1" applyBorder="1" applyAlignment="1">
      <alignment horizontal="center" wrapText="1"/>
    </xf>
    <xf numFmtId="0" fontId="0" fillId="0" borderId="3" xfId="0" applyNumberFormat="1" applyBorder="1" applyAlignment="1">
      <alignment horizontal="center"/>
    </xf>
    <xf numFmtId="0" fontId="0" fillId="0" borderId="0" xfId="0" applyNumberFormat="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 xfId="0" applyBorder="1" applyAlignment="1">
      <alignment horizontal="left" wrapText="1"/>
    </xf>
    <xf numFmtId="0" fontId="0" fillId="0" borderId="1" xfId="0" applyBorder="1" applyAlignment="1">
      <alignment vertical="top" wrapText="1"/>
    </xf>
    <xf numFmtId="0" fontId="2" fillId="0" borderId="12" xfId="0" applyFont="1" applyBorder="1" applyAlignment="1">
      <alignment horizontal="center"/>
    </xf>
    <xf numFmtId="0" fontId="2" fillId="0" borderId="12" xfId="0" applyFont="1" applyBorder="1" applyAlignment="1">
      <alignment horizontal="center" wrapText="1"/>
    </xf>
    <xf numFmtId="0" fontId="4" fillId="0" borderId="0" xfId="0" applyFont="1" applyAlignment="1">
      <alignment wrapText="1"/>
    </xf>
    <xf numFmtId="0" fontId="0" fillId="0" borderId="0" xfId="0" applyAlignment="1"/>
    <xf numFmtId="165" fontId="0" fillId="0" borderId="1" xfId="0" applyNumberFormat="1" applyFill="1" applyBorder="1" applyAlignment="1">
      <alignment horizontal="center"/>
    </xf>
    <xf numFmtId="0" fontId="0" fillId="0" borderId="4" xfId="0" applyFill="1" applyBorder="1" applyAlignment="1">
      <alignment wrapText="1"/>
    </xf>
    <xf numFmtId="164" fontId="0" fillId="0" borderId="1" xfId="0" applyNumberFormat="1" applyFill="1" applyBorder="1" applyAlignment="1">
      <alignment wrapText="1"/>
    </xf>
    <xf numFmtId="0" fontId="0" fillId="0" borderId="6" xfId="0" applyFill="1" applyBorder="1" applyAlignment="1">
      <alignment wrapText="1"/>
    </xf>
    <xf numFmtId="164" fontId="0" fillId="0" borderId="2" xfId="0" applyNumberFormat="1" applyFill="1" applyBorder="1" applyAlignment="1">
      <alignment wrapText="1"/>
    </xf>
    <xf numFmtId="0" fontId="0" fillId="0" borderId="0" xfId="0" applyFill="1" applyAlignment="1"/>
    <xf numFmtId="164" fontId="0" fillId="0" borderId="0" xfId="0" applyNumberFormat="1" applyFill="1"/>
    <xf numFmtId="164" fontId="0" fillId="0" borderId="0" xfId="0" applyNumberFormat="1" applyFill="1" applyAlignment="1">
      <alignment horizontal="center"/>
    </xf>
    <xf numFmtId="0" fontId="0" fillId="0" borderId="0" xfId="0" applyNumberFormat="1" applyFill="1" applyAlignment="1">
      <alignment horizontal="center"/>
    </xf>
    <xf numFmtId="0" fontId="0" fillId="0" borderId="1" xfId="0" applyFill="1" applyBorder="1" applyAlignment="1"/>
    <xf numFmtId="166" fontId="0" fillId="0" borderId="1" xfId="0" applyNumberFormat="1" applyFill="1" applyBorder="1" applyAlignment="1">
      <alignment horizontal="right"/>
    </xf>
    <xf numFmtId="0" fontId="0" fillId="0" borderId="2" xfId="0" applyFill="1" applyBorder="1" applyAlignment="1"/>
    <xf numFmtId="166" fontId="0" fillId="0" borderId="2" xfId="0" applyNumberFormat="1" applyFill="1" applyBorder="1" applyAlignment="1">
      <alignment horizontal="right"/>
    </xf>
    <xf numFmtId="165" fontId="0" fillId="0" borderId="1" xfId="0" applyNumberFormat="1" applyFill="1" applyBorder="1" applyAlignment="1">
      <alignment horizontal="center" wrapText="1"/>
    </xf>
    <xf numFmtId="0" fontId="2" fillId="0" borderId="1" xfId="0" applyNumberFormat="1" applyFont="1" applyBorder="1" applyAlignment="1">
      <alignment horizontal="center" wrapText="1"/>
    </xf>
    <xf numFmtId="0" fontId="0" fillId="0" borderId="12" xfId="0" applyBorder="1" applyAlignment="1">
      <alignment horizontal="center"/>
    </xf>
    <xf numFmtId="165" fontId="2" fillId="0" borderId="11" xfId="0" applyNumberFormat="1" applyFont="1" applyBorder="1" applyAlignment="1">
      <alignment horizontal="center"/>
    </xf>
    <xf numFmtId="165" fontId="0" fillId="0" borderId="0" xfId="0" applyNumberFormat="1"/>
    <xf numFmtId="164" fontId="0" fillId="0" borderId="0" xfId="0" applyNumberFormat="1" applyAlignment="1">
      <alignment wrapText="1"/>
    </xf>
    <xf numFmtId="0" fontId="1" fillId="0" borderId="4" xfId="0" applyFont="1" applyFill="1" applyBorder="1" applyAlignment="1">
      <alignment wrapText="1"/>
    </xf>
    <xf numFmtId="0" fontId="1" fillId="0" borderId="6" xfId="0" applyFont="1" applyFill="1" applyBorder="1" applyAlignment="1">
      <alignment wrapText="1"/>
    </xf>
    <xf numFmtId="0" fontId="1" fillId="0" borderId="2" xfId="0" applyFont="1" applyFill="1" applyBorder="1" applyAlignment="1">
      <alignment wrapText="1"/>
    </xf>
    <xf numFmtId="165" fontId="1" fillId="0" borderId="2" xfId="0" applyNumberFormat="1" applyFont="1" applyFill="1" applyBorder="1" applyAlignment="1">
      <alignment horizontal="right"/>
    </xf>
    <xf numFmtId="0" fontId="1" fillId="0" borderId="2" xfId="0" applyNumberFormat="1" applyFont="1" applyFill="1" applyBorder="1" applyAlignment="1">
      <alignment horizontal="center"/>
    </xf>
    <xf numFmtId="0" fontId="0" fillId="3" borderId="1" xfId="0" applyFill="1" applyBorder="1"/>
    <xf numFmtId="0" fontId="0" fillId="0" borderId="5" xfId="0" applyBorder="1"/>
    <xf numFmtId="0" fontId="4" fillId="0" borderId="1" xfId="0" applyFont="1" applyFill="1" applyBorder="1" applyAlignment="1">
      <alignment wrapText="1"/>
    </xf>
    <xf numFmtId="165" fontId="4" fillId="0" borderId="1" xfId="0" applyNumberFormat="1" applyFont="1" applyFill="1" applyBorder="1" applyAlignment="1">
      <alignment horizontal="right"/>
    </xf>
    <xf numFmtId="0"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0" fillId="2" borderId="4" xfId="0" applyFill="1" applyBorder="1" applyAlignment="1">
      <alignment wrapText="1"/>
    </xf>
    <xf numFmtId="0" fontId="0" fillId="0" borderId="1" xfId="0" applyBorder="1" applyAlignment="1">
      <alignment vertical="center" wrapText="1"/>
    </xf>
    <xf numFmtId="0" fontId="0" fillId="0" borderId="7" xfId="0" applyBorder="1"/>
    <xf numFmtId="0" fontId="0" fillId="0" borderId="2" xfId="0" applyBorder="1" applyAlignment="1">
      <alignment wrapText="1"/>
    </xf>
    <xf numFmtId="0" fontId="0" fillId="0" borderId="0" xfId="0" applyBorder="1" applyAlignment="1">
      <alignment wrapText="1"/>
    </xf>
    <xf numFmtId="0" fontId="0" fillId="0" borderId="3" xfId="0" applyFill="1" applyBorder="1" applyAlignment="1">
      <alignment horizontal="center"/>
    </xf>
    <xf numFmtId="0" fontId="4" fillId="0" borderId="1" xfId="1" applyFont="1" applyFill="1" applyBorder="1" applyAlignment="1">
      <alignment wrapText="1"/>
    </xf>
    <xf numFmtId="164" fontId="4" fillId="0" borderId="1" xfId="1" applyNumberFormat="1" applyFont="1" applyFill="1" applyBorder="1" applyAlignment="1">
      <alignment wrapText="1"/>
    </xf>
    <xf numFmtId="164" fontId="0" fillId="0" borderId="1" xfId="0" applyNumberFormat="1" applyFill="1" applyBorder="1" applyAlignment="1">
      <alignment horizontal="right"/>
    </xf>
    <xf numFmtId="0" fontId="0" fillId="0" borderId="2" xfId="0" applyFill="1" applyBorder="1" applyAlignment="1">
      <alignment horizontal="center"/>
    </xf>
    <xf numFmtId="0" fontId="0" fillId="2" borderId="1" xfId="0" applyFont="1" applyFill="1" applyBorder="1" applyAlignment="1">
      <alignment wrapText="1"/>
    </xf>
    <xf numFmtId="0" fontId="0" fillId="2" borderId="1" xfId="0" applyNumberFormat="1" applyFont="1" applyFill="1" applyBorder="1" applyAlignment="1">
      <alignment horizontal="center"/>
    </xf>
    <xf numFmtId="0" fontId="0" fillId="0" borderId="1" xfId="0" applyFont="1" applyFill="1" applyBorder="1"/>
    <xf numFmtId="0" fontId="0" fillId="2" borderId="1" xfId="0" applyNumberFormat="1" applyFont="1" applyFill="1" applyBorder="1" applyAlignment="1">
      <alignment wrapText="1"/>
    </xf>
    <xf numFmtId="165" fontId="0" fillId="2" borderId="1" xfId="0" applyNumberFormat="1" applyFont="1" applyFill="1" applyBorder="1" applyAlignment="1">
      <alignment horizontal="right" wrapText="1"/>
    </xf>
    <xf numFmtId="0" fontId="0" fillId="0" borderId="0" xfId="0" applyFont="1" applyAlignment="1">
      <alignment wrapText="1"/>
    </xf>
    <xf numFmtId="0" fontId="0" fillId="0" borderId="0" xfId="0" applyFont="1"/>
    <xf numFmtId="0" fontId="0" fillId="0" borderId="1" xfId="0" applyFont="1" applyBorder="1" applyAlignment="1">
      <alignment horizontal="center"/>
    </xf>
    <xf numFmtId="0" fontId="6" fillId="0" borderId="17" xfId="0" applyFont="1" applyBorder="1" applyAlignment="1">
      <alignment horizontal="center"/>
    </xf>
    <xf numFmtId="0" fontId="0" fillId="0" borderId="5" xfId="0" applyFill="1" applyBorder="1" applyAlignment="1">
      <alignment wrapText="1"/>
    </xf>
    <xf numFmtId="0" fontId="6" fillId="0" borderId="0" xfId="0" applyFont="1" applyBorder="1" applyAlignment="1">
      <alignment horizontal="center"/>
    </xf>
    <xf numFmtId="0" fontId="2" fillId="3" borderId="1" xfId="0" applyNumberFormat="1" applyFont="1" applyFill="1" applyBorder="1" applyAlignment="1">
      <alignment wrapText="1"/>
    </xf>
    <xf numFmtId="165" fontId="2" fillId="0" borderId="1" xfId="0" applyNumberFormat="1" applyFont="1" applyBorder="1" applyAlignment="1">
      <alignment horizontal="right" wrapText="1"/>
    </xf>
    <xf numFmtId="0" fontId="2" fillId="0" borderId="1" xfId="0" applyNumberFormat="1" applyFont="1" applyBorder="1" applyAlignment="1">
      <alignment horizontal="center"/>
    </xf>
    <xf numFmtId="164" fontId="0" fillId="0" borderId="2" xfId="0" applyNumberFormat="1" applyFill="1" applyBorder="1" applyAlignment="1">
      <alignment horizontal="right"/>
    </xf>
    <xf numFmtId="0" fontId="0" fillId="0" borderId="5" xfId="0" applyFill="1" applyBorder="1"/>
    <xf numFmtId="165" fontId="0" fillId="0" borderId="3" xfId="0" applyNumberFormat="1" applyFill="1" applyBorder="1" applyAlignment="1">
      <alignment wrapText="1"/>
    </xf>
    <xf numFmtId="164" fontId="0" fillId="0" borderId="3" xfId="0" applyNumberFormat="1" applyFill="1" applyBorder="1" applyAlignment="1">
      <alignment horizontal="right"/>
    </xf>
    <xf numFmtId="0" fontId="0" fillId="0" borderId="2" xfId="0" applyFill="1" applyBorder="1" applyAlignment="1">
      <alignment vertical="center" wrapText="1"/>
    </xf>
    <xf numFmtId="164" fontId="0" fillId="0" borderId="1" xfId="0" applyNumberFormat="1" applyFill="1" applyBorder="1" applyAlignment="1">
      <alignment horizontal="center" wrapText="1"/>
    </xf>
    <xf numFmtId="166" fontId="0" fillId="0" borderId="1" xfId="0" applyNumberFormat="1" applyFill="1" applyBorder="1"/>
    <xf numFmtId="0" fontId="4" fillId="0" borderId="2" xfId="1" applyFont="1" applyFill="1" applyBorder="1" applyAlignment="1">
      <alignment wrapText="1"/>
    </xf>
    <xf numFmtId="0" fontId="4" fillId="0" borderId="2" xfId="1" applyFont="1" applyFill="1" applyBorder="1" applyAlignment="1"/>
    <xf numFmtId="164" fontId="4" fillId="0" borderId="2" xfId="1" applyNumberFormat="1" applyFont="1" applyFill="1" applyBorder="1" applyAlignment="1">
      <alignment wrapText="1"/>
    </xf>
    <xf numFmtId="164" fontId="0" fillId="0" borderId="2" xfId="0" applyNumberFormat="1" applyFill="1" applyBorder="1" applyAlignment="1">
      <alignment horizontal="center" wrapText="1"/>
    </xf>
    <xf numFmtId="0" fontId="0" fillId="0" borderId="0" xfId="0" applyFill="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4" fillId="0" borderId="0" xfId="0" applyFont="1"/>
    <xf numFmtId="0" fontId="6" fillId="0" borderId="17" xfId="0" applyFont="1" applyBorder="1" applyAlignment="1">
      <alignment horizontal="center" wrapText="1"/>
    </xf>
    <xf numFmtId="0" fontId="2" fillId="0" borderId="17" xfId="0" applyFont="1" applyBorder="1" applyAlignment="1">
      <alignment horizontal="center"/>
    </xf>
    <xf numFmtId="164" fontId="2" fillId="0" borderId="1" xfId="0" applyNumberFormat="1" applyFont="1" applyBorder="1" applyAlignment="1">
      <alignment wrapText="1"/>
    </xf>
    <xf numFmtId="164" fontId="0" fillId="0" borderId="3" xfId="0" applyNumberFormat="1" applyFill="1" applyBorder="1" applyAlignment="1">
      <alignment wrapText="1"/>
    </xf>
    <xf numFmtId="0" fontId="0" fillId="6" borderId="0" xfId="0" applyFill="1"/>
    <xf numFmtId="164" fontId="2" fillId="0" borderId="3" xfId="0" applyNumberFormat="1" applyFont="1" applyFill="1" applyBorder="1" applyAlignment="1">
      <alignment wrapText="1"/>
    </xf>
    <xf numFmtId="164" fontId="2" fillId="0" borderId="1" xfId="0" applyNumberFormat="1" applyFont="1" applyBorder="1"/>
    <xf numFmtId="0" fontId="0" fillId="5" borderId="0" xfId="0" applyFill="1"/>
    <xf numFmtId="0" fontId="0" fillId="0" borderId="1" xfId="0" applyFill="1" applyBorder="1" applyAlignment="1">
      <alignment horizontal="left"/>
    </xf>
    <xf numFmtId="0" fontId="0" fillId="8" borderId="1" xfId="0" applyFill="1" applyBorder="1" applyAlignment="1">
      <alignment wrapText="1"/>
    </xf>
    <xf numFmtId="0" fontId="0" fillId="0" borderId="1" xfId="0" applyBorder="1"/>
    <xf numFmtId="0" fontId="0" fillId="0" borderId="1" xfId="0" applyBorder="1" applyAlignment="1">
      <alignment horizontal="center"/>
    </xf>
    <xf numFmtId="0" fontId="0" fillId="0" borderId="1" xfId="0" applyFill="1" applyBorder="1" applyAlignment="1">
      <alignment wrapText="1"/>
    </xf>
    <xf numFmtId="0"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1" fillId="0" borderId="1" xfId="0" applyFont="1" applyFill="1" applyBorder="1" applyAlignment="1">
      <alignment wrapText="1"/>
    </xf>
    <xf numFmtId="0" fontId="0" fillId="0" borderId="1" xfId="0" applyNumberFormat="1" applyFill="1" applyBorder="1" applyAlignment="1">
      <alignment wrapText="1"/>
    </xf>
    <xf numFmtId="0" fontId="0" fillId="0" borderId="2" xfId="0" applyFill="1" applyBorder="1" applyAlignment="1">
      <alignment wrapText="1"/>
    </xf>
    <xf numFmtId="0" fontId="0" fillId="0" borderId="1" xfId="0" applyBorder="1" applyAlignment="1">
      <alignment wrapText="1"/>
    </xf>
    <xf numFmtId="0" fontId="0" fillId="0" borderId="1" xfId="0" applyNumberFormat="1" applyBorder="1" applyAlignment="1">
      <alignment horizontal="center"/>
    </xf>
    <xf numFmtId="0" fontId="0" fillId="0" borderId="1" xfId="0" applyBorder="1" applyAlignment="1">
      <alignment horizontal="center" wrapText="1"/>
    </xf>
    <xf numFmtId="164" fontId="0" fillId="0" borderId="1" xfId="0" applyNumberFormat="1" applyBorder="1" applyAlignment="1">
      <alignment horizontal="right"/>
    </xf>
    <xf numFmtId="0" fontId="0" fillId="0" borderId="1" xfId="0" applyBorder="1" applyAlignment="1">
      <alignment vertical="top" wrapText="1"/>
    </xf>
    <xf numFmtId="0" fontId="0" fillId="0" borderId="4" xfId="0" applyFill="1" applyBorder="1" applyAlignment="1">
      <alignment wrapText="1"/>
    </xf>
    <xf numFmtId="164" fontId="0" fillId="0" borderId="1" xfId="0" applyNumberFormat="1" applyFill="1" applyBorder="1" applyAlignment="1">
      <alignment wrapText="1"/>
    </xf>
    <xf numFmtId="164" fontId="0" fillId="0" borderId="2" xfId="0" applyNumberFormat="1" applyFill="1" applyBorder="1" applyAlignment="1">
      <alignment wrapText="1"/>
    </xf>
    <xf numFmtId="0" fontId="4" fillId="0" borderId="1" xfId="0" applyFont="1" applyFill="1" applyBorder="1" applyAlignment="1">
      <alignment wrapText="1"/>
    </xf>
    <xf numFmtId="0"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wrapText="1"/>
    </xf>
    <xf numFmtId="0" fontId="4" fillId="0" borderId="1" xfId="1" applyFont="1" applyFill="1" applyBorder="1" applyAlignment="1">
      <alignment wrapText="1"/>
    </xf>
    <xf numFmtId="164" fontId="0" fillId="0" borderId="1" xfId="0" applyNumberFormat="1" applyFill="1" applyBorder="1" applyAlignment="1">
      <alignment horizontal="right"/>
    </xf>
    <xf numFmtId="0" fontId="0" fillId="0" borderId="4" xfId="0" applyBorder="1" applyAlignment="1">
      <alignment wrapText="1"/>
    </xf>
    <xf numFmtId="0" fontId="0" fillId="0" borderId="0" xfId="0" applyFill="1" applyBorder="1" applyAlignment="1">
      <alignment wrapText="1"/>
    </xf>
    <xf numFmtId="0" fontId="0" fillId="3" borderId="1" xfId="0" applyNumberFormat="1" applyFill="1" applyBorder="1" applyAlignment="1">
      <alignment wrapText="1"/>
    </xf>
    <xf numFmtId="0" fontId="0" fillId="5" borderId="1" xfId="0" applyFill="1" applyBorder="1" applyAlignment="1">
      <alignment horizontal="center"/>
    </xf>
    <xf numFmtId="0" fontId="0" fillId="5" borderId="1" xfId="0" applyNumberFormat="1"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center" wrapText="1"/>
    </xf>
    <xf numFmtId="164" fontId="4" fillId="0" borderId="1" xfId="0" applyNumberFormat="1" applyFont="1" applyFill="1" applyBorder="1" applyAlignment="1">
      <alignment horizontal="right"/>
    </xf>
    <xf numFmtId="164" fontId="4" fillId="0" borderId="1" xfId="0" applyNumberFormat="1" applyFont="1" applyFill="1" applyBorder="1" applyAlignment="1">
      <alignment wrapText="1"/>
    </xf>
    <xf numFmtId="0" fontId="0" fillId="6" borderId="1" xfId="0" applyFill="1" applyBorder="1" applyAlignment="1">
      <alignment wrapText="1"/>
    </xf>
    <xf numFmtId="164" fontId="0" fillId="6" borderId="1" xfId="0" applyNumberFormat="1" applyFill="1" applyBorder="1" applyAlignment="1">
      <alignment wrapText="1"/>
    </xf>
    <xf numFmtId="0" fontId="0" fillId="6" borderId="1" xfId="0" applyFill="1" applyBorder="1" applyAlignment="1">
      <alignment horizontal="center" wrapText="1"/>
    </xf>
    <xf numFmtId="0" fontId="0" fillId="6" borderId="1" xfId="0" applyFont="1" applyFill="1" applyBorder="1" applyAlignment="1">
      <alignment horizontal="center"/>
    </xf>
    <xf numFmtId="0" fontId="0" fillId="6" borderId="1" xfId="0" applyFill="1" applyBorder="1" applyAlignment="1">
      <alignment horizontal="center"/>
    </xf>
    <xf numFmtId="164" fontId="0" fillId="6" borderId="1" xfId="0" applyNumberFormat="1" applyFill="1" applyBorder="1" applyAlignment="1">
      <alignment horizontal="right"/>
    </xf>
    <xf numFmtId="0" fontId="0" fillId="6" borderId="1" xfId="0" applyNumberFormat="1" applyFill="1" applyBorder="1" applyAlignment="1">
      <alignment horizontal="center"/>
    </xf>
    <xf numFmtId="164" fontId="2" fillId="6" borderId="1" xfId="0" applyNumberFormat="1" applyFont="1" applyFill="1" applyBorder="1" applyAlignment="1">
      <alignment wrapText="1"/>
    </xf>
    <xf numFmtId="164" fontId="2" fillId="0" borderId="1" xfId="0" applyNumberFormat="1" applyFont="1" applyFill="1" applyBorder="1" applyAlignment="1">
      <alignment wrapText="1"/>
    </xf>
    <xf numFmtId="164" fontId="7" fillId="0" borderId="1" xfId="0" applyNumberFormat="1" applyFont="1" applyFill="1" applyBorder="1" applyAlignment="1">
      <alignment wrapText="1"/>
    </xf>
    <xf numFmtId="164" fontId="2" fillId="0" borderId="2" xfId="0" applyNumberFormat="1" applyFont="1" applyFill="1" applyBorder="1" applyAlignment="1">
      <alignment wrapText="1"/>
    </xf>
    <xf numFmtId="164" fontId="2" fillId="0" borderId="1" xfId="0" applyNumberFormat="1" applyFont="1" applyFill="1" applyBorder="1" applyAlignment="1">
      <alignment horizontal="right"/>
    </xf>
    <xf numFmtId="0" fontId="0" fillId="6" borderId="1" xfId="0" applyFont="1" applyFill="1" applyBorder="1" applyAlignment="1">
      <alignment wrapText="1"/>
    </xf>
    <xf numFmtId="0" fontId="0" fillId="6" borderId="1" xfId="0" applyNumberFormat="1" applyFont="1" applyFill="1" applyBorder="1" applyAlignment="1">
      <alignment horizontal="center"/>
    </xf>
    <xf numFmtId="0" fontId="0" fillId="6" borderId="1" xfId="0" applyNumberFormat="1" applyFont="1" applyFill="1" applyBorder="1" applyAlignment="1">
      <alignment wrapText="1"/>
    </xf>
    <xf numFmtId="0" fontId="0" fillId="6" borderId="1" xfId="0" applyNumberFormat="1" applyFill="1" applyBorder="1" applyAlignment="1">
      <alignment wrapText="1"/>
    </xf>
    <xf numFmtId="0" fontId="0" fillId="6" borderId="4" xfId="0" applyFill="1" applyBorder="1" applyAlignment="1">
      <alignment wrapText="1"/>
    </xf>
    <xf numFmtId="0" fontId="0" fillId="0" borderId="1" xfId="0" applyFill="1" applyBorder="1" applyAlignment="1">
      <alignment horizontal="left"/>
    </xf>
    <xf numFmtId="164" fontId="0" fillId="6" borderId="2" xfId="0" applyNumberFormat="1" applyFill="1" applyBorder="1" applyAlignment="1">
      <alignment wrapText="1"/>
    </xf>
    <xf numFmtId="164" fontId="0" fillId="6" borderId="7" xfId="0" applyNumberFormat="1" applyFill="1" applyBorder="1" applyAlignment="1">
      <alignment wrapText="1"/>
    </xf>
    <xf numFmtId="0" fontId="0" fillId="7" borderId="1" xfId="0" applyFill="1" applyBorder="1" applyAlignment="1">
      <alignment horizontal="center"/>
    </xf>
    <xf numFmtId="164" fontId="0" fillId="0" borderId="1" xfId="0" applyNumberFormat="1" applyBorder="1" applyAlignment="1">
      <alignment wrapText="1"/>
    </xf>
    <xf numFmtId="164" fontId="0" fillId="0" borderId="7" xfId="0" applyNumberFormat="1" applyFill="1" applyBorder="1" applyAlignment="1">
      <alignment wrapText="1"/>
    </xf>
    <xf numFmtId="0" fontId="0" fillId="9" borderId="1" xfId="0" applyFill="1" applyBorder="1" applyAlignment="1">
      <alignment wrapText="1"/>
    </xf>
    <xf numFmtId="0" fontId="0" fillId="0" borderId="1" xfId="0" applyBorder="1" applyAlignment="1"/>
    <xf numFmtId="164" fontId="0" fillId="0" borderId="4" xfId="0" applyNumberFormat="1" applyFill="1" applyBorder="1" applyAlignment="1">
      <alignment horizontal="right"/>
    </xf>
    <xf numFmtId="0" fontId="4" fillId="0" borderId="1" xfId="2" applyFont="1" applyFill="1" applyBorder="1"/>
    <xf numFmtId="0" fontId="0" fillId="0" borderId="1" xfId="0" applyFont="1" applyFill="1" applyBorder="1" applyAlignment="1">
      <alignment wrapText="1"/>
    </xf>
    <xf numFmtId="0" fontId="0" fillId="0" borderId="1" xfId="0" applyNumberFormat="1" applyFont="1" applyFill="1" applyBorder="1" applyAlignment="1">
      <alignment wrapText="1"/>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0" fontId="0" fillId="0" borderId="4" xfId="0" applyFont="1" applyFill="1" applyBorder="1" applyAlignment="1">
      <alignment wrapText="1"/>
    </xf>
    <xf numFmtId="164" fontId="0" fillId="0" borderId="2" xfId="0" applyNumberFormat="1" applyFont="1" applyFill="1" applyBorder="1" applyAlignment="1">
      <alignment wrapText="1"/>
    </xf>
    <xf numFmtId="164" fontId="2" fillId="6" borderId="2" xfId="0" applyNumberFormat="1" applyFont="1" applyFill="1" applyBorder="1" applyAlignment="1">
      <alignment wrapText="1"/>
    </xf>
    <xf numFmtId="164" fontId="0" fillId="6" borderId="4" xfId="0" applyNumberFormat="1" applyFill="1" applyBorder="1" applyAlignment="1">
      <alignment wrapText="1"/>
    </xf>
    <xf numFmtId="0" fontId="0" fillId="5" borderId="4" xfId="0" applyFill="1" applyBorder="1" applyAlignment="1">
      <alignment wrapText="1"/>
    </xf>
    <xf numFmtId="164" fontId="0" fillId="5" borderId="2" xfId="0" applyNumberFormat="1" applyFill="1" applyBorder="1" applyAlignment="1">
      <alignment wrapText="1"/>
    </xf>
    <xf numFmtId="164" fontId="2" fillId="5" borderId="2" xfId="0" applyNumberFormat="1" applyFont="1" applyFill="1" applyBorder="1" applyAlignment="1">
      <alignment wrapText="1"/>
    </xf>
    <xf numFmtId="164" fontId="0" fillId="5" borderId="7" xfId="0" applyNumberFormat="1" applyFill="1" applyBorder="1" applyAlignment="1">
      <alignment wrapText="1"/>
    </xf>
    <xf numFmtId="164" fontId="0" fillId="5" borderId="4" xfId="0" applyNumberFormat="1" applyFill="1" applyBorder="1" applyAlignment="1">
      <alignment wrapText="1"/>
    </xf>
    <xf numFmtId="164" fontId="0" fillId="0" borderId="1" xfId="0" applyNumberFormat="1" applyFill="1" applyBorder="1" applyAlignment="1">
      <alignment horizontal="right" wrapText="1"/>
    </xf>
    <xf numFmtId="0" fontId="0" fillId="11" borderId="1" xfId="0" applyFill="1" applyBorder="1" applyAlignment="1">
      <alignment wrapText="1"/>
    </xf>
    <xf numFmtId="164" fontId="0" fillId="6" borderId="1" xfId="0" applyNumberFormat="1" applyFill="1" applyBorder="1" applyAlignment="1">
      <alignment horizontal="right" wrapText="1"/>
    </xf>
    <xf numFmtId="0" fontId="4" fillId="6" borderId="1" xfId="0" applyFont="1" applyFill="1" applyBorder="1" applyAlignment="1">
      <alignment wrapText="1"/>
    </xf>
    <xf numFmtId="164" fontId="4" fillId="6" borderId="1" xfId="0" applyNumberFormat="1" applyFont="1" applyFill="1" applyBorder="1" applyAlignment="1">
      <alignment wrapText="1"/>
    </xf>
    <xf numFmtId="0" fontId="0" fillId="0" borderId="2" xfId="0" applyNumberFormat="1" applyBorder="1" applyAlignment="1">
      <alignment horizontal="center"/>
    </xf>
    <xf numFmtId="0" fontId="0" fillId="6" borderId="4" xfId="0" applyFont="1" applyFill="1" applyBorder="1" applyAlignment="1">
      <alignment wrapText="1"/>
    </xf>
    <xf numFmtId="164" fontId="0" fillId="6" borderId="2" xfId="0" applyNumberFormat="1" applyFont="1" applyFill="1" applyBorder="1" applyAlignment="1">
      <alignment wrapText="1"/>
    </xf>
    <xf numFmtId="164" fontId="0" fillId="6" borderId="7" xfId="0" applyNumberFormat="1" applyFont="1" applyFill="1" applyBorder="1" applyAlignment="1">
      <alignment wrapText="1"/>
    </xf>
    <xf numFmtId="164" fontId="0" fillId="6" borderId="4" xfId="0" applyNumberFormat="1" applyFill="1" applyBorder="1" applyAlignment="1">
      <alignment horizontal="right"/>
    </xf>
    <xf numFmtId="164" fontId="0" fillId="6" borderId="4" xfId="0" applyNumberFormat="1" applyFont="1" applyFill="1" applyBorder="1" applyAlignment="1">
      <alignment horizontal="right" wrapText="1"/>
    </xf>
    <xf numFmtId="0" fontId="4" fillId="0" borderId="2" xfId="2" applyFont="1" applyFill="1" applyBorder="1"/>
    <xf numFmtId="0" fontId="0" fillId="6" borderId="0" xfId="0" applyFill="1" applyBorder="1" applyAlignment="1">
      <alignment wrapText="1"/>
    </xf>
    <xf numFmtId="0" fontId="0" fillId="0" borderId="1" xfId="0" applyBorder="1"/>
    <xf numFmtId="0" fontId="0" fillId="0" borderId="1" xfId="0" applyBorder="1" applyAlignment="1">
      <alignment horizontal="center"/>
    </xf>
    <xf numFmtId="0" fontId="0" fillId="0" borderId="1" xfId="0" applyFill="1" applyBorder="1" applyAlignment="1">
      <alignment wrapText="1"/>
    </xf>
    <xf numFmtId="0"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1" xfId="0" applyNumberFormat="1" applyFill="1" applyBorder="1" applyAlignment="1">
      <alignment wrapText="1"/>
    </xf>
    <xf numFmtId="0" fontId="0" fillId="0" borderId="2" xfId="0" applyFill="1" applyBorder="1" applyAlignment="1">
      <alignment wrapText="1"/>
    </xf>
    <xf numFmtId="0" fontId="0" fillId="0" borderId="3" xfId="0" applyFill="1" applyBorder="1" applyAlignment="1">
      <alignment wrapText="1"/>
    </xf>
    <xf numFmtId="0" fontId="0" fillId="0" borderId="1" xfId="0" applyBorder="1" applyAlignment="1">
      <alignment wrapText="1"/>
    </xf>
    <xf numFmtId="0" fontId="0" fillId="0" borderId="1" xfId="0" applyNumberFormat="1" applyBorder="1" applyAlignment="1">
      <alignment horizontal="center"/>
    </xf>
    <xf numFmtId="0" fontId="0" fillId="0" borderId="1" xfId="0" applyBorder="1" applyAlignment="1">
      <alignment horizontal="center" wrapText="1"/>
    </xf>
    <xf numFmtId="164" fontId="0" fillId="0" borderId="1" xfId="0" applyNumberFormat="1" applyBorder="1" applyAlignment="1">
      <alignment horizontal="right"/>
    </xf>
    <xf numFmtId="0" fontId="0" fillId="0" borderId="1" xfId="0" applyBorder="1" applyAlignment="1">
      <alignment vertical="top" wrapText="1"/>
    </xf>
    <xf numFmtId="0" fontId="0" fillId="0" borderId="4" xfId="0" applyFill="1" applyBorder="1" applyAlignment="1">
      <alignment wrapText="1"/>
    </xf>
    <xf numFmtId="164" fontId="0" fillId="0" borderId="1" xfId="0" applyNumberFormat="1" applyFill="1" applyBorder="1" applyAlignment="1">
      <alignment wrapText="1"/>
    </xf>
    <xf numFmtId="164" fontId="0" fillId="0" borderId="2" xfId="0" applyNumberForma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0" fillId="0" borderId="1" xfId="0" applyBorder="1" applyAlignment="1">
      <alignment vertical="center" wrapText="1"/>
    </xf>
    <xf numFmtId="0" fontId="4" fillId="0" borderId="1" xfId="1" applyFont="1" applyFill="1" applyBorder="1" applyAlignment="1">
      <alignment wrapText="1"/>
    </xf>
    <xf numFmtId="164" fontId="0" fillId="0" borderId="1" xfId="0" applyNumberFormat="1" applyFill="1" applyBorder="1" applyAlignment="1">
      <alignment horizontal="right"/>
    </xf>
    <xf numFmtId="164" fontId="0" fillId="0" borderId="3" xfId="0" applyNumberFormat="1" applyFill="1" applyBorder="1" applyAlignment="1">
      <alignment wrapText="1"/>
    </xf>
    <xf numFmtId="164" fontId="2" fillId="0" borderId="1" xfId="0" applyNumberFormat="1" applyFont="1" applyFill="1" applyBorder="1" applyAlignment="1">
      <alignment wrapText="1"/>
    </xf>
    <xf numFmtId="164" fontId="2" fillId="0" borderId="3" xfId="0" applyNumberFormat="1" applyFont="1" applyFill="1" applyBorder="1" applyAlignment="1">
      <alignment wrapText="1"/>
    </xf>
    <xf numFmtId="0" fontId="0" fillId="3" borderId="1" xfId="0" applyNumberFormat="1" applyFill="1" applyBorder="1" applyAlignment="1">
      <alignment wrapText="1"/>
    </xf>
    <xf numFmtId="164" fontId="4" fillId="0" borderId="1" xfId="0" applyNumberFormat="1" applyFont="1" applyFill="1" applyBorder="1" applyAlignment="1">
      <alignment wrapText="1"/>
    </xf>
    <xf numFmtId="0" fontId="0" fillId="6" borderId="1" xfId="0" applyFill="1" applyBorder="1" applyAlignment="1">
      <alignment wrapText="1"/>
    </xf>
    <xf numFmtId="164" fontId="0" fillId="6" borderId="1" xfId="0" applyNumberForma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164" fontId="0" fillId="6" borderId="1" xfId="0" applyNumberFormat="1" applyFill="1" applyBorder="1" applyAlignment="1">
      <alignment horizontal="right"/>
    </xf>
    <xf numFmtId="0" fontId="0" fillId="6" borderId="1" xfId="0" applyNumberFormat="1" applyFill="1" applyBorder="1" applyAlignment="1">
      <alignment horizontal="center"/>
    </xf>
    <xf numFmtId="164" fontId="2" fillId="6" borderId="1" xfId="0" applyNumberFormat="1" applyFont="1" applyFill="1" applyBorder="1" applyAlignment="1">
      <alignment wrapText="1"/>
    </xf>
    <xf numFmtId="164" fontId="2" fillId="0" borderId="2" xfId="0" applyNumberFormat="1" applyFont="1" applyFill="1" applyBorder="1" applyAlignment="1">
      <alignment wrapText="1"/>
    </xf>
    <xf numFmtId="0" fontId="0" fillId="6" borderId="1" xfId="0" applyFont="1" applyFill="1" applyBorder="1" applyAlignment="1">
      <alignment wrapText="1"/>
    </xf>
    <xf numFmtId="0" fontId="0" fillId="6" borderId="1" xfId="0" applyNumberFormat="1" applyFont="1" applyFill="1" applyBorder="1" applyAlignment="1">
      <alignment wrapText="1"/>
    </xf>
    <xf numFmtId="0" fontId="0" fillId="6" borderId="1" xfId="0" applyNumberFormat="1" applyFill="1" applyBorder="1" applyAlignment="1">
      <alignment wrapText="1"/>
    </xf>
    <xf numFmtId="0" fontId="0" fillId="6" borderId="4" xfId="0" applyFill="1" applyBorder="1" applyAlignment="1">
      <alignment wrapText="1"/>
    </xf>
    <xf numFmtId="164" fontId="0" fillId="6" borderId="2" xfId="0" applyNumberFormat="1" applyFill="1" applyBorder="1" applyAlignment="1">
      <alignment wrapText="1"/>
    </xf>
    <xf numFmtId="164" fontId="0" fillId="6" borderId="7" xfId="0" applyNumberFormat="1" applyFill="1" applyBorder="1" applyAlignment="1">
      <alignment wrapText="1"/>
    </xf>
    <xf numFmtId="0" fontId="0" fillId="7" borderId="1" xfId="0" applyFill="1" applyBorder="1" applyAlignment="1">
      <alignment horizontal="center"/>
    </xf>
    <xf numFmtId="164" fontId="0" fillId="0" borderId="1" xfId="0" applyNumberFormat="1" applyBorder="1" applyAlignment="1">
      <alignment wrapText="1"/>
    </xf>
    <xf numFmtId="164" fontId="0" fillId="0" borderId="7" xfId="0" applyNumberFormat="1" applyFill="1" applyBorder="1" applyAlignment="1">
      <alignment wrapText="1"/>
    </xf>
    <xf numFmtId="0" fontId="0" fillId="0" borderId="1" xfId="0" applyBorder="1" applyAlignment="1"/>
    <xf numFmtId="0" fontId="4" fillId="0" borderId="1" xfId="2" applyFont="1" applyFill="1" applyBorder="1"/>
    <xf numFmtId="0" fontId="0" fillId="0" borderId="1" xfId="0" applyFont="1" applyFill="1" applyBorder="1" applyAlignment="1">
      <alignment wrapText="1"/>
    </xf>
    <xf numFmtId="0" fontId="0" fillId="0" borderId="1" xfId="0" applyFont="1" applyFill="1" applyBorder="1" applyAlignment="1">
      <alignment horizontal="center"/>
    </xf>
    <xf numFmtId="164" fontId="2" fillId="6" borderId="2" xfId="0" applyNumberFormat="1" applyFont="1" applyFill="1" applyBorder="1" applyAlignment="1">
      <alignment wrapText="1"/>
    </xf>
    <xf numFmtId="164" fontId="0" fillId="0" borderId="1" xfId="0" applyNumberFormat="1" applyFill="1" applyBorder="1" applyAlignment="1">
      <alignment horizontal="right" wrapText="1"/>
    </xf>
    <xf numFmtId="0" fontId="4" fillId="6" borderId="1" xfId="0" applyFont="1" applyFill="1" applyBorder="1" applyAlignment="1">
      <alignment wrapText="1"/>
    </xf>
    <xf numFmtId="164" fontId="4" fillId="6" borderId="1" xfId="0" applyNumberFormat="1" applyFont="1" applyFill="1" applyBorder="1" applyAlignment="1">
      <alignment wrapText="1"/>
    </xf>
    <xf numFmtId="164" fontId="0" fillId="6" borderId="4" xfId="0" applyNumberFormat="1" applyFill="1" applyBorder="1" applyAlignment="1">
      <alignment horizontal="right"/>
    </xf>
    <xf numFmtId="0" fontId="0" fillId="6" borderId="2" xfId="0" applyFill="1" applyBorder="1" applyAlignment="1">
      <alignment wrapText="1"/>
    </xf>
    <xf numFmtId="0" fontId="2" fillId="0" borderId="17" xfId="0" applyFont="1" applyBorder="1" applyAlignment="1">
      <alignment horizontal="center" wrapText="1"/>
    </xf>
    <xf numFmtId="164" fontId="0" fillId="6" borderId="4" xfId="0" applyNumberFormat="1" applyFill="1" applyBorder="1" applyAlignment="1">
      <alignment horizontal="right" wrapText="1"/>
    </xf>
    <xf numFmtId="0" fontId="4" fillId="6" borderId="1" xfId="2" applyFont="1" applyFill="1" applyBorder="1"/>
    <xf numFmtId="164" fontId="0" fillId="6" borderId="2" xfId="0" applyNumberFormat="1" applyFill="1" applyBorder="1" applyAlignment="1">
      <alignment horizontal="right"/>
    </xf>
    <xf numFmtId="0" fontId="0" fillId="6" borderId="2" xfId="0" applyFill="1" applyBorder="1" applyAlignment="1">
      <alignment horizontal="center"/>
    </xf>
    <xf numFmtId="0" fontId="4" fillId="0" borderId="4" xfId="2" applyFont="1" applyFill="1" applyBorder="1"/>
    <xf numFmtId="164" fontId="0" fillId="5" borderId="1" xfId="0" applyNumberFormat="1" applyFill="1" applyBorder="1" applyAlignment="1">
      <alignment wrapText="1"/>
    </xf>
    <xf numFmtId="164" fontId="0" fillId="0" borderId="1" xfId="0" applyNumberFormat="1" applyFont="1" applyFill="1" applyBorder="1" applyAlignment="1">
      <alignment wrapText="1"/>
    </xf>
    <xf numFmtId="164" fontId="2" fillId="5" borderId="1" xfId="0" applyNumberFormat="1" applyFont="1" applyFill="1" applyBorder="1" applyAlignment="1">
      <alignment wrapText="1"/>
    </xf>
    <xf numFmtId="0" fontId="0" fillId="0" borderId="0" xfId="0"/>
    <xf numFmtId="0" fontId="0" fillId="0" borderId="1" xfId="0" applyBorder="1" applyAlignment="1">
      <alignment horizontal="center"/>
    </xf>
    <xf numFmtId="0" fontId="0" fillId="0" borderId="1" xfId="0" applyFill="1" applyBorder="1" applyAlignment="1">
      <alignment wrapText="1"/>
    </xf>
    <xf numFmtId="0"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1" xfId="0" applyBorder="1" applyAlignment="1">
      <alignment wrapText="1"/>
    </xf>
    <xf numFmtId="0" fontId="0" fillId="0" borderId="1" xfId="0" applyNumberFormat="1" applyBorder="1" applyAlignment="1">
      <alignment horizontal="center"/>
    </xf>
    <xf numFmtId="0" fontId="0" fillId="0" borderId="0" xfId="0" applyFill="1"/>
    <xf numFmtId="0" fontId="0" fillId="0" borderId="1" xfId="0" applyFill="1" applyBorder="1" applyAlignment="1">
      <alignment horizontal="left"/>
    </xf>
    <xf numFmtId="0" fontId="0" fillId="6" borderId="1" xfId="0"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0" fontId="0" fillId="6" borderId="1" xfId="0" applyNumberFormat="1" applyFill="1" applyBorder="1" applyAlignment="1">
      <alignment horizontal="center"/>
    </xf>
    <xf numFmtId="0" fontId="0" fillId="6" borderId="4" xfId="0" applyFill="1" applyBorder="1" applyAlignment="1">
      <alignment wrapText="1"/>
    </xf>
    <xf numFmtId="164" fontId="0" fillId="6" borderId="2" xfId="0" applyNumberFormat="1" applyFill="1" applyBorder="1" applyAlignment="1">
      <alignment wrapText="1"/>
    </xf>
    <xf numFmtId="164" fontId="0" fillId="6" borderId="7" xfId="0" applyNumberFormat="1" applyFill="1" applyBorder="1" applyAlignment="1">
      <alignment wrapText="1"/>
    </xf>
    <xf numFmtId="0" fontId="0" fillId="6" borderId="0" xfId="0" applyFont="1" applyFill="1" applyBorder="1" applyAlignment="1">
      <alignment wrapText="1"/>
    </xf>
    <xf numFmtId="0" fontId="0" fillId="6" borderId="1" xfId="0" applyFill="1" applyBorder="1" applyAlignment="1"/>
    <xf numFmtId="0" fontId="4" fillId="6" borderId="4" xfId="2" applyFont="1" applyFill="1" applyBorder="1"/>
    <xf numFmtId="0" fontId="4" fillId="6" borderId="2" xfId="0" applyFont="1" applyFill="1" applyBorder="1" applyAlignment="1">
      <alignment wrapText="1"/>
    </xf>
    <xf numFmtId="0" fontId="0" fillId="6" borderId="0" xfId="0" applyNumberFormat="1" applyFill="1" applyBorder="1" applyAlignment="1">
      <alignment wrapText="1"/>
    </xf>
    <xf numFmtId="0" fontId="2" fillId="12" borderId="1" xfId="0" applyFont="1" applyFill="1" applyBorder="1" applyAlignment="1">
      <alignment horizontal="center"/>
    </xf>
    <xf numFmtId="0" fontId="0" fillId="12" borderId="1" xfId="0" applyNumberFormat="1" applyFill="1" applyBorder="1" applyAlignment="1">
      <alignment horizontal="center"/>
    </xf>
    <xf numFmtId="0" fontId="0" fillId="12" borderId="1" xfId="0" applyFill="1" applyBorder="1" applyAlignment="1">
      <alignment horizontal="center"/>
    </xf>
    <xf numFmtId="164" fontId="0" fillId="9" borderId="4" xfId="0" applyNumberFormat="1" applyFill="1" applyBorder="1" applyAlignment="1">
      <alignment horizontal="right"/>
    </xf>
    <xf numFmtId="0" fontId="0" fillId="9" borderId="4" xfId="0" applyFill="1" applyBorder="1" applyAlignment="1">
      <alignment wrapText="1"/>
    </xf>
    <xf numFmtId="0" fontId="0" fillId="9" borderId="1" xfId="0" applyNumberFormat="1" applyFill="1" applyBorder="1" applyAlignment="1">
      <alignment wrapText="1"/>
    </xf>
    <xf numFmtId="164" fontId="0" fillId="9" borderId="1" xfId="0" applyNumberFormat="1" applyFill="1" applyBorder="1" applyAlignment="1">
      <alignment wrapText="1"/>
    </xf>
    <xf numFmtId="164" fontId="2" fillId="9" borderId="1" xfId="0" applyNumberFormat="1" applyFont="1" applyFill="1" applyBorder="1" applyAlignment="1">
      <alignment wrapText="1"/>
    </xf>
    <xf numFmtId="0" fontId="0" fillId="9" borderId="1" xfId="0" applyNumberFormat="1" applyFill="1" applyBorder="1" applyAlignment="1">
      <alignment horizontal="center"/>
    </xf>
    <xf numFmtId="0" fontId="0" fillId="9" borderId="1" xfId="0" applyFill="1" applyBorder="1" applyAlignment="1">
      <alignment horizontal="center"/>
    </xf>
    <xf numFmtId="0" fontId="0" fillId="9" borderId="1" xfId="0" applyFill="1" applyBorder="1" applyAlignment="1">
      <alignment horizontal="center" wrapText="1"/>
    </xf>
    <xf numFmtId="164" fontId="0" fillId="9" borderId="1" xfId="0" applyNumberFormat="1" applyFill="1" applyBorder="1" applyAlignment="1">
      <alignment horizontal="right" wrapText="1"/>
    </xf>
    <xf numFmtId="164" fontId="0" fillId="9" borderId="1" xfId="0" applyNumberFormat="1" applyFill="1" applyBorder="1" applyAlignment="1">
      <alignment horizontal="right"/>
    </xf>
    <xf numFmtId="0" fontId="0" fillId="9" borderId="2" xfId="0" applyFill="1" applyBorder="1" applyAlignment="1">
      <alignment wrapText="1"/>
    </xf>
    <xf numFmtId="164" fontId="0" fillId="9" borderId="2" xfId="0" applyNumberFormat="1" applyFill="1" applyBorder="1" applyAlignment="1">
      <alignment wrapText="1"/>
    </xf>
    <xf numFmtId="164" fontId="0" fillId="9" borderId="7" xfId="0" applyNumberFormat="1" applyFill="1" applyBorder="1" applyAlignment="1">
      <alignment wrapText="1"/>
    </xf>
    <xf numFmtId="164" fontId="2" fillId="9" borderId="2" xfId="0" applyNumberFormat="1" applyFont="1" applyFill="1" applyBorder="1" applyAlignment="1">
      <alignment wrapText="1"/>
    </xf>
    <xf numFmtId="164" fontId="0" fillId="9" borderId="4" xfId="0" applyNumberFormat="1" applyFill="1" applyBorder="1" applyAlignment="1">
      <alignment wrapText="1"/>
    </xf>
    <xf numFmtId="0" fontId="0" fillId="9" borderId="0" xfId="0" applyFill="1" applyBorder="1" applyAlignment="1">
      <alignment wrapText="1"/>
    </xf>
    <xf numFmtId="0" fontId="0" fillId="9" borderId="2" xfId="0" applyFill="1" applyBorder="1" applyAlignment="1">
      <alignment horizontal="center" wrapText="1"/>
    </xf>
    <xf numFmtId="0" fontId="4" fillId="9" borderId="1" xfId="2" applyFont="1" applyFill="1" applyBorder="1"/>
    <xf numFmtId="0" fontId="4" fillId="9" borderId="1" xfId="0" applyFont="1" applyFill="1" applyBorder="1" applyAlignment="1">
      <alignment wrapText="1"/>
    </xf>
    <xf numFmtId="164" fontId="4" fillId="9" borderId="1" xfId="0" applyNumberFormat="1" applyFont="1" applyFill="1" applyBorder="1" applyAlignment="1">
      <alignment wrapText="1"/>
    </xf>
    <xf numFmtId="0" fontId="0" fillId="9" borderId="4" xfId="0" applyFont="1" applyFill="1" applyBorder="1" applyAlignment="1">
      <alignment wrapText="1"/>
    </xf>
    <xf numFmtId="0" fontId="0" fillId="9" borderId="1" xfId="0" applyFont="1" applyFill="1" applyBorder="1" applyAlignment="1">
      <alignment wrapText="1"/>
    </xf>
    <xf numFmtId="0" fontId="0" fillId="9" borderId="1" xfId="0" applyNumberFormat="1" applyFont="1" applyFill="1" applyBorder="1" applyAlignment="1">
      <alignment wrapText="1"/>
    </xf>
    <xf numFmtId="164" fontId="0" fillId="9" borderId="2" xfId="0" applyNumberFormat="1" applyFont="1" applyFill="1" applyBorder="1" applyAlignment="1">
      <alignment wrapText="1"/>
    </xf>
    <xf numFmtId="164" fontId="0" fillId="9" borderId="7" xfId="0" applyNumberFormat="1" applyFont="1" applyFill="1" applyBorder="1" applyAlignment="1">
      <alignment wrapText="1"/>
    </xf>
    <xf numFmtId="0" fontId="0" fillId="9" borderId="1" xfId="0" applyNumberFormat="1" applyFont="1" applyFill="1" applyBorder="1" applyAlignment="1">
      <alignment horizontal="center"/>
    </xf>
    <xf numFmtId="0" fontId="0" fillId="9" borderId="1" xfId="0" applyFont="1" applyFill="1" applyBorder="1" applyAlignment="1">
      <alignment horizontal="center"/>
    </xf>
    <xf numFmtId="0" fontId="0" fillId="9" borderId="6" xfId="0" applyFill="1" applyBorder="1" applyAlignment="1">
      <alignment wrapText="1"/>
    </xf>
    <xf numFmtId="164" fontId="0" fillId="9" borderId="6" xfId="0" applyNumberFormat="1" applyFill="1" applyBorder="1" applyAlignment="1">
      <alignment horizontal="right"/>
    </xf>
    <xf numFmtId="0" fontId="0" fillId="9" borderId="2" xfId="0" applyNumberFormat="1" applyFill="1" applyBorder="1" applyAlignment="1">
      <alignment horizontal="center"/>
    </xf>
    <xf numFmtId="164" fontId="0" fillId="9" borderId="6" xfId="0" applyNumberFormat="1" applyFill="1" applyBorder="1" applyAlignment="1">
      <alignment wrapText="1"/>
    </xf>
    <xf numFmtId="164" fontId="0" fillId="9" borderId="1" xfId="0" applyNumberFormat="1" applyFont="1" applyFill="1" applyBorder="1" applyAlignment="1">
      <alignment wrapText="1"/>
    </xf>
    <xf numFmtId="0" fontId="0" fillId="9" borderId="2" xfId="0" applyFont="1" applyFill="1" applyBorder="1" applyAlignment="1">
      <alignment wrapText="1"/>
    </xf>
    <xf numFmtId="164" fontId="0" fillId="9" borderId="6" xfId="0" applyNumberFormat="1" applyFont="1" applyFill="1" applyBorder="1" applyAlignment="1">
      <alignment horizontal="right" wrapText="1"/>
    </xf>
    <xf numFmtId="0" fontId="0" fillId="9" borderId="2" xfId="0" applyNumberFormat="1" applyFont="1" applyFill="1" applyBorder="1" applyAlignment="1">
      <alignment horizontal="center"/>
    </xf>
    <xf numFmtId="0" fontId="4" fillId="6" borderId="1" xfId="2" applyFont="1" applyFill="1" applyBorder="1" applyAlignment="1">
      <alignment wrapText="1"/>
    </xf>
    <xf numFmtId="0" fontId="0" fillId="13" borderId="1" xfId="0" applyFill="1" applyBorder="1" applyAlignment="1">
      <alignment horizontal="left"/>
    </xf>
    <xf numFmtId="0" fontId="0" fillId="13" borderId="6" xfId="0" applyFill="1" applyBorder="1" applyAlignment="1">
      <alignment wrapText="1"/>
    </xf>
    <xf numFmtId="0" fontId="0" fillId="13" borderId="2" xfId="0" applyFill="1" applyBorder="1" applyAlignment="1">
      <alignment wrapText="1"/>
    </xf>
    <xf numFmtId="164" fontId="0" fillId="13" borderId="2" xfId="0" applyNumberFormat="1" applyFill="1" applyBorder="1" applyAlignment="1">
      <alignment wrapText="1"/>
    </xf>
    <xf numFmtId="0" fontId="0" fillId="13" borderId="2" xfId="0" applyNumberFormat="1" applyFill="1" applyBorder="1" applyAlignment="1">
      <alignment wrapText="1"/>
    </xf>
    <xf numFmtId="164" fontId="0" fillId="13" borderId="7" xfId="0" applyNumberFormat="1" applyFill="1" applyBorder="1" applyAlignment="1">
      <alignment wrapText="1"/>
    </xf>
    <xf numFmtId="164" fontId="2" fillId="13" borderId="2" xfId="0" applyNumberFormat="1" applyFont="1" applyFill="1" applyBorder="1" applyAlignment="1">
      <alignment wrapText="1"/>
    </xf>
    <xf numFmtId="164" fontId="0" fillId="13" borderId="6" xfId="0" applyNumberFormat="1" applyFill="1" applyBorder="1" applyAlignment="1">
      <alignment horizontal="right"/>
    </xf>
    <xf numFmtId="0" fontId="0" fillId="13" borderId="2" xfId="0" applyNumberFormat="1" applyFont="1" applyFill="1" applyBorder="1" applyAlignment="1">
      <alignment horizontal="center"/>
    </xf>
    <xf numFmtId="0" fontId="0" fillId="13" borderId="1" xfId="0" applyFill="1" applyBorder="1" applyAlignment="1">
      <alignment wrapText="1"/>
    </xf>
    <xf numFmtId="0" fontId="0" fillId="13" borderId="1" xfId="0" applyNumberFormat="1" applyFill="1" applyBorder="1" applyAlignment="1">
      <alignment horizontal="center"/>
    </xf>
    <xf numFmtId="0" fontId="0" fillId="13" borderId="2" xfId="0" applyFill="1" applyBorder="1" applyAlignment="1">
      <alignment horizontal="center"/>
    </xf>
    <xf numFmtId="0" fontId="0" fillId="13" borderId="2" xfId="0" applyNumberFormat="1" applyFill="1" applyBorder="1" applyAlignment="1">
      <alignment horizontal="center"/>
    </xf>
    <xf numFmtId="0" fontId="0" fillId="13" borderId="2" xfId="0" quotePrefix="1" applyFill="1" applyBorder="1" applyAlignment="1">
      <alignment wrapText="1"/>
    </xf>
    <xf numFmtId="164" fontId="0" fillId="13" borderId="2" xfId="0" quotePrefix="1" applyNumberFormat="1" applyFill="1" applyBorder="1" applyAlignment="1">
      <alignment wrapText="1"/>
    </xf>
    <xf numFmtId="0" fontId="0" fillId="13" borderId="1" xfId="0" applyFill="1" applyBorder="1" applyAlignment="1">
      <alignment horizontal="center"/>
    </xf>
    <xf numFmtId="0" fontId="0" fillId="13" borderId="1" xfId="0" applyFill="1" applyBorder="1" applyAlignment="1">
      <alignment horizontal="center" wrapText="1"/>
    </xf>
    <xf numFmtId="0" fontId="0" fillId="9" borderId="2" xfId="0" applyFont="1" applyFill="1" applyBorder="1" applyAlignment="1">
      <alignment horizontal="center"/>
    </xf>
    <xf numFmtId="0" fontId="0" fillId="0" borderId="21" xfId="0" applyFill="1" applyBorder="1"/>
    <xf numFmtId="0" fontId="0" fillId="7" borderId="1" xfId="0" applyFill="1" applyBorder="1" applyAlignment="1">
      <alignment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cellXfs>
  <cellStyles count="3">
    <cellStyle name="Good" xfId="2" builtinId="26"/>
    <cellStyle name="Input" xfId="1" builtinId="20"/>
    <cellStyle name="Normal" xfId="0" builtinId="0"/>
  </cellStyles>
  <dxfs count="297">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quot;$&quot;#,##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rgb="FF000000"/>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rgb="FF000000"/>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alignment horizontal="center" textRotation="0" wrapText="0" indent="0" justifyLastLine="0" shrinkToFit="0" readingOrder="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ck">
          <color indexed="64"/>
        </bottom>
      </border>
    </dxf>
    <dxf>
      <border>
        <bottom style="medium">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quot;$&quot;#,##0.00"/>
      <alignment horizontal="righ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
      <alignment horizontal="right" vertical="bottom" textRotation="0" indent="0" justifyLastLine="0" shrinkToFit="0" readingOrder="0"/>
      <border diagonalUp="0" diagonalDown="0" outline="0">
        <left/>
        <right style="thin">
          <color indexed="64"/>
        </right>
        <top style="thin">
          <color indexed="64"/>
        </top>
        <bottom style="thin">
          <color indexed="64"/>
        </bottom>
      </border>
    </dxf>
    <dxf>
      <font>
        <b/>
      </font>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
      <alignment horizontal="right" vertical="bottom" textRotation="0" indent="0" justifyLastLine="0" shrinkToFit="0" readingOrder="0"/>
      <border diagonalUp="0" diagonalDown="0" outline="0">
        <left/>
        <right style="thin">
          <color indexed="64"/>
        </right>
        <top style="thin">
          <color indexed="64"/>
        </top>
        <bottom style="thin">
          <color indexed="64"/>
        </bottom>
      </border>
    </dxf>
    <dxf>
      <font>
        <b/>
      </font>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indent="0" justifyLastLine="0" shrinkToFit="0" readingOrder="0"/>
      <border outline="0">
        <left style="thin">
          <color indexed="64"/>
        </left>
      </border>
    </dxf>
    <dxf>
      <numFmt numFmtId="0" formatCode="General"/>
      <fill>
        <patternFill>
          <fgColor indexed="64"/>
          <bgColor theme="0" tint="-0.249977111117893"/>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
      <alignment horizontal="right" vertical="bottom" textRotation="0" indent="0" justifyLastLine="0" shrinkToFit="0" readingOrder="0"/>
      <border diagonalUp="0" diagonalDown="0" outline="0">
        <left/>
        <right style="thin">
          <color indexed="64"/>
        </right>
        <top style="thin">
          <color indexed="64"/>
        </top>
        <bottom style="thin">
          <color indexed="64"/>
        </bottom>
      </border>
    </dxf>
    <dxf>
      <font>
        <b/>
      </font>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Master20" displayName="Master20" ref="C1:AN260" totalsRowShown="0" headerRowDxfId="296" tableBorderDxfId="295">
  <autoFilter ref="C1:AN260" xr:uid="{00000000-0009-0000-0100-000013000000}"/>
  <sortState xmlns:xlrd2="http://schemas.microsoft.com/office/spreadsheetml/2017/richdata2" ref="C2:AN245">
    <sortCondition ref="AH1:AH245"/>
  </sortState>
  <tableColumns count="38">
    <tableColumn id="12" xr3:uid="{00000000-0010-0000-0000-00000C000000}" name="Secondary Department" dataDxfId="294"/>
    <tableColumn id="1" xr3:uid="{00000000-0010-0000-0000-000001000000}" name="Project Name" dataDxfId="293"/>
    <tableColumn id="2" xr3:uid="{00000000-0010-0000-0000-000002000000}" name="Brief Description" dataDxfId="292"/>
    <tableColumn id="3" xr3:uid="{00000000-0010-0000-0000-000003000000}" name="Justification" dataDxfId="291"/>
    <tableColumn id="15" xr3:uid="{00000000-0010-0000-0000-00000F000000}" name="Status" dataDxfId="290"/>
    <tableColumn id="21" xr3:uid="{00000000-0010-0000-0000-000015000000}" name="Status_Score" dataDxfId="289">
      <calculatedColumnFormula>VLOOKUP(G2,Status_Score,2,FALSE)</calculatedColumnFormula>
    </tableColumn>
    <tableColumn id="25" xr3:uid="{00000000-0010-0000-0000-000019000000}" name="Initial Budget" dataDxfId="288"/>
    <tableColumn id="22" xr3:uid="{00000000-0010-0000-0000-000016000000}" name="Previously Committed Funds" dataDxfId="287"/>
    <tableColumn id="27" xr3:uid="{00000000-0010-0000-0000-00001B000000}" name="Current Available Balance" dataDxfId="286">
      <calculatedColumnFormula>Master20[[#This Row],[Initial Budget]]-Master20[[#This Row],[Previously Committed Funds]]</calculatedColumnFormula>
    </tableColumn>
    <tableColumn id="24" xr3:uid="{00000000-0010-0000-0000-000018000000}" name="Design $ (Add/Deduct)" dataDxfId="285"/>
    <tableColumn id="23" xr3:uid="{00000000-0010-0000-0000-000017000000}" name="Construction $ (Add/Ded)" dataDxfId="284"/>
    <tableColumn id="26" xr3:uid="{00000000-0010-0000-0000-00001A000000}" name="Total Add" dataDxfId="283">
      <calculatedColumnFormula>Master20[[#This Row],[Design $ (Add/Deduct)]]+Master20[[#This Row],[Construction $ (Add/Ded)]]</calculatedColumnFormula>
    </tableColumn>
    <tableColumn id="4" xr3:uid="{00000000-0010-0000-0000-000004000000}" name="Total Estimated Cost" dataDxfId="282"/>
    <tableColumn id="17" xr3:uid="{00000000-0010-0000-0000-000011000000}" name="Fiscal Year Requested" dataDxfId="281"/>
    <tableColumn id="5" xr3:uid="{00000000-0010-0000-0000-000005000000}" name="Importance Category" dataDxfId="280"/>
    <tableColumn id="6" xr3:uid="{00000000-0010-0000-0000-000006000000}" name="Score" dataDxfId="279"/>
    <tableColumn id="7" xr3:uid="{00000000-0010-0000-0000-000007000000}" name="Department Priority" dataDxfId="278"/>
    <tableColumn id="8" xr3:uid="{00000000-0010-0000-0000-000008000000}" name="Score2" dataDxfId="277"/>
    <tableColumn id="9" xr3:uid="{00000000-0010-0000-0000-000009000000}" name="Urgency" dataDxfId="276"/>
    <tableColumn id="10" xr3:uid="{00000000-0010-0000-0000-00000A000000}" name="Score3" dataDxfId="275"/>
    <tableColumn id="13" xr3:uid="{00000000-0010-0000-0000-00000D000000}" name="Funding" dataDxfId="274"/>
    <tableColumn id="38" xr3:uid="{00000000-0010-0000-0000-000026000000}" name="Gen Revenue" dataDxfId="273"/>
    <tableColumn id="37" xr3:uid="{00000000-0010-0000-0000-000025000000}" name="Energy Savings" dataDxfId="272"/>
    <tableColumn id="35" xr3:uid="{00000000-0010-0000-0000-000023000000}" name="Offset Aging Inf." dataDxfId="271"/>
    <tableColumn id="32" xr3:uid="{00000000-0010-0000-0000-000020000000}" name="Community need" dataDxfId="270"/>
    <tableColumn id="33" xr3:uid="{00000000-0010-0000-0000-000021000000}" name="Community Request" dataDxfId="269"/>
    <tableColumn id="30" xr3:uid="{00000000-0010-0000-0000-00001E000000}" name="Master Plan" dataDxfId="268"/>
    <tableColumn id="31" xr3:uid="{00000000-0010-0000-0000-00001F000000}" name="Risk Mitigation" dataDxfId="267"/>
    <tableColumn id="36" xr3:uid="{00000000-0010-0000-0000-000024000000}" name="Cheat Code" dataDxfId="266"/>
    <tableColumn id="14" xr3:uid="{00000000-0010-0000-0000-00000E000000}" name="Elevated Priority" dataDxfId="265"/>
    <tableColumn id="16" xr3:uid="{00000000-0010-0000-0000-000010000000}" name="Elevation Score" dataDxfId="264">
      <calculatedColumnFormula>VLOOKUP(Master20[[#This Row],[Elevated Priority]],Epriority,2,)</calculatedColumnFormula>
    </tableColumn>
    <tableColumn id="11" xr3:uid="{00000000-0010-0000-0000-00000B000000}" name="Project Score" dataDxfId="263">
      <calculatedColumnFormula>IF(Master20[[#This Row],[Status]]="Active",Master20[[#This Row],[Status_Score]],IF(D2="","",R2+H2+T2+V2+AG2+AE2+Master20[[#This Row],[Risk Mitigation]]+Master20[[#This Row],[Master Plan]]+Master20[[#This Row],[Community Request]]+Master20[[#This Row],[Community need]]+Master20[[#This Row],[Offset Aging Inf.]]+Master20[[#This Row],[Energy Savings]]+Master20[[#This Row],[Gen Revenue]]-5))</calculatedColumnFormula>
    </tableColumn>
    <tableColumn id="20" xr3:uid="{00000000-0010-0000-0000-000014000000}" name="PM" dataDxfId="262"/>
    <tableColumn id="34" xr3:uid="{00000000-0010-0000-0000-000022000000}" name="Prev. Yr Begin Design" dataDxfId="261"/>
    <tableColumn id="18" xr3:uid="{00000000-0010-0000-0000-000012000000}" name="Prev. Yr. Begin Const." dataDxfId="260"/>
    <tableColumn id="29" xr3:uid="{00000000-0010-0000-0000-00001D000000}" name="Current Yr Begin Design" dataDxfId="259"/>
    <tableColumn id="28" xr3:uid="{00000000-0010-0000-0000-00001C000000}" name="Current yr. Begin Const." dataDxfId="258"/>
    <tableColumn id="19" xr3:uid="{00000000-0010-0000-0000-000013000000}" name="Potential Grant Comments" dataDxfId="25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Master2017" displayName="Master2017" ref="B1:AJ205" totalsRowShown="0" headerRowDxfId="256" tableBorderDxfId="255">
  <autoFilter ref="B1:AJ205" xr:uid="{00000000-0009-0000-0100-000010000000}">
    <filterColumn colId="20">
      <filters>
        <filter val="CIP 2018"/>
        <filter val="Maj. Maint."/>
      </filters>
    </filterColumn>
  </autoFilter>
  <sortState xmlns:xlrd2="http://schemas.microsoft.com/office/spreadsheetml/2017/richdata2" ref="B2:AJ205">
    <sortCondition ref="G1:G205"/>
  </sortState>
  <tableColumns count="35">
    <tableColumn id="12" xr3:uid="{00000000-0010-0000-0100-00000C000000}" name="Department" dataDxfId="254"/>
    <tableColumn id="1" xr3:uid="{00000000-0010-0000-0100-000001000000}" name="Project Name" dataDxfId="253"/>
    <tableColumn id="2" xr3:uid="{00000000-0010-0000-0100-000002000000}" name="Brief Description" dataDxfId="252"/>
    <tableColumn id="3" xr3:uid="{00000000-0010-0000-0100-000003000000}" name="Justification" dataDxfId="251"/>
    <tableColumn id="15" xr3:uid="{00000000-0010-0000-0100-00000F000000}" name="Status" dataDxfId="250"/>
    <tableColumn id="21" xr3:uid="{00000000-0010-0000-0100-000015000000}" name="Status_Score" dataDxfId="249">
      <calculatedColumnFormula>VLOOKUP(F2,Status_Score,2,FALSE)</calculatedColumnFormula>
    </tableColumn>
    <tableColumn id="25" xr3:uid="{00000000-0010-0000-0100-000019000000}" name="Initial Budget" dataDxfId="248"/>
    <tableColumn id="22" xr3:uid="{00000000-0010-0000-0100-000016000000}" name="Previously Committed Funds" dataDxfId="247"/>
    <tableColumn id="27" xr3:uid="{00000000-0010-0000-0100-00001B000000}" name="Current Available Balance" dataDxfId="246">
      <calculatedColumnFormula>Master2017[[#This Row],[Initial Budget]]-Master2017[[#This Row],[Previously Committed Funds]]</calculatedColumnFormula>
    </tableColumn>
    <tableColumn id="24" xr3:uid="{00000000-0010-0000-0100-000018000000}" name="Design $ (Add/Deduct)" dataDxfId="245"/>
    <tableColumn id="23" xr3:uid="{00000000-0010-0000-0100-000017000000}" name="Construction $ (Add/Ded)" dataDxfId="244"/>
    <tableColumn id="26" xr3:uid="{00000000-0010-0000-0100-00001A000000}" name="Total Add" dataDxfId="243">
      <calculatedColumnFormula>Master2017[[#This Row],[Design $ (Add/Deduct)]]+Master2017[[#This Row],[Construction $ (Add/Ded)]]</calculatedColumnFormula>
    </tableColumn>
    <tableColumn id="4" xr3:uid="{00000000-0010-0000-0100-000004000000}" name="Total Estimated Cost" dataDxfId="242"/>
    <tableColumn id="17" xr3:uid="{00000000-0010-0000-0100-000011000000}" name="Fiscal Year Requested" dataDxfId="241"/>
    <tableColumn id="5" xr3:uid="{00000000-0010-0000-0100-000005000000}" name="Importance Category" dataDxfId="240"/>
    <tableColumn id="6" xr3:uid="{00000000-0010-0000-0100-000006000000}" name="Score" dataDxfId="239"/>
    <tableColumn id="7" xr3:uid="{00000000-0010-0000-0100-000007000000}" name="Department Priority" dataDxfId="238"/>
    <tableColumn id="8" xr3:uid="{00000000-0010-0000-0100-000008000000}" name="Score2" dataDxfId="237"/>
    <tableColumn id="9" xr3:uid="{00000000-0010-0000-0100-000009000000}" name="Urgency" dataDxfId="236"/>
    <tableColumn id="10" xr3:uid="{00000000-0010-0000-0100-00000A000000}" name="Score3" dataDxfId="235"/>
    <tableColumn id="13" xr3:uid="{00000000-0010-0000-0100-00000D000000}" name="Funding" dataDxfId="234"/>
    <tableColumn id="38" xr3:uid="{00000000-0010-0000-0100-000026000000}" name="Gen Revenue" dataDxfId="233"/>
    <tableColumn id="37" xr3:uid="{00000000-0010-0000-0100-000025000000}" name="Energy Savings" dataDxfId="232"/>
    <tableColumn id="35" xr3:uid="{00000000-0010-0000-0100-000023000000}" name="Offset Aging Inf." dataDxfId="231"/>
    <tableColumn id="32" xr3:uid="{00000000-0010-0000-0100-000020000000}" name="Community need" dataDxfId="230"/>
    <tableColumn id="33" xr3:uid="{00000000-0010-0000-0100-000021000000}" name="Community Request" dataDxfId="229"/>
    <tableColumn id="30" xr3:uid="{00000000-0010-0000-0100-00001E000000}" name="Master Plan" dataDxfId="228"/>
    <tableColumn id="31" xr3:uid="{00000000-0010-0000-0100-00001F000000}" name="Risk Mitigation" dataDxfId="227"/>
    <tableColumn id="14" xr3:uid="{00000000-0010-0000-0100-00000E000000}" name="Elevated Priority" dataDxfId="226"/>
    <tableColumn id="16" xr3:uid="{00000000-0010-0000-0100-000010000000}" name="Elevation Score" dataDxfId="225">
      <calculatedColumnFormula>VLOOKUP(Master2017[[#This Row],[Elevated Priority]],Epriority,2,)</calculatedColumnFormula>
    </tableColumn>
    <tableColumn id="11" xr3:uid="{00000000-0010-0000-0100-00000B000000}" name="Project Score" dataDxfId="224">
      <calculatedColumnFormula>IF(Master2017[[#This Row],[Status]]="Active",Master2017[[#This Row],[Status_Score]],IF(C2="","",Q2+G2+S2+U2+AE2-5))</calculatedColumnFormula>
    </tableColumn>
    <tableColumn id="20" xr3:uid="{00000000-0010-0000-0100-000014000000}" name="PM" dataDxfId="223"/>
    <tableColumn id="29" xr3:uid="{00000000-0010-0000-0100-00001D000000}" name="Begin Design" dataDxfId="222"/>
    <tableColumn id="28" xr3:uid="{00000000-0010-0000-0100-00001C000000}" name="Begin Const." dataDxfId="221"/>
    <tableColumn id="19" xr3:uid="{00000000-0010-0000-0100-000013000000}" name="Comments" dataDxfId="22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Master201722" displayName="Master201722" ref="B1:AJ205" totalsRowShown="0" headerRowDxfId="219" tableBorderDxfId="218">
  <autoFilter ref="B1:AJ205" xr:uid="{00000000-0009-0000-0100-000015000000}">
    <filterColumn colId="20">
      <filters>
        <filter val="CIP"/>
      </filters>
    </filterColumn>
  </autoFilter>
  <sortState xmlns:xlrd2="http://schemas.microsoft.com/office/spreadsheetml/2017/richdata2" ref="B15:AJ199">
    <sortCondition ref="G1:G205"/>
  </sortState>
  <tableColumns count="35">
    <tableColumn id="12" xr3:uid="{00000000-0010-0000-0200-00000C000000}" name="Department" dataDxfId="217"/>
    <tableColumn id="1" xr3:uid="{00000000-0010-0000-0200-000001000000}" name="Project Name" dataDxfId="216"/>
    <tableColumn id="2" xr3:uid="{00000000-0010-0000-0200-000002000000}" name="Brief Description" dataDxfId="215"/>
    <tableColumn id="3" xr3:uid="{00000000-0010-0000-0200-000003000000}" name="Justification" dataDxfId="214"/>
    <tableColumn id="15" xr3:uid="{00000000-0010-0000-0200-00000F000000}" name="Status" dataDxfId="213"/>
    <tableColumn id="21" xr3:uid="{00000000-0010-0000-0200-000015000000}" name="Status_Score" dataDxfId="212">
      <calculatedColumnFormula>VLOOKUP(F2,Status_Score,2,FALSE)</calculatedColumnFormula>
    </tableColumn>
    <tableColumn id="25" xr3:uid="{00000000-0010-0000-0200-000019000000}" name="Initial Budget" dataDxfId="211"/>
    <tableColumn id="22" xr3:uid="{00000000-0010-0000-0200-000016000000}" name="Previously Committed Funds" dataDxfId="210"/>
    <tableColumn id="27" xr3:uid="{00000000-0010-0000-0200-00001B000000}" name="Current Available Balance" dataDxfId="209">
      <calculatedColumnFormula>Master201722[[#This Row],[Initial Budget]]-Master201722[[#This Row],[Previously Committed Funds]]</calculatedColumnFormula>
    </tableColumn>
    <tableColumn id="24" xr3:uid="{00000000-0010-0000-0200-000018000000}" name="Design $ (Add/Deduct)" dataDxfId="208"/>
    <tableColumn id="23" xr3:uid="{00000000-0010-0000-0200-000017000000}" name="Construction $ (Add/Ded)" dataDxfId="207"/>
    <tableColumn id="26" xr3:uid="{00000000-0010-0000-0200-00001A000000}" name="Total Add" dataDxfId="206">
      <calculatedColumnFormula>Master201722[[#This Row],[Design $ (Add/Deduct)]]+Master201722[[#This Row],[Construction $ (Add/Ded)]]</calculatedColumnFormula>
    </tableColumn>
    <tableColumn id="4" xr3:uid="{00000000-0010-0000-0200-000004000000}" name="Total Estimated Cost" dataDxfId="205"/>
    <tableColumn id="17" xr3:uid="{00000000-0010-0000-0200-000011000000}" name="Fiscal Year Requested" dataDxfId="204"/>
    <tableColumn id="5" xr3:uid="{00000000-0010-0000-0200-000005000000}" name="Importance Category" dataDxfId="203"/>
    <tableColumn id="6" xr3:uid="{00000000-0010-0000-0200-000006000000}" name="Score" dataDxfId="202"/>
    <tableColumn id="7" xr3:uid="{00000000-0010-0000-0200-000007000000}" name="Department Priority" dataDxfId="201"/>
    <tableColumn id="8" xr3:uid="{00000000-0010-0000-0200-000008000000}" name="Score2" dataDxfId="200"/>
    <tableColumn id="9" xr3:uid="{00000000-0010-0000-0200-000009000000}" name="Urgency" dataDxfId="199"/>
    <tableColumn id="10" xr3:uid="{00000000-0010-0000-0200-00000A000000}" name="Score3" dataDxfId="198"/>
    <tableColumn id="13" xr3:uid="{00000000-0010-0000-0200-00000D000000}" name="Funding" dataDxfId="197"/>
    <tableColumn id="38" xr3:uid="{00000000-0010-0000-0200-000026000000}" name="Gen Revenue" dataDxfId="196"/>
    <tableColumn id="37" xr3:uid="{00000000-0010-0000-0200-000025000000}" name="Energy Savings" dataDxfId="195"/>
    <tableColumn id="35" xr3:uid="{00000000-0010-0000-0200-000023000000}" name="Offset Aging Inf." dataDxfId="194"/>
    <tableColumn id="32" xr3:uid="{00000000-0010-0000-0200-000020000000}" name="Community need" dataDxfId="193"/>
    <tableColumn id="33" xr3:uid="{00000000-0010-0000-0200-000021000000}" name="Community Request" dataDxfId="192"/>
    <tableColumn id="30" xr3:uid="{00000000-0010-0000-0200-00001E000000}" name="Master Plan" dataDxfId="191"/>
    <tableColumn id="31" xr3:uid="{00000000-0010-0000-0200-00001F000000}" name="Risk Mitigation" dataDxfId="190"/>
    <tableColumn id="14" xr3:uid="{00000000-0010-0000-0200-00000E000000}" name="Elevated Priority" dataDxfId="189"/>
    <tableColumn id="16" xr3:uid="{00000000-0010-0000-0200-000010000000}" name="Elevation Score" dataDxfId="188">
      <calculatedColumnFormula>VLOOKUP(Master201722[[#This Row],[Elevated Priority]],Epriority,2,)</calculatedColumnFormula>
    </tableColumn>
    <tableColumn id="11" xr3:uid="{00000000-0010-0000-0200-00000B000000}" name="Project Score" dataDxfId="187">
      <calculatedColumnFormula>IF(Master201722[[#This Row],[Status]]="Active",Master201722[[#This Row],[Status_Score]],IF(C2="","",Q2+G2+S2+U2+AE2-5))</calculatedColumnFormula>
    </tableColumn>
    <tableColumn id="20" xr3:uid="{00000000-0010-0000-0200-000014000000}" name="PM" dataDxfId="186"/>
    <tableColumn id="29" xr3:uid="{00000000-0010-0000-0200-00001D000000}" name="Begin Design" dataDxfId="185"/>
    <tableColumn id="28" xr3:uid="{00000000-0010-0000-0200-00001C000000}" name="Begin Const." dataDxfId="184"/>
    <tableColumn id="19" xr3:uid="{00000000-0010-0000-0200-000013000000}" name="Comments" dataDxfId="18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Master19" displayName="Master19" ref="B1:U226" totalsRowShown="0" headerRowDxfId="182" tableBorderDxfId="181">
  <autoFilter ref="B1:U226" xr:uid="{00000000-0009-0000-0100-000012000000}">
    <filterColumn colId="0">
      <filters>
        <filter val="Hospital*"/>
      </filters>
    </filterColumn>
  </autoFilter>
  <sortState xmlns:xlrd2="http://schemas.microsoft.com/office/spreadsheetml/2017/richdata2" ref="B2:U226">
    <sortCondition ref="S2:S241"/>
    <sortCondition ref="O2:O241"/>
  </sortState>
  <tableColumns count="20">
    <tableColumn id="12" xr3:uid="{00000000-0010-0000-0300-00000C000000}" name="Department" dataDxfId="180"/>
    <tableColumn id="1" xr3:uid="{00000000-0010-0000-0300-000001000000}" name="Project Name" dataDxfId="179"/>
    <tableColumn id="2" xr3:uid="{00000000-0010-0000-0300-000002000000}" name="Brief Description" dataDxfId="178"/>
    <tableColumn id="3" xr3:uid="{00000000-0010-0000-0300-000003000000}" name="Justification" dataDxfId="177"/>
    <tableColumn id="15" xr3:uid="{00000000-0010-0000-0300-00000F000000}" name="Status" dataDxfId="176"/>
    <tableColumn id="21" xr3:uid="{00000000-0010-0000-0300-000015000000}" name="Status_Score" dataDxfId="175">
      <calculatedColumnFormula>VLOOKUP(F2,Status_Score,2,FALSE)</calculatedColumnFormula>
    </tableColumn>
    <tableColumn id="4" xr3:uid="{00000000-0010-0000-0300-000004000000}" name="Estimated Cost" dataDxfId="174"/>
    <tableColumn id="17" xr3:uid="{00000000-0010-0000-0300-000011000000}" name="Fiscal Year Requested" dataDxfId="173"/>
    <tableColumn id="5" xr3:uid="{00000000-0010-0000-0300-000005000000}" name="Importance Category" dataDxfId="172"/>
    <tableColumn id="6" xr3:uid="{00000000-0010-0000-0300-000006000000}" name="Score" dataDxfId="171"/>
    <tableColumn id="7" xr3:uid="{00000000-0010-0000-0300-000007000000}" name="Department Priority" dataDxfId="170"/>
    <tableColumn id="8" xr3:uid="{00000000-0010-0000-0300-000008000000}" name="Score2" dataDxfId="169"/>
    <tableColumn id="9" xr3:uid="{00000000-0010-0000-0300-000009000000}" name="Urgency" dataDxfId="168"/>
    <tableColumn id="10" xr3:uid="{00000000-0010-0000-0300-00000A000000}" name="Score3" dataDxfId="167"/>
    <tableColumn id="13" xr3:uid="{00000000-0010-0000-0300-00000D000000}" name="Funding" dataDxfId="166"/>
    <tableColumn id="14" xr3:uid="{00000000-0010-0000-0300-00000E000000}" name="Elevated Priority" dataDxfId="165"/>
    <tableColumn id="16" xr3:uid="{00000000-0010-0000-0300-000010000000}" name="Elevation Score" dataDxfId="164">
      <calculatedColumnFormula>VLOOKUP(Master19[[#This Row],[Elevated Priority]],Epriority,2,)</calculatedColumnFormula>
    </tableColumn>
    <tableColumn id="11" xr3:uid="{00000000-0010-0000-0300-00000B000000}" name="Project Ranking" dataDxfId="163">
      <calculatedColumnFormula>IF(Master19[[#This Row],[Status]]="Active",Master19[[#This Row],[Status_Score]],IF(C2="","",K2+G2+M2+O2+R2-5))</calculatedColumnFormula>
    </tableColumn>
    <tableColumn id="18" xr3:uid="{00000000-0010-0000-0300-000012000000}" name="Estimated Cost total " dataDxfId="162"/>
    <tableColumn id="19" xr3:uid="{00000000-0010-0000-0300-000013000000}" name="Comm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uilding_Maintenance" displayName="Building_Maintenance" ref="B3:I31" totalsRowShown="0" headerRowDxfId="161" headerRowBorderDxfId="160" tableBorderDxfId="159">
  <autoFilter ref="B3:I31" xr:uid="{00000000-0009-0000-0100-000004000000}"/>
  <tableColumns count="8">
    <tableColumn id="12" xr3:uid="{00000000-0010-0000-0400-00000C000000}" name="Department" dataDxfId="158"/>
    <tableColumn id="1" xr3:uid="{00000000-0010-0000-0400-000001000000}" name="Project Name" dataDxfId="157"/>
    <tableColumn id="2" xr3:uid="{00000000-0010-0000-0400-000002000000}" name="Brief Description" dataDxfId="156"/>
    <tableColumn id="3" xr3:uid="{00000000-0010-0000-0400-000003000000}" name="Justification" dataDxfId="155"/>
    <tableColumn id="6" xr3:uid="{00000000-0010-0000-0400-000006000000}" name="Status " dataDxfId="154"/>
    <tableColumn id="4" xr3:uid="{00000000-0010-0000-0400-000004000000}" name="Estimated Cost" dataDxfId="153"/>
    <tableColumn id="9" xr3:uid="{00000000-0010-0000-0400-000009000000}" name="Fiscal Year" dataDxfId="152"/>
    <tableColumn id="5" xr3:uid="{00000000-0010-0000-0400-000005000000}" name="Funding"/>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ivic_Center" displayName="Civic_Center" ref="B3:I34" totalsRowShown="0" headerRowDxfId="151" headerRowBorderDxfId="150" tableBorderDxfId="149">
  <autoFilter ref="B3:I34" xr:uid="{00000000-0009-0000-0100-000008000000}"/>
  <tableColumns count="8">
    <tableColumn id="12" xr3:uid="{00000000-0010-0000-0500-00000C000000}" name="Department" dataDxfId="148"/>
    <tableColumn id="1" xr3:uid="{00000000-0010-0000-0500-000001000000}" name="Project Name" dataDxfId="147"/>
    <tableColumn id="2" xr3:uid="{00000000-0010-0000-0500-000002000000}" name="Brief Description" dataDxfId="146"/>
    <tableColumn id="3" xr3:uid="{00000000-0010-0000-0500-000003000000}" name="Justification" dataDxfId="145"/>
    <tableColumn id="6" xr3:uid="{00000000-0010-0000-0500-000006000000}" name="Status " dataDxfId="144"/>
    <tableColumn id="4" xr3:uid="{00000000-0010-0000-0500-000004000000}" name="Estimated Cost" dataDxfId="143"/>
    <tableColumn id="9" xr3:uid="{00000000-0010-0000-0500-000009000000}" name="Fiscal Year" dataDxfId="142"/>
    <tableColumn id="5" xr3:uid="{00000000-0010-0000-0500-000005000000}" name="Funding"/>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mmunity_Development" displayName="Community_Development" ref="B3:I32" totalsRowShown="0" headerRowDxfId="141" headerRowBorderDxfId="140" tableBorderDxfId="139">
  <autoFilter ref="B3:I32" xr:uid="{00000000-0009-0000-0100-000005000000}"/>
  <tableColumns count="8">
    <tableColumn id="12" xr3:uid="{00000000-0010-0000-0600-00000C000000}" name="Department" dataDxfId="138"/>
    <tableColumn id="1" xr3:uid="{00000000-0010-0000-0600-000001000000}" name="Project Name" dataDxfId="137"/>
    <tableColumn id="2" xr3:uid="{00000000-0010-0000-0600-000002000000}" name="Brief Description" dataDxfId="136"/>
    <tableColumn id="3" xr3:uid="{00000000-0010-0000-0600-000003000000}" name="Justification" dataDxfId="135"/>
    <tableColumn id="6" xr3:uid="{00000000-0010-0000-0600-000006000000}" name="Status " dataDxfId="134"/>
    <tableColumn id="4" xr3:uid="{00000000-0010-0000-0600-000004000000}" name="Estimated Cost" dataDxfId="133"/>
    <tableColumn id="9" xr3:uid="{00000000-0010-0000-0600-000009000000}" name="Fiscal Year" dataDxfId="132"/>
    <tableColumn id="5" xr3:uid="{00000000-0010-0000-0600-000005000000}" name="Funding"/>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Fire_Department" displayName="Fire_Department" ref="B3:I33" totalsRowShown="0" headerRowDxfId="131" headerRowBorderDxfId="130" tableBorderDxfId="129">
  <autoFilter ref="B3:I33" xr:uid="{00000000-0009-0000-0100-000006000000}"/>
  <tableColumns count="8">
    <tableColumn id="12" xr3:uid="{00000000-0010-0000-0700-00000C000000}" name="Department" dataDxfId="128"/>
    <tableColumn id="1" xr3:uid="{00000000-0010-0000-0700-000001000000}" name="Project Name" dataDxfId="127"/>
    <tableColumn id="2" xr3:uid="{00000000-0010-0000-0700-000002000000}" name="Brief Description" dataDxfId="126"/>
    <tableColumn id="3" xr3:uid="{00000000-0010-0000-0700-000003000000}" name="Justification" dataDxfId="125"/>
    <tableColumn id="6" xr3:uid="{00000000-0010-0000-0700-000006000000}" name="Status " dataDxfId="124"/>
    <tableColumn id="4" xr3:uid="{00000000-0010-0000-0700-000004000000}" name="Estimated Cost" dataDxfId="123"/>
    <tableColumn id="9" xr3:uid="{00000000-0010-0000-0700-000009000000}" name="Fiscal Year" dataDxfId="122"/>
    <tableColumn id="5" xr3:uid="{00000000-0010-0000-0700-000005000000}" name="Funding"/>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brary" displayName="Library" ref="B3:I35" totalsRowShown="0" headerRowDxfId="121" headerRowBorderDxfId="120" tableBorderDxfId="119">
  <autoFilter ref="B3:I35" xr:uid="{00000000-0009-0000-0100-000009000000}"/>
  <tableColumns count="8">
    <tableColumn id="12" xr3:uid="{00000000-0010-0000-0800-00000C000000}" name="Department" dataDxfId="118"/>
    <tableColumn id="1" xr3:uid="{00000000-0010-0000-0800-000001000000}" name="Project Name" dataDxfId="117"/>
    <tableColumn id="2" xr3:uid="{00000000-0010-0000-0800-000002000000}" name="Brief Description" dataDxfId="116"/>
    <tableColumn id="3" xr3:uid="{00000000-0010-0000-0800-000003000000}" name="Justification" dataDxfId="115"/>
    <tableColumn id="6" xr3:uid="{00000000-0010-0000-0800-000006000000}" name="Status " dataDxfId="114"/>
    <tableColumn id="4" xr3:uid="{00000000-0010-0000-0800-000004000000}" name="Estimated Cost" dataDxfId="113"/>
    <tableColumn id="9" xr3:uid="{00000000-0010-0000-0800-000009000000}" name="Fiscal Year" dataDxfId="112"/>
    <tableColumn id="5" xr3:uid="{00000000-0010-0000-0800-000005000000}" name="Funding"/>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IT" displayName="IT" ref="B3:I33" totalsRowShown="0" headerRowDxfId="111" headerRowBorderDxfId="110" tableBorderDxfId="109">
  <autoFilter ref="B3:I33" xr:uid="{00000000-0009-0000-0100-000001000000}"/>
  <tableColumns count="8">
    <tableColumn id="12" xr3:uid="{00000000-0010-0000-0900-00000C000000}" name="Department" dataDxfId="108"/>
    <tableColumn id="1" xr3:uid="{00000000-0010-0000-0900-000001000000}" name="Project Name" dataDxfId="107"/>
    <tableColumn id="2" xr3:uid="{00000000-0010-0000-0900-000002000000}" name="Brief Description" dataDxfId="106"/>
    <tableColumn id="3" xr3:uid="{00000000-0010-0000-0900-000003000000}" name="Justification" dataDxfId="105"/>
    <tableColumn id="6" xr3:uid="{00000000-0010-0000-0900-000006000000}" name="Status " dataDxfId="104"/>
    <tableColumn id="4" xr3:uid="{00000000-0010-0000-0900-000004000000}" name="Estimated Cost" dataDxfId="103"/>
    <tableColumn id="9" xr3:uid="{00000000-0010-0000-0900-000009000000}" name="Fiscal Year" dataDxfId="102"/>
    <tableColumn id="5" xr3:uid="{00000000-0010-0000-0900-000005000000}" name="Funding"/>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Museum" displayName="Museum" ref="B3:I33" totalsRowShown="0" headerRowDxfId="101" headerRowBorderDxfId="100" tableBorderDxfId="99">
  <autoFilter ref="B3:I33" xr:uid="{00000000-0009-0000-0100-000003000000}"/>
  <tableColumns count="8">
    <tableColumn id="12" xr3:uid="{00000000-0010-0000-0A00-00000C000000}" name="Department" dataDxfId="98"/>
    <tableColumn id="1" xr3:uid="{00000000-0010-0000-0A00-000001000000}" name="Project Name" dataDxfId="97"/>
    <tableColumn id="2" xr3:uid="{00000000-0010-0000-0A00-000002000000}" name="Brief Description" dataDxfId="96"/>
    <tableColumn id="3" xr3:uid="{00000000-0010-0000-0A00-000003000000}" name="Justification" dataDxfId="95"/>
    <tableColumn id="6" xr3:uid="{00000000-0010-0000-0A00-000006000000}" name="Status " dataDxfId="94"/>
    <tableColumn id="4" xr3:uid="{00000000-0010-0000-0A00-000004000000}" name="Estimated Cost" dataDxfId="93"/>
    <tableColumn id="9" xr3:uid="{00000000-0010-0000-0A00-000009000000}" name="Fiscal Year" dataDxfId="92"/>
    <tableColumn id="5" xr3:uid="{00000000-0010-0000-0A00-000005000000}" name="Funding"/>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Hospital" displayName="Hospital" ref="B3:I36" totalsRowShown="0" headerRowDxfId="91" headerRowBorderDxfId="90" tableBorderDxfId="89">
  <autoFilter ref="B3:I36" xr:uid="{00000000-0009-0000-0100-000007000000}"/>
  <tableColumns count="8">
    <tableColumn id="12" xr3:uid="{00000000-0010-0000-0B00-00000C000000}" name="Department" dataDxfId="88"/>
    <tableColumn id="1" xr3:uid="{00000000-0010-0000-0B00-000001000000}" name="Project Name" dataDxfId="87"/>
    <tableColumn id="2" xr3:uid="{00000000-0010-0000-0B00-000002000000}" name="Brief Description" dataDxfId="86"/>
    <tableColumn id="3" xr3:uid="{00000000-0010-0000-0B00-000003000000}" name="Justification" dataDxfId="85"/>
    <tableColumn id="6" xr3:uid="{00000000-0010-0000-0B00-000006000000}" name="Status " dataDxfId="84"/>
    <tableColumn id="4" xr3:uid="{00000000-0010-0000-0B00-000004000000}" name="Estimated Cost" dataDxfId="83"/>
    <tableColumn id="9" xr3:uid="{00000000-0010-0000-0B00-000009000000}" name="Fiscal Year" dataDxfId="82"/>
    <tableColumn id="5" xr3:uid="{00000000-0010-0000-0B00-000005000000}" name="Funding"/>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Parks_Maintenance" displayName="Parks_Maintenance" ref="B3:I37" totalsRowShown="0" headerRowDxfId="81" dataDxfId="79" headerRowBorderDxfId="80" tableBorderDxfId="78">
  <autoFilter ref="B3:I37" xr:uid="{00000000-0009-0000-0100-00000B000000}"/>
  <tableColumns count="8">
    <tableColumn id="12" xr3:uid="{00000000-0010-0000-0C00-00000C000000}" name="Department" dataDxfId="77"/>
    <tableColumn id="1" xr3:uid="{00000000-0010-0000-0C00-000001000000}" name="Project Name" dataDxfId="76"/>
    <tableColumn id="2" xr3:uid="{00000000-0010-0000-0C00-000002000000}" name="Brief Description" dataDxfId="75"/>
    <tableColumn id="3" xr3:uid="{00000000-0010-0000-0C00-000003000000}" name="Justification" dataDxfId="74"/>
    <tableColumn id="6" xr3:uid="{00000000-0010-0000-0C00-000006000000}" name="Status " dataDxfId="73"/>
    <tableColumn id="4" xr3:uid="{00000000-0010-0000-0C00-000004000000}" name="Estimated Cost" dataDxfId="72"/>
    <tableColumn id="9" xr3:uid="{00000000-0010-0000-0C00-000009000000}" name="Fiscal Year" dataDxfId="71"/>
    <tableColumn id="5" xr3:uid="{00000000-0010-0000-0C00-000005000000}" name="Funding" dataDxfId="7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Parks_Rec" displayName="Parks_Rec" ref="B3:I37" totalsRowShown="0" headerRowDxfId="69" dataDxfId="67" headerRowBorderDxfId="68" tableBorderDxfId="66">
  <autoFilter ref="B3:I37" xr:uid="{00000000-0009-0000-0100-00000C000000}"/>
  <tableColumns count="8">
    <tableColumn id="12" xr3:uid="{00000000-0010-0000-0D00-00000C000000}" name="Department" dataDxfId="65"/>
    <tableColumn id="1" xr3:uid="{00000000-0010-0000-0D00-000001000000}" name="Project Name" dataDxfId="64"/>
    <tableColumn id="2" xr3:uid="{00000000-0010-0000-0D00-000002000000}" name="Brief Description" dataDxfId="63"/>
    <tableColumn id="3" xr3:uid="{00000000-0010-0000-0D00-000003000000}" name="Justification" dataDxfId="62"/>
    <tableColumn id="6" xr3:uid="{00000000-0010-0000-0D00-000006000000}" name="Status " dataDxfId="61"/>
    <tableColumn id="4" xr3:uid="{00000000-0010-0000-0D00-000004000000}" name="Estimated Cost" dataDxfId="60"/>
    <tableColumn id="9" xr3:uid="{00000000-0010-0000-0D00-000009000000}" name="Fiscal Year" dataDxfId="59"/>
    <tableColumn id="5" xr3:uid="{00000000-0010-0000-0D00-000005000000}" name="Funding" dataDxfId="5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Police_Department" displayName="Police_Department" ref="B3:I48" totalsRowShown="0" headerRowDxfId="57" dataDxfId="55" headerRowBorderDxfId="56" tableBorderDxfId="54">
  <autoFilter ref="B3:I48" xr:uid="{00000000-0009-0000-0100-000011000000}"/>
  <tableColumns count="8">
    <tableColumn id="12" xr3:uid="{00000000-0010-0000-0E00-00000C000000}" name="Department" dataDxfId="53"/>
    <tableColumn id="1" xr3:uid="{00000000-0010-0000-0E00-000001000000}" name="Project Name" dataDxfId="52"/>
    <tableColumn id="2" xr3:uid="{00000000-0010-0000-0E00-000002000000}" name="Brief Description" dataDxfId="51"/>
    <tableColumn id="3" xr3:uid="{00000000-0010-0000-0E00-000003000000}" name="Justification" dataDxfId="50"/>
    <tableColumn id="6" xr3:uid="{00000000-0010-0000-0E00-000006000000}" name="Status " dataDxfId="49"/>
    <tableColumn id="4" xr3:uid="{00000000-0010-0000-0E00-000004000000}" name="Estimated Cost" dataDxfId="48"/>
    <tableColumn id="9" xr3:uid="{00000000-0010-0000-0E00-000009000000}" name="Fiscal Year" dataDxfId="47"/>
    <tableColumn id="5" xr3:uid="{00000000-0010-0000-0E00-000005000000}" name="Funding" dataDxfId="4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Ports_Harbor" displayName="Ports_Harbor" ref="B3:I39" totalsRowShown="0" headerRowDxfId="45" dataDxfId="43" headerRowBorderDxfId="44" tableBorderDxfId="42">
  <autoFilter ref="B3:I39" xr:uid="{00000000-0009-0000-0100-00000D000000}"/>
  <tableColumns count="8">
    <tableColumn id="12" xr3:uid="{00000000-0010-0000-0F00-00000C000000}" name="Department" dataDxfId="41"/>
    <tableColumn id="1" xr3:uid="{00000000-0010-0000-0F00-000001000000}" name="Project Name" dataDxfId="40"/>
    <tableColumn id="2" xr3:uid="{00000000-0010-0000-0F00-000002000000}" name="Brief Description" dataDxfId="39"/>
    <tableColumn id="3" xr3:uid="{00000000-0010-0000-0F00-000003000000}" name="Justification" dataDxfId="38"/>
    <tableColumn id="6" xr3:uid="{00000000-0010-0000-0F00-000006000000}" name="Status " dataDxfId="37"/>
    <tableColumn id="4" xr3:uid="{00000000-0010-0000-0F00-000004000000}" name="Estimated Cost" dataDxfId="36"/>
    <tableColumn id="9" xr3:uid="{00000000-0010-0000-0F00-000009000000}" name="Fiscal Year" dataDxfId="35"/>
    <tableColumn id="5" xr3:uid="{00000000-0010-0000-0F00-000005000000}" name="Funding" dataDxfId="3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PublicWorks" displayName="PublicWorks" ref="B3:I46" totalsRowShown="0" headerRowDxfId="33" dataDxfId="31" headerRowBorderDxfId="32" tableBorderDxfId="30">
  <autoFilter ref="B3:I46" xr:uid="{00000000-0009-0000-0100-00000E000000}"/>
  <tableColumns count="8">
    <tableColumn id="12" xr3:uid="{00000000-0010-0000-1000-00000C000000}" name="Department" dataDxfId="29"/>
    <tableColumn id="1" xr3:uid="{00000000-0010-0000-1000-000001000000}" name="Project Name" dataDxfId="28"/>
    <tableColumn id="2" xr3:uid="{00000000-0010-0000-1000-000002000000}" name="Brief Description" dataDxfId="27"/>
    <tableColumn id="3" xr3:uid="{00000000-0010-0000-1000-000003000000}" name="Justification" dataDxfId="26"/>
    <tableColumn id="6" xr3:uid="{00000000-0010-0000-1000-000006000000}" name="Status " dataDxfId="25"/>
    <tableColumn id="4" xr3:uid="{00000000-0010-0000-1000-000004000000}" name="Estimated Cost" dataDxfId="24"/>
    <tableColumn id="9" xr3:uid="{00000000-0010-0000-1000-000009000000}" name="Fiscal Year" dataDxfId="23"/>
    <tableColumn id="5" xr3:uid="{00000000-0010-0000-1000-000005000000}" name="Funding" dataDxfId="2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Valdez_Senior_Center" displayName="Valdez_Senior_Center" ref="B3:I48" totalsRowShown="0" headerRowDxfId="21" dataDxfId="19" headerRowBorderDxfId="20" tableBorderDxfId="18">
  <autoFilter ref="B3:I48" xr:uid="{00000000-0009-0000-0100-00000F000000}"/>
  <tableColumns count="8">
    <tableColumn id="12" xr3:uid="{00000000-0010-0000-1100-00000C000000}" name="Department" dataDxfId="17"/>
    <tableColumn id="1" xr3:uid="{00000000-0010-0000-1100-000001000000}" name="Project Name" dataDxfId="16"/>
    <tableColumn id="2" xr3:uid="{00000000-0010-0000-1100-000002000000}" name="Brief Description" dataDxfId="15"/>
    <tableColumn id="3" xr3:uid="{00000000-0010-0000-1100-000003000000}" name="Justification" dataDxfId="14"/>
    <tableColumn id="6" xr3:uid="{00000000-0010-0000-1100-000006000000}" name="Status " dataDxfId="13"/>
    <tableColumn id="4" xr3:uid="{00000000-0010-0000-1100-000004000000}" name="Estimated Cost" dataDxfId="12"/>
    <tableColumn id="9" xr3:uid="{00000000-0010-0000-1100-000009000000}" name="Fiscal Year" dataDxfId="11"/>
    <tableColumn id="5" xr3:uid="{00000000-0010-0000-1100-000005000000}" name="Funding" dataDxfId="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Valdez_City_Schools" displayName="Valdez_City_Schools" ref="B3:I40" totalsRowShown="0" headerRowDxfId="9" headerRowBorderDxfId="8" tableBorderDxfId="7">
  <autoFilter ref="B3:I40" xr:uid="{00000000-0009-0000-0100-00000A000000}">
    <filterColumn colId="7">
      <filters>
        <filter val="CIP"/>
      </filters>
    </filterColumn>
  </autoFilter>
  <tableColumns count="8">
    <tableColumn id="12" xr3:uid="{00000000-0010-0000-1200-00000C000000}" name="Department" dataDxfId="6"/>
    <tableColumn id="1" xr3:uid="{00000000-0010-0000-1200-000001000000}" name="Project Name" dataDxfId="5"/>
    <tableColumn id="2" xr3:uid="{00000000-0010-0000-1200-000002000000}" name="Brief Description" dataDxfId="4"/>
    <tableColumn id="3" xr3:uid="{00000000-0010-0000-1200-000003000000}" name="Justification" dataDxfId="3"/>
    <tableColumn id="6" xr3:uid="{00000000-0010-0000-1200-000006000000}" name="Status " dataDxfId="2"/>
    <tableColumn id="4" xr3:uid="{00000000-0010-0000-1200-000004000000}" name="Estimated Cost" dataDxfId="1"/>
    <tableColumn id="9" xr3:uid="{00000000-0010-0000-1200-000009000000}" name="Fiscal Year" dataDxfId="0"/>
    <tableColumn id="5" xr3:uid="{00000000-0010-0000-1200-000005000000}" name="Funding"/>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16"/>
  <sheetViews>
    <sheetView workbookViewId="0">
      <selection activeCell="B18" sqref="B18"/>
    </sheetView>
  </sheetViews>
  <sheetFormatPr defaultRowHeight="15" x14ac:dyDescent="0.25"/>
  <cols>
    <col min="2" max="2" width="33.140625" customWidth="1"/>
    <col min="3" max="3" width="24" customWidth="1"/>
  </cols>
  <sheetData>
    <row r="2" spans="1:3" x14ac:dyDescent="0.25">
      <c r="A2" s="1"/>
      <c r="B2" s="2" t="s">
        <v>0</v>
      </c>
      <c r="C2" s="1" t="s">
        <v>1</v>
      </c>
    </row>
    <row r="3" spans="1:3" x14ac:dyDescent="0.25">
      <c r="A3" s="1" t="s">
        <v>2</v>
      </c>
      <c r="B3" s="1" t="s">
        <v>3</v>
      </c>
      <c r="C3" s="3">
        <v>1000000</v>
      </c>
    </row>
    <row r="4" spans="1:3" x14ac:dyDescent="0.25">
      <c r="A4" s="1" t="s">
        <v>2</v>
      </c>
      <c r="B4" s="1" t="s">
        <v>4</v>
      </c>
      <c r="C4" s="3">
        <v>4000000</v>
      </c>
    </row>
    <row r="5" spans="1:3" x14ac:dyDescent="0.25">
      <c r="A5" s="1" t="s">
        <v>2</v>
      </c>
      <c r="B5" s="1" t="s">
        <v>5</v>
      </c>
      <c r="C5" s="3">
        <v>750000</v>
      </c>
    </row>
    <row r="6" spans="1:3" x14ac:dyDescent="0.25">
      <c r="A6" s="1" t="s">
        <v>6</v>
      </c>
      <c r="B6" s="1" t="s">
        <v>7</v>
      </c>
      <c r="C6" s="3">
        <v>4700000</v>
      </c>
    </row>
    <row r="7" spans="1:3" x14ac:dyDescent="0.25">
      <c r="A7" s="1" t="s">
        <v>6</v>
      </c>
      <c r="B7" s="1" t="s">
        <v>8</v>
      </c>
      <c r="C7" s="3">
        <v>4000000</v>
      </c>
    </row>
    <row r="8" spans="1:3" x14ac:dyDescent="0.25">
      <c r="A8" s="1" t="s">
        <v>6</v>
      </c>
      <c r="B8" s="1" t="s">
        <v>9</v>
      </c>
      <c r="C8" s="3">
        <v>500000</v>
      </c>
    </row>
    <row r="9" spans="1:3" x14ac:dyDescent="0.25">
      <c r="A9" s="1" t="s">
        <v>6</v>
      </c>
      <c r="B9" s="1" t="s">
        <v>10</v>
      </c>
      <c r="C9" s="3">
        <v>2000000</v>
      </c>
    </row>
    <row r="10" spans="1:3" x14ac:dyDescent="0.25">
      <c r="A10" s="1" t="s">
        <v>11</v>
      </c>
      <c r="B10" s="1" t="s">
        <v>12</v>
      </c>
      <c r="C10" s="3">
        <v>2000000</v>
      </c>
    </row>
    <row r="11" spans="1:3" x14ac:dyDescent="0.25">
      <c r="A11" s="1" t="s">
        <v>11</v>
      </c>
      <c r="B11" s="1" t="s">
        <v>13</v>
      </c>
      <c r="C11" s="3">
        <v>25000000</v>
      </c>
    </row>
    <row r="12" spans="1:3" x14ac:dyDescent="0.25">
      <c r="A12" s="1" t="s">
        <v>11</v>
      </c>
      <c r="B12" s="1" t="s">
        <v>14</v>
      </c>
      <c r="C12" s="3">
        <v>2000000</v>
      </c>
    </row>
    <row r="13" spans="1:3" x14ac:dyDescent="0.25">
      <c r="A13" s="1" t="s">
        <v>11</v>
      </c>
      <c r="B13" s="1" t="s">
        <v>15</v>
      </c>
      <c r="C13" s="3">
        <v>150000</v>
      </c>
    </row>
    <row r="14" spans="1:3" x14ac:dyDescent="0.25">
      <c r="A14" s="1" t="s">
        <v>16</v>
      </c>
      <c r="B14" s="1" t="s">
        <v>17</v>
      </c>
      <c r="C14" s="3">
        <v>2000000</v>
      </c>
    </row>
    <row r="15" spans="1:3" x14ac:dyDescent="0.25">
      <c r="A15" s="1" t="s">
        <v>16</v>
      </c>
      <c r="B15" s="1" t="s">
        <v>18</v>
      </c>
      <c r="C15" s="3">
        <v>1000000</v>
      </c>
    </row>
    <row r="16" spans="1:3" x14ac:dyDescent="0.25">
      <c r="A16" s="1"/>
      <c r="B16" s="1" t="s">
        <v>19</v>
      </c>
      <c r="C16" s="3">
        <v>2000000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2:Y39"/>
  <sheetViews>
    <sheetView workbookViewId="0">
      <selection activeCell="D10" sqref="D10"/>
    </sheetView>
  </sheetViews>
  <sheetFormatPr defaultRowHeight="15" x14ac:dyDescent="0.25"/>
  <cols>
    <col min="4" max="4" width="22.42578125" bestFit="1" customWidth="1"/>
    <col min="5" max="5" width="18.42578125" customWidth="1"/>
    <col min="6" max="6" width="1.7109375" customWidth="1"/>
    <col min="7" max="7" width="23.140625" customWidth="1"/>
    <col min="8" max="8" width="17.28515625" customWidth="1"/>
    <col min="9" max="9" width="7.28515625" customWidth="1"/>
    <col min="13" max="13" width="10.42578125" bestFit="1" customWidth="1"/>
    <col min="14" max="14" width="18.140625" customWidth="1"/>
    <col min="15" max="15" width="21.28515625" customWidth="1"/>
    <col min="17" max="18" width="14" customWidth="1"/>
    <col min="20" max="20" width="19.28515625" bestFit="1" customWidth="1"/>
    <col min="22" max="22" width="14.140625" bestFit="1" customWidth="1"/>
    <col min="24" max="24" width="16.7109375" bestFit="1" customWidth="1"/>
  </cols>
  <sheetData>
    <row r="2" spans="4:25" x14ac:dyDescent="0.25">
      <c r="E2" t="s">
        <v>20</v>
      </c>
      <c r="H2" t="s">
        <v>21</v>
      </c>
      <c r="K2" t="s">
        <v>22</v>
      </c>
      <c r="M2" t="s">
        <v>23</v>
      </c>
      <c r="N2" t="s">
        <v>24</v>
      </c>
      <c r="O2" t="s">
        <v>25</v>
      </c>
      <c r="Q2" t="s">
        <v>53</v>
      </c>
      <c r="R2" t="s">
        <v>603</v>
      </c>
    </row>
    <row r="3" spans="4:25" x14ac:dyDescent="0.25">
      <c r="D3" t="s">
        <v>26</v>
      </c>
      <c r="G3" t="s">
        <v>27</v>
      </c>
      <c r="J3" t="s">
        <v>28</v>
      </c>
      <c r="M3" t="s">
        <v>29</v>
      </c>
      <c r="N3" t="s">
        <v>29</v>
      </c>
      <c r="Q3" t="s">
        <v>29</v>
      </c>
      <c r="R3">
        <v>0</v>
      </c>
    </row>
    <row r="4" spans="4:25" x14ac:dyDescent="0.25">
      <c r="D4" t="s">
        <v>29</v>
      </c>
      <c r="G4" t="s">
        <v>29</v>
      </c>
      <c r="J4" t="s">
        <v>29</v>
      </c>
      <c r="M4" t="s">
        <v>30</v>
      </c>
      <c r="N4" t="s">
        <v>31</v>
      </c>
      <c r="O4">
        <v>-25</v>
      </c>
      <c r="Q4" t="s">
        <v>598</v>
      </c>
      <c r="R4">
        <v>-100</v>
      </c>
      <c r="T4" t="s">
        <v>703</v>
      </c>
      <c r="U4">
        <v>-9</v>
      </c>
      <c r="V4" t="s">
        <v>707</v>
      </c>
      <c r="W4">
        <v>-1</v>
      </c>
      <c r="X4" t="s">
        <v>706</v>
      </c>
      <c r="Y4">
        <v>-3</v>
      </c>
    </row>
    <row r="5" spans="4:25" x14ac:dyDescent="0.25">
      <c r="D5" t="s">
        <v>32</v>
      </c>
      <c r="E5">
        <v>1</v>
      </c>
      <c r="G5">
        <v>1</v>
      </c>
      <c r="H5">
        <f t="shared" ref="H5:H10" si="0">G5*3</f>
        <v>3</v>
      </c>
      <c r="J5" t="s">
        <v>33</v>
      </c>
      <c r="K5">
        <v>1</v>
      </c>
      <c r="M5" t="s">
        <v>34</v>
      </c>
      <c r="N5" t="s">
        <v>35</v>
      </c>
      <c r="O5">
        <v>-25</v>
      </c>
      <c r="Q5" s="136" t="s">
        <v>719</v>
      </c>
      <c r="R5">
        <v>-150</v>
      </c>
      <c r="U5">
        <v>-7</v>
      </c>
      <c r="W5">
        <v>-3</v>
      </c>
      <c r="Y5">
        <v>-1</v>
      </c>
    </row>
    <row r="6" spans="4:25" x14ac:dyDescent="0.25">
      <c r="D6" t="s">
        <v>1133</v>
      </c>
      <c r="E6">
        <v>5</v>
      </c>
      <c r="G6">
        <v>2</v>
      </c>
      <c r="H6">
        <f t="shared" si="0"/>
        <v>6</v>
      </c>
      <c r="J6" t="s">
        <v>37</v>
      </c>
      <c r="K6">
        <v>3</v>
      </c>
      <c r="M6" t="s">
        <v>65</v>
      </c>
      <c r="N6" t="s">
        <v>39</v>
      </c>
      <c r="O6">
        <v>-30</v>
      </c>
      <c r="Q6" t="s">
        <v>720</v>
      </c>
      <c r="R6">
        <v>-200</v>
      </c>
      <c r="U6">
        <v>-5</v>
      </c>
      <c r="W6">
        <v>-5</v>
      </c>
      <c r="Y6">
        <v>0</v>
      </c>
    </row>
    <row r="7" spans="4:25" x14ac:dyDescent="0.25">
      <c r="D7" t="s">
        <v>36</v>
      </c>
      <c r="E7">
        <v>10</v>
      </c>
      <c r="G7">
        <v>3</v>
      </c>
      <c r="H7">
        <f t="shared" si="0"/>
        <v>9</v>
      </c>
      <c r="J7" t="s">
        <v>41</v>
      </c>
      <c r="K7">
        <v>4</v>
      </c>
      <c r="M7" t="s">
        <v>1116</v>
      </c>
      <c r="N7" t="s">
        <v>833</v>
      </c>
      <c r="O7">
        <v>15</v>
      </c>
      <c r="Q7" t="s">
        <v>832</v>
      </c>
      <c r="R7">
        <v>100</v>
      </c>
      <c r="U7">
        <v>-3</v>
      </c>
      <c r="W7">
        <v>0</v>
      </c>
    </row>
    <row r="8" spans="4:25" x14ac:dyDescent="0.25">
      <c r="D8" t="s">
        <v>688</v>
      </c>
      <c r="E8">
        <v>20</v>
      </c>
      <c r="G8">
        <v>4</v>
      </c>
      <c r="H8">
        <f t="shared" si="0"/>
        <v>12</v>
      </c>
      <c r="J8" t="s">
        <v>43</v>
      </c>
      <c r="K8">
        <f>2^4</f>
        <v>16</v>
      </c>
      <c r="M8" t="s">
        <v>38</v>
      </c>
      <c r="Q8" t="s">
        <v>814</v>
      </c>
      <c r="R8">
        <v>200</v>
      </c>
      <c r="U8">
        <v>-1</v>
      </c>
      <c r="X8" t="s">
        <v>704</v>
      </c>
      <c r="Y8">
        <v>-3</v>
      </c>
    </row>
    <row r="9" spans="4:25" x14ac:dyDescent="0.25">
      <c r="D9" t="s">
        <v>830</v>
      </c>
      <c r="E9">
        <v>10</v>
      </c>
      <c r="G9">
        <v>5</v>
      </c>
      <c r="H9">
        <f t="shared" si="0"/>
        <v>15</v>
      </c>
      <c r="J9" t="s">
        <v>45</v>
      </c>
      <c r="K9">
        <f>2^5</f>
        <v>32</v>
      </c>
      <c r="Q9" t="s">
        <v>1003</v>
      </c>
      <c r="R9">
        <v>200</v>
      </c>
      <c r="U9">
        <v>0</v>
      </c>
      <c r="Y9">
        <v>0</v>
      </c>
    </row>
    <row r="10" spans="4:25" x14ac:dyDescent="0.25">
      <c r="D10" t="s">
        <v>687</v>
      </c>
      <c r="E10">
        <v>30</v>
      </c>
      <c r="G10">
        <v>6</v>
      </c>
      <c r="H10">
        <f t="shared" si="0"/>
        <v>18</v>
      </c>
      <c r="J10" t="s">
        <v>47</v>
      </c>
      <c r="K10">
        <f>2^6</f>
        <v>64</v>
      </c>
      <c r="Q10" t="s">
        <v>816</v>
      </c>
      <c r="R10">
        <v>1000</v>
      </c>
    </row>
    <row r="11" spans="4:25" x14ac:dyDescent="0.25">
      <c r="D11" t="s">
        <v>686</v>
      </c>
      <c r="E11">
        <v>60</v>
      </c>
      <c r="G11">
        <v>7</v>
      </c>
      <c r="H11">
        <v>20</v>
      </c>
      <c r="T11" t="s">
        <v>705</v>
      </c>
      <c r="U11">
        <v>-2</v>
      </c>
      <c r="V11" t="s">
        <v>940</v>
      </c>
      <c r="W11">
        <v>-9</v>
      </c>
    </row>
    <row r="12" spans="4:25" x14ac:dyDescent="0.25">
      <c r="D12" t="s">
        <v>46</v>
      </c>
      <c r="E12">
        <v>50</v>
      </c>
      <c r="G12">
        <v>8</v>
      </c>
      <c r="H12">
        <v>20</v>
      </c>
      <c r="U12">
        <v>0</v>
      </c>
      <c r="W12">
        <v>-7</v>
      </c>
      <c r="X12" t="s">
        <v>708</v>
      </c>
      <c r="Y12">
        <v>0</v>
      </c>
    </row>
    <row r="13" spans="4:25" x14ac:dyDescent="0.25">
      <c r="G13">
        <v>9</v>
      </c>
      <c r="H13">
        <v>21</v>
      </c>
      <c r="W13">
        <v>-5</v>
      </c>
      <c r="Y13">
        <v>-3</v>
      </c>
    </row>
    <row r="14" spans="4:25" x14ac:dyDescent="0.25">
      <c r="G14">
        <v>10</v>
      </c>
      <c r="H14">
        <v>21</v>
      </c>
      <c r="W14">
        <v>-3</v>
      </c>
      <c r="Y14">
        <v>-2</v>
      </c>
    </row>
    <row r="15" spans="4:25" x14ac:dyDescent="0.25">
      <c r="G15">
        <v>11</v>
      </c>
      <c r="H15">
        <v>22</v>
      </c>
      <c r="W15">
        <v>-1</v>
      </c>
      <c r="Y15">
        <v>-1</v>
      </c>
    </row>
    <row r="16" spans="4:25" x14ac:dyDescent="0.25">
      <c r="G16">
        <v>12</v>
      </c>
      <c r="H16">
        <v>22</v>
      </c>
      <c r="W16">
        <v>0</v>
      </c>
    </row>
    <row r="17" spans="7:8" x14ac:dyDescent="0.25">
      <c r="G17">
        <v>13</v>
      </c>
      <c r="H17">
        <v>23</v>
      </c>
    </row>
    <row r="18" spans="7:8" x14ac:dyDescent="0.25">
      <c r="G18">
        <v>14</v>
      </c>
      <c r="H18">
        <v>23</v>
      </c>
    </row>
    <row r="19" spans="7:8" x14ac:dyDescent="0.25">
      <c r="G19">
        <v>15</v>
      </c>
      <c r="H19">
        <v>24</v>
      </c>
    </row>
    <row r="20" spans="7:8" x14ac:dyDescent="0.25">
      <c r="G20">
        <v>16</v>
      </c>
      <c r="H20">
        <v>24</v>
      </c>
    </row>
    <row r="21" spans="7:8" x14ac:dyDescent="0.25">
      <c r="G21">
        <v>17</v>
      </c>
      <c r="H21">
        <v>25</v>
      </c>
    </row>
    <row r="22" spans="7:8" x14ac:dyDescent="0.25">
      <c r="G22">
        <v>18</v>
      </c>
      <c r="H22">
        <v>25</v>
      </c>
    </row>
    <row r="23" spans="7:8" x14ac:dyDescent="0.25">
      <c r="G23">
        <v>19</v>
      </c>
      <c r="H23">
        <v>26</v>
      </c>
    </row>
    <row r="24" spans="7:8" x14ac:dyDescent="0.25">
      <c r="G24">
        <v>20</v>
      </c>
      <c r="H24">
        <v>26</v>
      </c>
    </row>
    <row r="25" spans="7:8" x14ac:dyDescent="0.25">
      <c r="G25">
        <v>21</v>
      </c>
      <c r="H25">
        <v>27</v>
      </c>
    </row>
    <row r="26" spans="7:8" x14ac:dyDescent="0.25">
      <c r="G26">
        <v>22</v>
      </c>
      <c r="H26">
        <v>27</v>
      </c>
    </row>
    <row r="27" spans="7:8" x14ac:dyDescent="0.25">
      <c r="G27">
        <v>23</v>
      </c>
      <c r="H27">
        <v>28</v>
      </c>
    </row>
    <row r="28" spans="7:8" x14ac:dyDescent="0.25">
      <c r="G28">
        <v>24</v>
      </c>
      <c r="H28">
        <v>28</v>
      </c>
    </row>
    <row r="29" spans="7:8" x14ac:dyDescent="0.25">
      <c r="G29">
        <v>25</v>
      </c>
      <c r="H29">
        <v>29</v>
      </c>
    </row>
    <row r="30" spans="7:8" x14ac:dyDescent="0.25">
      <c r="G30">
        <v>26</v>
      </c>
      <c r="H30">
        <v>29</v>
      </c>
    </row>
    <row r="31" spans="7:8" x14ac:dyDescent="0.25">
      <c r="G31">
        <v>27</v>
      </c>
      <c r="H31">
        <v>30</v>
      </c>
    </row>
    <row r="32" spans="7:8" x14ac:dyDescent="0.25">
      <c r="G32">
        <v>28</v>
      </c>
      <c r="H32">
        <v>30</v>
      </c>
    </row>
    <row r="33" spans="7:8" x14ac:dyDescent="0.25">
      <c r="G33">
        <v>29</v>
      </c>
      <c r="H33">
        <v>31</v>
      </c>
    </row>
    <row r="34" spans="7:8" x14ac:dyDescent="0.25">
      <c r="G34">
        <v>30</v>
      </c>
      <c r="H34">
        <v>31</v>
      </c>
    </row>
    <row r="35" spans="7:8" x14ac:dyDescent="0.25">
      <c r="G35">
        <v>31</v>
      </c>
      <c r="H35">
        <v>32</v>
      </c>
    </row>
    <row r="36" spans="7:8" x14ac:dyDescent="0.25">
      <c r="G36">
        <v>32</v>
      </c>
      <c r="H36">
        <v>32</v>
      </c>
    </row>
    <row r="37" spans="7:8" x14ac:dyDescent="0.25">
      <c r="G37">
        <v>33</v>
      </c>
      <c r="H37">
        <v>33</v>
      </c>
    </row>
    <row r="38" spans="7:8" x14ac:dyDescent="0.25">
      <c r="G38">
        <v>34</v>
      </c>
      <c r="H38">
        <v>33</v>
      </c>
    </row>
    <row r="39" spans="7:8" x14ac:dyDescent="0.25">
      <c r="G39">
        <v>35</v>
      </c>
      <c r="H39">
        <v>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4" tint="0.59999389629810485"/>
    <pageSetUpPr fitToPage="1"/>
  </sheetPr>
  <dimension ref="A1:BAX260"/>
  <sheetViews>
    <sheetView tabSelected="1" zoomScale="115" zoomScaleNormal="115" zoomScaleSheetLayoutView="80" workbookViewId="0">
      <pane xSplit="5" ySplit="1" topLeftCell="F248" activePane="bottomRight" state="frozen"/>
      <selection pane="topRight" activeCell="E1" sqref="E1"/>
      <selection pane="bottomLeft" activeCell="A2" sqref="A2"/>
      <selection pane="bottomRight" activeCell="E247" sqref="E247"/>
    </sheetView>
  </sheetViews>
  <sheetFormatPr defaultColWidth="9.140625" defaultRowHeight="15" x14ac:dyDescent="0.25"/>
  <cols>
    <col min="1" max="1" width="5" style="145" customWidth="1"/>
    <col min="2" max="2" width="27.7109375" style="234" customWidth="1"/>
    <col min="3" max="3" width="25.85546875" style="1" customWidth="1"/>
    <col min="4" max="4" width="40.28515625" style="38" customWidth="1"/>
    <col min="5" max="5" width="28.5703125" style="38" customWidth="1"/>
    <col min="6" max="6" width="33.42578125" style="3" customWidth="1"/>
    <col min="7" max="7" width="12.28515625" style="3" hidden="1" customWidth="1"/>
    <col min="8" max="9" width="12.42578125" style="3" hidden="1" customWidth="1"/>
    <col min="10" max="10" width="12.85546875" style="3" hidden="1" customWidth="1"/>
    <col min="11" max="11" width="20.42578125" style="3" hidden="1" customWidth="1"/>
    <col min="12" max="13" width="14.28515625" style="3" hidden="1" customWidth="1"/>
    <col min="14" max="14" width="19" style="143" hidden="1" customWidth="1"/>
    <col min="15" max="15" width="18.85546875" style="42" customWidth="1"/>
    <col min="16" max="16" width="15.140625" style="43" customWidth="1"/>
    <col min="17" max="17" width="24.5703125" style="38" customWidth="1"/>
    <col min="18" max="18" width="14.7109375" style="40" hidden="1" customWidth="1"/>
    <col min="19" max="19" width="15.7109375" style="8" customWidth="1"/>
    <col min="20" max="20" width="14.7109375" style="8" hidden="1" customWidth="1"/>
    <col min="21" max="21" width="12.85546875" style="8" customWidth="1"/>
    <col min="22" max="23" width="14.7109375" style="8" hidden="1" customWidth="1"/>
    <col min="24" max="26" width="14.7109375" style="148" hidden="1" customWidth="1"/>
    <col min="27" max="27" width="16.5703125" style="148" hidden="1" customWidth="1"/>
    <col min="28" max="30" width="14.7109375" style="148" hidden="1" customWidth="1"/>
    <col min="31" max="31" width="14.7109375" style="235" hidden="1" customWidth="1"/>
    <col min="32" max="32" width="13.28515625" style="8" hidden="1" customWidth="1"/>
    <col min="33" max="33" width="14.7109375" style="8" hidden="1" customWidth="1"/>
    <col min="34" max="34" width="18.7109375" style="322" hidden="1" customWidth="1"/>
    <col min="35" max="38" width="13" style="51" hidden="1" customWidth="1"/>
    <col min="39" max="39" width="13.85546875" style="51" hidden="1" customWidth="1"/>
    <col min="40" max="40" width="34.28515625" style="9" hidden="1" customWidth="1"/>
    <col min="41" max="41" width="14.28515625" style="48" customWidth="1"/>
    <col min="42" max="67" width="9.140625" style="48"/>
  </cols>
  <sheetData>
    <row r="1" spans="1:1402" ht="46.5" customHeight="1" x14ac:dyDescent="0.25">
      <c r="A1" s="145" t="s">
        <v>48</v>
      </c>
      <c r="B1" s="4" t="s">
        <v>49</v>
      </c>
      <c r="C1" s="4" t="s">
        <v>1193</v>
      </c>
      <c r="D1" s="5" t="s">
        <v>50</v>
      </c>
      <c r="E1" s="5" t="s">
        <v>51</v>
      </c>
      <c r="F1" s="5" t="s">
        <v>52</v>
      </c>
      <c r="G1" s="5" t="s">
        <v>53</v>
      </c>
      <c r="H1" s="5" t="s">
        <v>645</v>
      </c>
      <c r="I1" s="139" t="s">
        <v>736</v>
      </c>
      <c r="J1" s="139" t="s">
        <v>730</v>
      </c>
      <c r="K1" s="139" t="s">
        <v>741</v>
      </c>
      <c r="L1" s="139" t="s">
        <v>738</v>
      </c>
      <c r="M1" s="139" t="s">
        <v>739</v>
      </c>
      <c r="N1" s="139" t="s">
        <v>737</v>
      </c>
      <c r="O1" s="6" t="s">
        <v>731</v>
      </c>
      <c r="P1" s="6" t="s">
        <v>55</v>
      </c>
      <c r="Q1" s="4" t="s">
        <v>26</v>
      </c>
      <c r="R1" s="81" t="s">
        <v>56</v>
      </c>
      <c r="S1" s="4" t="s">
        <v>27</v>
      </c>
      <c r="T1" s="4" t="s">
        <v>57</v>
      </c>
      <c r="U1" s="4" t="s">
        <v>28</v>
      </c>
      <c r="V1" s="7" t="s">
        <v>58</v>
      </c>
      <c r="W1" s="7" t="s">
        <v>23</v>
      </c>
      <c r="X1" s="4" t="s">
        <v>938</v>
      </c>
      <c r="Y1" s="4" t="s">
        <v>707</v>
      </c>
      <c r="Z1" s="4" t="s">
        <v>706</v>
      </c>
      <c r="AA1" s="4" t="s">
        <v>939</v>
      </c>
      <c r="AB1" s="4" t="s">
        <v>705</v>
      </c>
      <c r="AC1" s="4" t="s">
        <v>940</v>
      </c>
      <c r="AD1" s="4" t="s">
        <v>708</v>
      </c>
      <c r="AE1" s="4" t="s">
        <v>1049</v>
      </c>
      <c r="AF1" s="4" t="s">
        <v>24</v>
      </c>
      <c r="AG1" s="8" t="s">
        <v>25</v>
      </c>
      <c r="AH1" s="320" t="s">
        <v>685</v>
      </c>
      <c r="AI1" s="138" t="s">
        <v>714</v>
      </c>
      <c r="AJ1" s="289" t="s">
        <v>1029</v>
      </c>
      <c r="AK1" s="289" t="s">
        <v>1030</v>
      </c>
      <c r="AL1" s="289" t="s">
        <v>1050</v>
      </c>
      <c r="AM1" s="289" t="s">
        <v>1051</v>
      </c>
      <c r="AN1" s="289" t="s">
        <v>1148</v>
      </c>
    </row>
    <row r="2" spans="1:1402" s="141" customFormat="1" ht="45" hidden="1" x14ac:dyDescent="0.25">
      <c r="A2" s="198">
        <v>1</v>
      </c>
      <c r="B2" s="308" t="s">
        <v>1207</v>
      </c>
      <c r="C2" s="262" t="s">
        <v>72</v>
      </c>
      <c r="D2" s="308" t="s">
        <v>1008</v>
      </c>
      <c r="E2" s="308" t="s">
        <v>1009</v>
      </c>
      <c r="F2" s="263" t="s">
        <v>1010</v>
      </c>
      <c r="G2" s="308" t="s">
        <v>816</v>
      </c>
      <c r="H2" s="272">
        <f t="shared" ref="H2:H33" si="0">VLOOKUP(G2,Status_Score,2,FALSE)</f>
        <v>1000</v>
      </c>
      <c r="I2" s="263">
        <v>500000</v>
      </c>
      <c r="J2" s="263">
        <f>282000+2698</f>
        <v>284698</v>
      </c>
      <c r="K2" s="263">
        <f>Master20[[#This Row],[Initial Budget]]-Master20[[#This Row],[Previously Committed Funds]]</f>
        <v>215302</v>
      </c>
      <c r="L2" s="263"/>
      <c r="M2" s="263">
        <v>-115000</v>
      </c>
      <c r="N2" s="268">
        <f>Master20[[#This Row],[Design $ (Add/Deduct)]]+Master20[[#This Row],[Construction $ (Add/Ded)]]</f>
        <v>-115000</v>
      </c>
      <c r="O2" s="266">
        <v>500000</v>
      </c>
      <c r="P2" s="311">
        <v>2021</v>
      </c>
      <c r="Q2" s="262" t="s">
        <v>32</v>
      </c>
      <c r="R2" s="267">
        <f>VLOOKUP(Q2,Importance,2,FALSE)</f>
        <v>1</v>
      </c>
      <c r="S2" s="309">
        <v>1</v>
      </c>
      <c r="T2" s="265">
        <f t="shared" ref="T2:T35" si="1">VLOOKUP(S2,Department,2,FALSE)</f>
        <v>3</v>
      </c>
      <c r="U2" s="309" t="s">
        <v>33</v>
      </c>
      <c r="V2" s="265">
        <f t="shared" ref="V2:V35" si="2">VLOOKUP(U2,Urgency,2,FALSE)</f>
        <v>1</v>
      </c>
      <c r="W2" s="265" t="s">
        <v>30</v>
      </c>
      <c r="X2" s="265">
        <v>0</v>
      </c>
      <c r="Y2" s="265">
        <v>0</v>
      </c>
      <c r="Z2" s="265">
        <v>-3</v>
      </c>
      <c r="AA2" s="265">
        <v>0</v>
      </c>
      <c r="AB2" s="265">
        <v>0</v>
      </c>
      <c r="AC2" s="265">
        <v>0</v>
      </c>
      <c r="AD2" s="265">
        <v>-3</v>
      </c>
      <c r="AE2" s="265"/>
      <c r="AF2" s="264" t="s">
        <v>29</v>
      </c>
      <c r="AG2" s="267">
        <f>VLOOKUP(Master20[[#This Row],[Elevated Priority]],Epriority,2,)</f>
        <v>0</v>
      </c>
      <c r="AH2" s="321">
        <f>IF(Master20[[#This Row],[Status]]="Active",Master20[[#This Row],[Status_Score]],IF(D2="","",R2+H2+T2+V2+AG2+AE2+Master20[[#This Row],[Risk Mitigation]]+Master20[[#This Row],[Master Plan]]+Master20[[#This Row],[Community Request]]+Master20[[#This Row],[Community need]]+Master20[[#This Row],[Offset Aging Inf.]]+Master20[[#This Row],[Energy Savings]]+Master20[[#This Row],[Gen Revenue]]-5))</f>
        <v>994</v>
      </c>
      <c r="AI2" s="265" t="s">
        <v>754</v>
      </c>
      <c r="AJ2" s="265">
        <v>2020</v>
      </c>
      <c r="AK2" s="265">
        <v>2021</v>
      </c>
      <c r="AL2" s="265">
        <v>2020</v>
      </c>
      <c r="AM2" s="265">
        <v>2021</v>
      </c>
      <c r="AN2" s="308" t="s">
        <v>1154</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row>
    <row r="3" spans="1:1402" s="141" customFormat="1" ht="30" hidden="1" x14ac:dyDescent="0.25">
      <c r="A3" s="198">
        <f t="shared" ref="A3:A66" si="3">A2+1</f>
        <v>2</v>
      </c>
      <c r="B3" s="308" t="s">
        <v>70</v>
      </c>
      <c r="C3" s="308" t="s">
        <v>1045</v>
      </c>
      <c r="D3" s="308" t="s">
        <v>744</v>
      </c>
      <c r="E3" s="308" t="s">
        <v>856</v>
      </c>
      <c r="F3" s="308" t="s">
        <v>857</v>
      </c>
      <c r="G3" s="308" t="s">
        <v>720</v>
      </c>
      <c r="H3" s="308">
        <f t="shared" si="0"/>
        <v>-200</v>
      </c>
      <c r="I3" s="263">
        <v>1501506</v>
      </c>
      <c r="J3" s="263">
        <f>356238+29680</f>
        <v>385918</v>
      </c>
      <c r="K3" s="263">
        <f>Master20[[#This Row],[Initial Budget]]-Master20[[#This Row],[Previously Committed Funds]]</f>
        <v>1115588</v>
      </c>
      <c r="L3" s="263"/>
      <c r="M3" s="263"/>
      <c r="N3" s="268">
        <f>Master20[[#This Row],[Design $ (Add/Deduct)]]+Master20[[#This Row],[Construction $ (Add/Ded)]]</f>
        <v>0</v>
      </c>
      <c r="O3" s="266">
        <v>2500000</v>
      </c>
      <c r="P3" s="311">
        <v>2018</v>
      </c>
      <c r="Q3" s="308" t="s">
        <v>1133</v>
      </c>
      <c r="R3" s="311">
        <f>VLOOKUP(Q3,Importance, 2, FALSE)</f>
        <v>5</v>
      </c>
      <c r="S3" s="310">
        <v>1</v>
      </c>
      <c r="T3" s="310">
        <f t="shared" si="1"/>
        <v>3</v>
      </c>
      <c r="U3" s="310" t="s">
        <v>41</v>
      </c>
      <c r="V3" s="310">
        <f t="shared" si="2"/>
        <v>4</v>
      </c>
      <c r="W3" s="310" t="s">
        <v>38</v>
      </c>
      <c r="X3" s="310">
        <v>0</v>
      </c>
      <c r="Y3" s="310">
        <v>0</v>
      </c>
      <c r="Z3" s="310">
        <v>0</v>
      </c>
      <c r="AA3" s="310">
        <v>0</v>
      </c>
      <c r="AB3" s="310">
        <v>0</v>
      </c>
      <c r="AC3" s="310">
        <v>0</v>
      </c>
      <c r="AD3" s="310">
        <v>0</v>
      </c>
      <c r="AE3" s="310"/>
      <c r="AF3" s="309" t="s">
        <v>29</v>
      </c>
      <c r="AG3" s="311">
        <f>VLOOKUP(Master20[[#This Row],[Elevated Priority]],Epriority,2,)</f>
        <v>0</v>
      </c>
      <c r="AH3" s="321">
        <f>IF(Master20[[#This Row],[Status]]="Active",Master20[[#This Row],[Status_Score]],IF(D3="","",R3+H3+T3+V3+AG3+AE3+Master20[[#This Row],[Risk Mitigation]]+Master20[[#This Row],[Master Plan]]+Master20[[#This Row],[Community Request]]+Master20[[#This Row],[Community need]]+Master20[[#This Row],[Offset Aging Inf.]]+Master20[[#This Row],[Energy Savings]]+Master20[[#This Row],[Gen Revenue]]-5))</f>
        <v>-193</v>
      </c>
      <c r="AI3" s="310" t="s">
        <v>716</v>
      </c>
      <c r="AJ3" s="265">
        <v>2017</v>
      </c>
      <c r="AK3" s="265">
        <v>2021</v>
      </c>
      <c r="AL3" s="265">
        <v>2017</v>
      </c>
      <c r="AM3" s="265">
        <v>2022</v>
      </c>
      <c r="AN3" s="308" t="s">
        <v>1155</v>
      </c>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row>
    <row r="4" spans="1:1402" s="141" customFormat="1" ht="30" hidden="1" x14ac:dyDescent="0.25">
      <c r="A4" s="307">
        <f t="shared" si="3"/>
        <v>3</v>
      </c>
      <c r="B4" s="308" t="s">
        <v>94</v>
      </c>
      <c r="C4" s="308" t="s">
        <v>1045</v>
      </c>
      <c r="D4" s="308" t="s">
        <v>267</v>
      </c>
      <c r="E4" s="308" t="s">
        <v>268</v>
      </c>
      <c r="F4" s="308" t="s">
        <v>269</v>
      </c>
      <c r="G4" s="308" t="s">
        <v>720</v>
      </c>
      <c r="H4" s="308">
        <f t="shared" si="0"/>
        <v>-200</v>
      </c>
      <c r="I4" s="263">
        <v>75000</v>
      </c>
      <c r="J4" s="263">
        <v>54090</v>
      </c>
      <c r="K4" s="263">
        <f>Master20[[#This Row],[Initial Budget]]-Master20[[#This Row],[Previously Committed Funds]]</f>
        <v>20910</v>
      </c>
      <c r="L4" s="263"/>
      <c r="M4" s="263">
        <v>650000</v>
      </c>
      <c r="N4" s="268">
        <f>Master20[[#This Row],[Design $ (Add/Deduct)]]+Master20[[#This Row],[Construction $ (Add/Ded)]]</f>
        <v>650000</v>
      </c>
      <c r="O4" s="266">
        <v>650000</v>
      </c>
      <c r="P4" s="311">
        <v>2018</v>
      </c>
      <c r="Q4" s="262" t="s">
        <v>36</v>
      </c>
      <c r="R4" s="267">
        <f t="shared" ref="R4:R9" si="4">VLOOKUP(Q4,Importance,2,FALSE)</f>
        <v>10</v>
      </c>
      <c r="S4" s="265">
        <v>3</v>
      </c>
      <c r="T4" s="265">
        <f t="shared" si="1"/>
        <v>9</v>
      </c>
      <c r="U4" s="265" t="s">
        <v>33</v>
      </c>
      <c r="V4" s="265">
        <f t="shared" si="2"/>
        <v>1</v>
      </c>
      <c r="W4" s="265" t="s">
        <v>30</v>
      </c>
      <c r="X4" s="302">
        <v>0</v>
      </c>
      <c r="Y4" s="302">
        <v>0</v>
      </c>
      <c r="Z4" s="302">
        <v>0</v>
      </c>
      <c r="AA4" s="302">
        <v>0</v>
      </c>
      <c r="AB4" s="302">
        <v>0</v>
      </c>
      <c r="AC4" s="302">
        <v>0</v>
      </c>
      <c r="AD4" s="302">
        <v>0</v>
      </c>
      <c r="AE4" s="302"/>
      <c r="AF4" s="303" t="s">
        <v>29</v>
      </c>
      <c r="AG4" s="305">
        <f>VLOOKUP(Master20[[#This Row],[Elevated Priority]],Epriority,2,)</f>
        <v>0</v>
      </c>
      <c r="AH4" s="321">
        <f>IF(Master20[[#This Row],[Status]]="Active",Master20[[#This Row],[Status_Score]],IF(D4="","",R4+H4+T4+V4+AG4+AE4+Master20[[#This Row],[Risk Mitigation]]+Master20[[#This Row],[Master Plan]]+Master20[[#This Row],[Community Request]]+Master20[[#This Row],[Community need]]+Master20[[#This Row],[Offset Aging Inf.]]+Master20[[#This Row],[Energy Savings]]+Master20[[#This Row],[Gen Revenue]]-5))</f>
        <v>-185</v>
      </c>
      <c r="AI4" s="299" t="s">
        <v>716</v>
      </c>
      <c r="AJ4" s="310">
        <v>2021</v>
      </c>
      <c r="AK4" s="310">
        <v>2022</v>
      </c>
      <c r="AL4" s="310">
        <v>2021</v>
      </c>
      <c r="AM4" s="310">
        <v>2022</v>
      </c>
      <c r="AN4" s="308" t="s">
        <v>1162</v>
      </c>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5" spans="1:1402" s="141" customFormat="1" ht="30" hidden="1" x14ac:dyDescent="0.25">
      <c r="A5" s="307">
        <f t="shared" si="3"/>
        <v>4</v>
      </c>
      <c r="B5" s="308" t="s">
        <v>1206</v>
      </c>
      <c r="C5" s="308" t="s">
        <v>79</v>
      </c>
      <c r="D5" s="262" t="s">
        <v>1004</v>
      </c>
      <c r="E5" s="262" t="s">
        <v>776</v>
      </c>
      <c r="F5" s="262" t="s">
        <v>800</v>
      </c>
      <c r="G5" s="262" t="s">
        <v>720</v>
      </c>
      <c r="H5" s="262">
        <f t="shared" si="0"/>
        <v>-200</v>
      </c>
      <c r="I5" s="263">
        <f>836791</f>
        <v>836791</v>
      </c>
      <c r="J5" s="263">
        <v>675791</v>
      </c>
      <c r="K5" s="263">
        <f>Master20[[#This Row],[Initial Budget]]-Master20[[#This Row],[Previously Committed Funds]]</f>
        <v>161000</v>
      </c>
      <c r="L5" s="263"/>
      <c r="M5" s="263"/>
      <c r="N5" s="268">
        <f>Master20[[#This Row],[Design $ (Add/Deduct)]]+Master20[[#This Row],[Construction $ (Add/Ded)]]</f>
        <v>0</v>
      </c>
      <c r="O5" s="266">
        <v>850000</v>
      </c>
      <c r="P5" s="311">
        <v>2020</v>
      </c>
      <c r="Q5" s="262" t="s">
        <v>688</v>
      </c>
      <c r="R5" s="267">
        <f t="shared" si="4"/>
        <v>20</v>
      </c>
      <c r="S5" s="265">
        <v>1</v>
      </c>
      <c r="T5" s="265">
        <f t="shared" si="1"/>
        <v>3</v>
      </c>
      <c r="U5" s="265" t="s">
        <v>37</v>
      </c>
      <c r="V5" s="265">
        <f t="shared" si="2"/>
        <v>3</v>
      </c>
      <c r="W5" s="265" t="s">
        <v>34</v>
      </c>
      <c r="X5" s="265">
        <v>0</v>
      </c>
      <c r="Y5" s="310">
        <v>0</v>
      </c>
      <c r="Z5" s="310">
        <v>-3</v>
      </c>
      <c r="AA5" s="310">
        <v>0</v>
      </c>
      <c r="AB5" s="310">
        <v>0</v>
      </c>
      <c r="AC5" s="310">
        <v>0</v>
      </c>
      <c r="AD5" s="310">
        <v>-3</v>
      </c>
      <c r="AE5" s="310"/>
      <c r="AF5" s="309" t="s">
        <v>29</v>
      </c>
      <c r="AG5" s="311">
        <f>VLOOKUP(Master20[[#This Row],[Elevated Priority]],Epriority,2,)</f>
        <v>0</v>
      </c>
      <c r="AH5" s="321">
        <f>IF(Master20[[#This Row],[Status]]="Active",Master20[[#This Row],[Status_Score]],IF(D5="","",R5+H5+T5+V5+AG5+AE5+Master20[[#This Row],[Risk Mitigation]]+Master20[[#This Row],[Master Plan]]+Master20[[#This Row],[Community Request]]+Master20[[#This Row],[Community need]]+Master20[[#This Row],[Offset Aging Inf.]]+Master20[[#This Row],[Energy Savings]]+Master20[[#This Row],[Gen Revenue]]-5))</f>
        <v>-185</v>
      </c>
      <c r="AI5" s="310" t="s">
        <v>716</v>
      </c>
      <c r="AJ5" s="310">
        <v>2020</v>
      </c>
      <c r="AK5" s="310">
        <v>2021</v>
      </c>
      <c r="AL5" s="310">
        <v>2020</v>
      </c>
      <c r="AM5" s="310">
        <v>2022</v>
      </c>
      <c r="AN5" s="308" t="s">
        <v>1163</v>
      </c>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row>
    <row r="6" spans="1:1402" s="141" customFormat="1" ht="107.25" hidden="1" customHeight="1" x14ac:dyDescent="0.25">
      <c r="A6" s="307">
        <f t="shared" si="3"/>
        <v>5</v>
      </c>
      <c r="B6" s="308" t="s">
        <v>67</v>
      </c>
      <c r="C6" s="308" t="s">
        <v>1198</v>
      </c>
      <c r="D6" s="181" t="s">
        <v>262</v>
      </c>
      <c r="E6" s="181" t="s">
        <v>884</v>
      </c>
      <c r="F6" s="262" t="s">
        <v>885</v>
      </c>
      <c r="G6" s="262" t="s">
        <v>720</v>
      </c>
      <c r="H6" s="308">
        <f t="shared" si="0"/>
        <v>-200</v>
      </c>
      <c r="I6" s="263">
        <v>731290</v>
      </c>
      <c r="J6" s="263">
        <f>658856+48200</f>
        <v>707056</v>
      </c>
      <c r="K6" s="263">
        <f>Master20[[#This Row],[Initial Budget]]-Master20[[#This Row],[Previously Committed Funds]]</f>
        <v>24234</v>
      </c>
      <c r="L6" s="263"/>
      <c r="M6" s="263"/>
      <c r="N6" s="268">
        <f>Master20[[#This Row],[Design $ (Add/Deduct)]]+Master20[[#This Row],[Construction $ (Add/Ded)]]</f>
        <v>0</v>
      </c>
      <c r="O6" s="266">
        <v>730000</v>
      </c>
      <c r="P6" s="267">
        <v>2018</v>
      </c>
      <c r="Q6" s="181" t="s">
        <v>830</v>
      </c>
      <c r="R6" s="267">
        <f t="shared" si="4"/>
        <v>10</v>
      </c>
      <c r="S6" s="265">
        <v>3</v>
      </c>
      <c r="T6" s="265">
        <f t="shared" si="1"/>
        <v>9</v>
      </c>
      <c r="U6" s="265" t="s">
        <v>33</v>
      </c>
      <c r="V6" s="265">
        <f t="shared" si="2"/>
        <v>1</v>
      </c>
      <c r="W6" s="265" t="s">
        <v>30</v>
      </c>
      <c r="X6" s="310">
        <v>0</v>
      </c>
      <c r="Y6" s="310">
        <v>0</v>
      </c>
      <c r="Z6" s="310">
        <v>0</v>
      </c>
      <c r="AA6" s="310">
        <v>0</v>
      </c>
      <c r="AB6" s="310">
        <v>0</v>
      </c>
      <c r="AC6" s="310">
        <v>0</v>
      </c>
      <c r="AD6" s="310">
        <v>0</v>
      </c>
      <c r="AE6" s="310"/>
      <c r="AF6" s="309" t="s">
        <v>29</v>
      </c>
      <c r="AG6" s="311">
        <f>VLOOKUP(Master20[[#This Row],[Elevated Priority]],Epriority,2,)</f>
        <v>0</v>
      </c>
      <c r="AH6" s="321">
        <f>IF(Master20[[#This Row],[Status]]="Active",Master20[[#This Row],[Status_Score]],IF(D6="","",R6+H6+T6+V6+AG6+AE6+Master20[[#This Row],[Risk Mitigation]]+Master20[[#This Row],[Master Plan]]+Master20[[#This Row],[Community Request]]+Master20[[#This Row],[Community need]]+Master20[[#This Row],[Offset Aging Inf.]]+Master20[[#This Row],[Energy Savings]]+Master20[[#This Row],[Gen Revenue]]-5))</f>
        <v>-185</v>
      </c>
      <c r="AI6" s="310" t="s">
        <v>1052</v>
      </c>
      <c r="AJ6" s="310">
        <v>2021</v>
      </c>
      <c r="AK6" s="310">
        <v>2022</v>
      </c>
      <c r="AL6" s="310">
        <v>2021</v>
      </c>
      <c r="AM6" s="310">
        <v>2021</v>
      </c>
      <c r="AN6" s="308" t="s">
        <v>1164</v>
      </c>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row>
    <row r="7" spans="1:1402" s="141" customFormat="1" ht="30" hidden="1" x14ac:dyDescent="0.25">
      <c r="A7" s="307">
        <f t="shared" si="3"/>
        <v>6</v>
      </c>
      <c r="B7" s="308" t="s">
        <v>1194</v>
      </c>
      <c r="C7" s="308" t="s">
        <v>1045</v>
      </c>
      <c r="D7" s="181" t="s">
        <v>1046</v>
      </c>
      <c r="E7" s="181" t="s">
        <v>1047</v>
      </c>
      <c r="F7" s="308" t="s">
        <v>1048</v>
      </c>
      <c r="G7" s="262" t="s">
        <v>720</v>
      </c>
      <c r="H7" s="272">
        <f t="shared" si="0"/>
        <v>-200</v>
      </c>
      <c r="I7" s="263">
        <v>250000</v>
      </c>
      <c r="J7" s="263"/>
      <c r="K7" s="263">
        <f>Master20[[#This Row],[Initial Budget]]-Master20[[#This Row],[Previously Committed Funds]]</f>
        <v>250000</v>
      </c>
      <c r="L7" s="263"/>
      <c r="M7" s="263">
        <v>-150000</v>
      </c>
      <c r="N7" s="268">
        <f>Master20[[#This Row],[Design $ (Add/Deduct)]]+Master20[[#This Row],[Construction $ (Add/Ded)]]</f>
        <v>-150000</v>
      </c>
      <c r="O7" s="266">
        <v>250000</v>
      </c>
      <c r="P7" s="267">
        <v>2020</v>
      </c>
      <c r="Q7" s="181" t="s">
        <v>686</v>
      </c>
      <c r="R7" s="267">
        <f t="shared" si="4"/>
        <v>60</v>
      </c>
      <c r="S7" s="310">
        <v>17</v>
      </c>
      <c r="T7" s="265">
        <f t="shared" si="1"/>
        <v>25</v>
      </c>
      <c r="U7" s="310" t="s">
        <v>37</v>
      </c>
      <c r="V7" s="265">
        <f t="shared" si="2"/>
        <v>3</v>
      </c>
      <c r="W7" s="265" t="s">
        <v>34</v>
      </c>
      <c r="X7" s="310">
        <v>-1</v>
      </c>
      <c r="Y7" s="302">
        <v>0</v>
      </c>
      <c r="Z7" s="302">
        <v>0</v>
      </c>
      <c r="AA7" s="302">
        <v>-3</v>
      </c>
      <c r="AB7" s="302">
        <v>0</v>
      </c>
      <c r="AC7" s="302">
        <v>-3</v>
      </c>
      <c r="AD7" s="302">
        <v>0</v>
      </c>
      <c r="AE7" s="302">
        <v>-57</v>
      </c>
      <c r="AF7" s="303" t="s">
        <v>29</v>
      </c>
      <c r="AG7" s="305">
        <f>VLOOKUP(Master20[[#This Row],[Elevated Priority]],Epriority,2,)</f>
        <v>0</v>
      </c>
      <c r="AH7" s="321">
        <f>IF(Master20[[#This Row],[Status]]="Active",Master20[[#This Row],[Status_Score]],IF(D7="","",R7+H7+T7+V7+AG7+AE7+Master20[[#This Row],[Risk Mitigation]]+Master20[[#This Row],[Master Plan]]+Master20[[#This Row],[Community Request]]+Master20[[#This Row],[Community need]]+Master20[[#This Row],[Offset Aging Inf.]]+Master20[[#This Row],[Energy Savings]]+Master20[[#This Row],[Gen Revenue]]-5))</f>
        <v>-181</v>
      </c>
      <c r="AI7" s="302" t="s">
        <v>718</v>
      </c>
      <c r="AJ7" s="310">
        <v>2020</v>
      </c>
      <c r="AK7" s="310">
        <v>2021</v>
      </c>
      <c r="AL7" s="310">
        <v>2020</v>
      </c>
      <c r="AM7" s="310">
        <v>2022</v>
      </c>
      <c r="AN7" s="308" t="s">
        <v>1165</v>
      </c>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row>
    <row r="8" spans="1:1402" s="141" customFormat="1" ht="60" hidden="1" x14ac:dyDescent="0.25">
      <c r="A8" s="307">
        <f t="shared" si="3"/>
        <v>7</v>
      </c>
      <c r="B8" s="308" t="s">
        <v>1196</v>
      </c>
      <c r="C8" s="308" t="s">
        <v>1045</v>
      </c>
      <c r="D8" s="308" t="s">
        <v>185</v>
      </c>
      <c r="E8" s="308" t="s">
        <v>1027</v>
      </c>
      <c r="F8" s="308" t="s">
        <v>1028</v>
      </c>
      <c r="G8" s="262" t="s">
        <v>720</v>
      </c>
      <c r="H8" s="262">
        <f t="shared" si="0"/>
        <v>-200</v>
      </c>
      <c r="I8" s="263">
        <v>250000</v>
      </c>
      <c r="J8" s="263">
        <v>33968</v>
      </c>
      <c r="K8" s="263">
        <f>Master20[[#This Row],[Initial Budget]]-Master20[[#This Row],[Previously Committed Funds]]</f>
        <v>216032</v>
      </c>
      <c r="L8" s="263">
        <v>0</v>
      </c>
      <c r="M8" s="263">
        <v>0</v>
      </c>
      <c r="N8" s="268">
        <v>0</v>
      </c>
      <c r="O8" s="263">
        <v>250000</v>
      </c>
      <c r="P8" s="267">
        <v>2018</v>
      </c>
      <c r="Q8" s="262" t="s">
        <v>688</v>
      </c>
      <c r="R8" s="267">
        <f t="shared" si="4"/>
        <v>20</v>
      </c>
      <c r="S8" s="265">
        <v>1</v>
      </c>
      <c r="T8" s="265">
        <f t="shared" si="1"/>
        <v>3</v>
      </c>
      <c r="U8" s="265" t="s">
        <v>37</v>
      </c>
      <c r="V8" s="265">
        <f t="shared" si="2"/>
        <v>3</v>
      </c>
      <c r="W8" s="265" t="s">
        <v>30</v>
      </c>
      <c r="X8" s="302">
        <v>0</v>
      </c>
      <c r="Y8" s="310">
        <v>0</v>
      </c>
      <c r="Z8" s="310">
        <v>0</v>
      </c>
      <c r="AA8" s="310">
        <v>0</v>
      </c>
      <c r="AB8" s="310">
        <v>0</v>
      </c>
      <c r="AC8" s="310">
        <v>0</v>
      </c>
      <c r="AD8" s="310">
        <v>0</v>
      </c>
      <c r="AE8" s="310"/>
      <c r="AF8" s="309" t="s">
        <v>29</v>
      </c>
      <c r="AG8" s="311">
        <f>VLOOKUP(Master20[[#This Row],[Elevated Priority]],Epriority,2,)</f>
        <v>0</v>
      </c>
      <c r="AH8" s="321">
        <f>IF(Master20[[#This Row],[Status]]="Active",Master20[[#This Row],[Status_Score]],IF(D8="","",R8+H8+T8+V8+AG8+AE8+Master20[[#This Row],[Risk Mitigation]]+Master20[[#This Row],[Master Plan]]+Master20[[#This Row],[Community Request]]+Master20[[#This Row],[Community need]]+Master20[[#This Row],[Offset Aging Inf.]]+Master20[[#This Row],[Energy Savings]]+Master20[[#This Row],[Gen Revenue]]-5))</f>
        <v>-179</v>
      </c>
      <c r="AI8" s="310" t="s">
        <v>718</v>
      </c>
      <c r="AJ8" s="310">
        <v>2017</v>
      </c>
      <c r="AK8" s="310">
        <v>2020</v>
      </c>
      <c r="AL8" s="310">
        <v>2017</v>
      </c>
      <c r="AM8" s="310">
        <v>2022</v>
      </c>
      <c r="AN8" s="308" t="s">
        <v>710</v>
      </c>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row>
    <row r="9" spans="1:1402" s="141" customFormat="1" ht="30" hidden="1" x14ac:dyDescent="0.25">
      <c r="A9" s="307">
        <f t="shared" si="3"/>
        <v>8</v>
      </c>
      <c r="B9" s="308" t="s">
        <v>65</v>
      </c>
      <c r="C9" s="308" t="s">
        <v>646</v>
      </c>
      <c r="D9" s="285" t="s">
        <v>989</v>
      </c>
      <c r="E9" s="285" t="s">
        <v>1006</v>
      </c>
      <c r="F9" s="286" t="s">
        <v>1007</v>
      </c>
      <c r="G9" s="308" t="s">
        <v>719</v>
      </c>
      <c r="H9" s="272">
        <f t="shared" si="0"/>
        <v>-150</v>
      </c>
      <c r="I9" s="263">
        <v>250000</v>
      </c>
      <c r="J9" s="263">
        <v>250000</v>
      </c>
      <c r="K9" s="263">
        <f>Master20[[#This Row],[Initial Budget]]-Master20[[#This Row],[Previously Committed Funds]]</f>
        <v>0</v>
      </c>
      <c r="L9" s="263"/>
      <c r="M9" s="263"/>
      <c r="N9" s="268">
        <f>Master20[[#This Row],[Design $ (Add/Deduct)]]+Master20[[#This Row],[Construction $ (Add/Ded)]]</f>
        <v>0</v>
      </c>
      <c r="O9" s="266">
        <v>250000</v>
      </c>
      <c r="P9" s="311">
        <v>2021</v>
      </c>
      <c r="Q9" s="262" t="s">
        <v>688</v>
      </c>
      <c r="R9" s="267">
        <f t="shared" si="4"/>
        <v>20</v>
      </c>
      <c r="S9" s="309">
        <v>3</v>
      </c>
      <c r="T9" s="265">
        <f t="shared" si="1"/>
        <v>9</v>
      </c>
      <c r="U9" s="309" t="s">
        <v>37</v>
      </c>
      <c r="V9" s="265">
        <f t="shared" si="2"/>
        <v>3</v>
      </c>
      <c r="W9" s="265" t="s">
        <v>34</v>
      </c>
      <c r="X9" s="310">
        <v>0</v>
      </c>
      <c r="Y9" s="310">
        <v>0</v>
      </c>
      <c r="Z9" s="310">
        <v>0</v>
      </c>
      <c r="AA9" s="310">
        <v>0</v>
      </c>
      <c r="AB9" s="310">
        <v>0</v>
      </c>
      <c r="AC9" s="310">
        <v>-9</v>
      </c>
      <c r="AD9" s="310">
        <v>0</v>
      </c>
      <c r="AE9" s="310"/>
      <c r="AF9" s="309" t="s">
        <v>31</v>
      </c>
      <c r="AG9" s="311">
        <f>VLOOKUP(Master20[[#This Row],[Elevated Priority]],Epriority,2,)</f>
        <v>-25</v>
      </c>
      <c r="AH9" s="321">
        <f>IF(Master20[[#This Row],[Status]]="Active",Master20[[#This Row],[Status_Score]],IF(D9="","",R9+H9+T9+V9+AG9+AE9+Master20[[#This Row],[Risk Mitigation]]+Master20[[#This Row],[Master Plan]]+Master20[[#This Row],[Community Request]]+Master20[[#This Row],[Community need]]+Master20[[#This Row],[Offset Aging Inf.]]+Master20[[#This Row],[Energy Savings]]+Master20[[#This Row],[Gen Revenue]]-5))</f>
        <v>-157</v>
      </c>
      <c r="AI9" s="310" t="s">
        <v>717</v>
      </c>
      <c r="AJ9" s="310">
        <v>2021</v>
      </c>
      <c r="AK9" s="310">
        <v>2021</v>
      </c>
      <c r="AL9" s="310">
        <v>2021</v>
      </c>
      <c r="AM9" s="310">
        <v>2021</v>
      </c>
      <c r="AN9" s="308" t="s">
        <v>1166</v>
      </c>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row>
    <row r="10" spans="1:1402" s="141" customFormat="1" ht="75" hidden="1" x14ac:dyDescent="0.25">
      <c r="A10" s="307">
        <f t="shared" si="3"/>
        <v>9</v>
      </c>
      <c r="B10" s="308" t="s">
        <v>70</v>
      </c>
      <c r="C10" s="308" t="s">
        <v>1045</v>
      </c>
      <c r="D10" s="308" t="s">
        <v>10</v>
      </c>
      <c r="E10" s="308" t="s">
        <v>851</v>
      </c>
      <c r="F10" s="308" t="s">
        <v>852</v>
      </c>
      <c r="G10" s="308" t="s">
        <v>719</v>
      </c>
      <c r="H10" s="308">
        <f t="shared" si="0"/>
        <v>-150</v>
      </c>
      <c r="I10" s="263">
        <v>2000000</v>
      </c>
      <c r="J10" s="263">
        <v>0</v>
      </c>
      <c r="K10" s="263">
        <f>Master20[[#This Row],[Initial Budget]]-Master20[[#This Row],[Previously Committed Funds]]</f>
        <v>2000000</v>
      </c>
      <c r="L10" s="263">
        <v>0</v>
      </c>
      <c r="M10" s="263">
        <v>0</v>
      </c>
      <c r="N10" s="268">
        <f>Master20[[#This Row],[Design $ (Add/Deduct)]]+Master20[[#This Row],[Construction $ (Add/Ded)]]</f>
        <v>0</v>
      </c>
      <c r="O10" s="266">
        <v>2000000</v>
      </c>
      <c r="P10" s="311">
        <v>2018</v>
      </c>
      <c r="Q10" s="262" t="s">
        <v>36</v>
      </c>
      <c r="R10" s="267">
        <f>VLOOKUP(Q10,Importance, 2, FALSE)</f>
        <v>10</v>
      </c>
      <c r="S10" s="310">
        <v>1</v>
      </c>
      <c r="T10" s="265">
        <f t="shared" si="1"/>
        <v>3</v>
      </c>
      <c r="U10" s="310" t="s">
        <v>37</v>
      </c>
      <c r="V10" s="265">
        <f t="shared" si="2"/>
        <v>3</v>
      </c>
      <c r="W10" s="265" t="s">
        <v>38</v>
      </c>
      <c r="X10" s="310">
        <v>0</v>
      </c>
      <c r="Y10" s="310">
        <v>0</v>
      </c>
      <c r="Z10" s="310">
        <v>-3</v>
      </c>
      <c r="AA10" s="310">
        <v>-3</v>
      </c>
      <c r="AB10" s="310">
        <v>0</v>
      </c>
      <c r="AC10" s="310">
        <v>-9</v>
      </c>
      <c r="AD10" s="310">
        <v>-3</v>
      </c>
      <c r="AE10" s="310"/>
      <c r="AF10" s="309" t="s">
        <v>29</v>
      </c>
      <c r="AG10" s="311">
        <f>VLOOKUP(Master20[[#This Row],[Elevated Priority]],Epriority,2,)</f>
        <v>0</v>
      </c>
      <c r="AH10" s="321">
        <f>IF(Master20[[#This Row],[Status]]="Active",Master20[[#This Row],[Status_Score]],IF(D10="","",R10+H10+T10+V10+AG10+AE10+Master20[[#This Row],[Risk Mitigation]]+Master20[[#This Row],[Master Plan]]+Master20[[#This Row],[Community Request]]+Master20[[#This Row],[Community need]]+Master20[[#This Row],[Offset Aging Inf.]]+Master20[[#This Row],[Energy Savings]]+Master20[[#This Row],[Gen Revenue]]-5))</f>
        <v>-157</v>
      </c>
      <c r="AI10" s="310" t="s">
        <v>757</v>
      </c>
      <c r="AJ10" s="310">
        <v>2019</v>
      </c>
      <c r="AK10" s="310">
        <v>2022</v>
      </c>
      <c r="AL10" s="310">
        <v>2019</v>
      </c>
      <c r="AM10" s="310">
        <v>2023</v>
      </c>
      <c r="AN10" s="308" t="s">
        <v>1167</v>
      </c>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row>
    <row r="11" spans="1:1402" s="141" customFormat="1" ht="30" hidden="1" x14ac:dyDescent="0.25">
      <c r="A11" s="307">
        <f t="shared" si="3"/>
        <v>10</v>
      </c>
      <c r="B11" s="308" t="s">
        <v>94</v>
      </c>
      <c r="C11" s="308" t="s">
        <v>1045</v>
      </c>
      <c r="D11" s="308" t="s">
        <v>1017</v>
      </c>
      <c r="E11" s="308" t="s">
        <v>1018</v>
      </c>
      <c r="F11" s="263" t="s">
        <v>1016</v>
      </c>
      <c r="G11" s="308" t="s">
        <v>719</v>
      </c>
      <c r="H11" s="272">
        <f t="shared" si="0"/>
        <v>-150</v>
      </c>
      <c r="I11" s="263">
        <v>500000</v>
      </c>
      <c r="J11" s="263"/>
      <c r="K11" s="263">
        <f>Master20[[#This Row],[Initial Budget]]-Master20[[#This Row],[Previously Committed Funds]]</f>
        <v>500000</v>
      </c>
      <c r="L11" s="263"/>
      <c r="M11" s="263"/>
      <c r="N11" s="268">
        <f>Master20[[#This Row],[Design $ (Add/Deduct)]]+Master20[[#This Row],[Construction $ (Add/Ded)]]</f>
        <v>0</v>
      </c>
      <c r="O11" s="266">
        <v>7500000</v>
      </c>
      <c r="P11" s="311">
        <v>2019</v>
      </c>
      <c r="Q11" s="262" t="s">
        <v>36</v>
      </c>
      <c r="R11" s="267">
        <f t="shared" ref="R11:R35" si="5">VLOOKUP(Q11,Importance,2,FALSE)</f>
        <v>10</v>
      </c>
      <c r="S11" s="309">
        <v>1</v>
      </c>
      <c r="T11" s="265">
        <f t="shared" si="1"/>
        <v>3</v>
      </c>
      <c r="U11" s="309" t="s">
        <v>41</v>
      </c>
      <c r="V11" s="265">
        <f t="shared" si="2"/>
        <v>4</v>
      </c>
      <c r="W11" s="265" t="s">
        <v>30</v>
      </c>
      <c r="X11" s="265">
        <v>0</v>
      </c>
      <c r="Y11" s="265">
        <v>-1</v>
      </c>
      <c r="Z11" s="265">
        <v>-3</v>
      </c>
      <c r="AA11" s="265">
        <v>0</v>
      </c>
      <c r="AB11" s="265">
        <v>-2</v>
      </c>
      <c r="AC11" s="265">
        <v>-7</v>
      </c>
      <c r="AD11" s="265">
        <v>-1</v>
      </c>
      <c r="AE11" s="265"/>
      <c r="AF11" s="264" t="s">
        <v>29</v>
      </c>
      <c r="AG11" s="267">
        <f>VLOOKUP(Master20[[#This Row],[Elevated Priority]],Epriority,2,)</f>
        <v>0</v>
      </c>
      <c r="AH11" s="321">
        <f>IF(Master20[[#This Row],[Status]]="Active",Master20[[#This Row],[Status_Score]],IF(D11="","",R11+H11+T11+V11+AG11+AE11+Master20[[#This Row],[Risk Mitigation]]+Master20[[#This Row],[Master Plan]]+Master20[[#This Row],[Community Request]]+Master20[[#This Row],[Community need]]+Master20[[#This Row],[Offset Aging Inf.]]+Master20[[#This Row],[Energy Savings]]+Master20[[#This Row],[Gen Revenue]]-5))</f>
        <v>-152</v>
      </c>
      <c r="AI11" s="265" t="s">
        <v>716</v>
      </c>
      <c r="AJ11" s="265">
        <v>2021</v>
      </c>
      <c r="AK11" s="265">
        <v>2022</v>
      </c>
      <c r="AL11" s="265">
        <v>2021</v>
      </c>
      <c r="AM11" s="265">
        <v>2023</v>
      </c>
      <c r="AN11" s="308" t="s">
        <v>1168</v>
      </c>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row>
    <row r="12" spans="1:1402" ht="45" hidden="1" x14ac:dyDescent="0.25">
      <c r="A12" s="307">
        <f t="shared" si="3"/>
        <v>11</v>
      </c>
      <c r="B12" s="308" t="s">
        <v>94</v>
      </c>
      <c r="C12" s="308" t="s">
        <v>1045</v>
      </c>
      <c r="D12" s="308" t="s">
        <v>613</v>
      </c>
      <c r="E12" s="308" t="s">
        <v>898</v>
      </c>
      <c r="F12" s="308" t="s">
        <v>879</v>
      </c>
      <c r="G12" s="308" t="s">
        <v>720</v>
      </c>
      <c r="H12" s="308">
        <f t="shared" si="0"/>
        <v>-200</v>
      </c>
      <c r="I12" s="263">
        <v>294000</v>
      </c>
      <c r="J12" s="263">
        <v>294000</v>
      </c>
      <c r="K12" s="263">
        <f>Master20[[#This Row],[Initial Budget]]-Master20[[#This Row],[Previously Committed Funds]]</f>
        <v>0</v>
      </c>
      <c r="L12" s="263"/>
      <c r="M12" s="263"/>
      <c r="N12" s="268">
        <f>Master20[[#This Row],[Design $ (Add/Deduct)]]+Master20[[#This Row],[Construction $ (Add/Ded)]]</f>
        <v>0</v>
      </c>
      <c r="O12" s="266">
        <v>294000</v>
      </c>
      <c r="P12" s="309">
        <v>2019</v>
      </c>
      <c r="Q12" s="308" t="s">
        <v>688</v>
      </c>
      <c r="R12" s="311">
        <f t="shared" si="5"/>
        <v>20</v>
      </c>
      <c r="S12" s="311">
        <v>28</v>
      </c>
      <c r="T12" s="310">
        <f t="shared" si="1"/>
        <v>30</v>
      </c>
      <c r="U12" s="311" t="s">
        <v>41</v>
      </c>
      <c r="V12" s="310">
        <f t="shared" si="2"/>
        <v>4</v>
      </c>
      <c r="W12" s="311" t="s">
        <v>30</v>
      </c>
      <c r="X12" s="310">
        <v>0</v>
      </c>
      <c r="Y12" s="310">
        <v>0</v>
      </c>
      <c r="Z12" s="310">
        <v>0</v>
      </c>
      <c r="AA12" s="310">
        <v>0</v>
      </c>
      <c r="AB12" s="310">
        <v>0</v>
      </c>
      <c r="AC12" s="310">
        <v>0</v>
      </c>
      <c r="AD12" s="310">
        <v>0</v>
      </c>
      <c r="AE12" s="310"/>
      <c r="AF12" s="311" t="s">
        <v>29</v>
      </c>
      <c r="AG12" s="311">
        <f>VLOOKUP(Master20[[#This Row],[Elevated Priority]],Epriority,2,)</f>
        <v>0</v>
      </c>
      <c r="AH12" s="321">
        <f>IF(Master20[[#This Row],[Status]]="Active",Master20[[#This Row],[Status_Score]],IF(D12="","",R12+H12+T12+V12+AG12+AE12+Master20[[#This Row],[Risk Mitigation]]+Master20[[#This Row],[Master Plan]]+Master20[[#This Row],[Community Request]]+Master20[[#This Row],[Community need]]+Master20[[#This Row],[Offset Aging Inf.]]+Master20[[#This Row],[Energy Savings]]+Master20[[#This Row],[Gen Revenue]]-5))</f>
        <v>-151</v>
      </c>
      <c r="AI12" s="310"/>
      <c r="AJ12" s="310">
        <v>2022</v>
      </c>
      <c r="AK12" s="310">
        <v>2023</v>
      </c>
      <c r="AL12" s="310">
        <v>2022</v>
      </c>
      <c r="AM12" s="310">
        <v>2022</v>
      </c>
      <c r="AN12" s="308" t="s">
        <v>1169</v>
      </c>
    </row>
    <row r="13" spans="1:1402" s="141" customFormat="1" ht="45" hidden="1" x14ac:dyDescent="0.25">
      <c r="A13" s="307">
        <f t="shared" si="3"/>
        <v>12</v>
      </c>
      <c r="B13" s="312" t="s">
        <v>1208</v>
      </c>
      <c r="C13" s="312" t="s">
        <v>1199</v>
      </c>
      <c r="D13" s="285" t="s">
        <v>827</v>
      </c>
      <c r="E13" s="285" t="s">
        <v>828</v>
      </c>
      <c r="F13" s="286" t="s">
        <v>861</v>
      </c>
      <c r="G13" s="308" t="s">
        <v>719</v>
      </c>
      <c r="H13" s="308">
        <f t="shared" si="0"/>
        <v>-150</v>
      </c>
      <c r="I13" s="313">
        <v>604463</v>
      </c>
      <c r="J13" s="313">
        <v>90087</v>
      </c>
      <c r="K13" s="263">
        <f>Master20[[#This Row],[Initial Budget]]-Master20[[#This Row],[Previously Committed Funds]]</f>
        <v>514376</v>
      </c>
      <c r="L13" s="313"/>
      <c r="M13" s="314">
        <v>250000</v>
      </c>
      <c r="N13" s="268">
        <f>Master20[[#This Row],[Design $ (Add/Deduct)]]+Master20[[#This Row],[Construction $ (Add/Ded)]]</f>
        <v>250000</v>
      </c>
      <c r="O13" s="266">
        <v>250000</v>
      </c>
      <c r="P13" s="311">
        <v>2020</v>
      </c>
      <c r="Q13" s="308" t="s">
        <v>32</v>
      </c>
      <c r="R13" s="311">
        <f t="shared" si="5"/>
        <v>1</v>
      </c>
      <c r="S13" s="310">
        <v>1</v>
      </c>
      <c r="T13" s="310">
        <f t="shared" si="1"/>
        <v>3</v>
      </c>
      <c r="U13" s="310" t="s">
        <v>33</v>
      </c>
      <c r="V13" s="310">
        <f t="shared" si="2"/>
        <v>1</v>
      </c>
      <c r="W13" s="310" t="s">
        <v>30</v>
      </c>
      <c r="X13" s="310">
        <v>0</v>
      </c>
      <c r="Y13" s="310">
        <v>0</v>
      </c>
      <c r="Z13" s="310">
        <v>0</v>
      </c>
      <c r="AA13" s="310">
        <v>0</v>
      </c>
      <c r="AB13" s="310">
        <v>0</v>
      </c>
      <c r="AC13" s="310">
        <v>0</v>
      </c>
      <c r="AD13" s="310">
        <v>0</v>
      </c>
      <c r="AE13" s="310"/>
      <c r="AF13" s="309" t="s">
        <v>29</v>
      </c>
      <c r="AG13" s="311">
        <f>VLOOKUP(Master20[[#This Row],[Elevated Priority]],Epriority,2,)</f>
        <v>0</v>
      </c>
      <c r="AH13" s="321">
        <f>IF(Master20[[#This Row],[Status]]="Active",Master20[[#This Row],[Status_Score]],IF(D13="","",R13+H13+T13+V13+AG13+AE13+Master20[[#This Row],[Risk Mitigation]]+Master20[[#This Row],[Master Plan]]+Master20[[#This Row],[Community Request]]+Master20[[#This Row],[Community need]]+Master20[[#This Row],[Offset Aging Inf.]]+Master20[[#This Row],[Energy Savings]]+Master20[[#This Row],[Gen Revenue]]-5))</f>
        <v>-150</v>
      </c>
      <c r="AI13" s="310" t="s">
        <v>1041</v>
      </c>
      <c r="AJ13" s="310">
        <v>2020</v>
      </c>
      <c r="AK13" s="310">
        <v>2021</v>
      </c>
      <c r="AL13" s="310">
        <v>2020</v>
      </c>
      <c r="AM13" s="310">
        <v>2022</v>
      </c>
      <c r="AN13" s="308" t="s">
        <v>1170</v>
      </c>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row>
    <row r="14" spans="1:1402" s="141" customFormat="1" ht="30" hidden="1" x14ac:dyDescent="0.25">
      <c r="A14" s="307">
        <f t="shared" si="3"/>
        <v>13</v>
      </c>
      <c r="B14" s="312" t="s">
        <v>1200</v>
      </c>
      <c r="C14" s="312" t="s">
        <v>646</v>
      </c>
      <c r="D14" s="358" t="s">
        <v>1147</v>
      </c>
      <c r="E14" s="308" t="s">
        <v>1146</v>
      </c>
      <c r="F14" s="308" t="s">
        <v>958</v>
      </c>
      <c r="G14" s="308" t="s">
        <v>719</v>
      </c>
      <c r="H14" s="272">
        <f t="shared" si="0"/>
        <v>-150</v>
      </c>
      <c r="I14" s="313"/>
      <c r="J14" s="313"/>
      <c r="K14" s="263">
        <f>Master20[[#This Row],[Initial Budget]]-Master20[[#This Row],[Previously Committed Funds]]</f>
        <v>0</v>
      </c>
      <c r="L14" s="313"/>
      <c r="M14" s="314"/>
      <c r="N14" s="268">
        <f>Master20[[#This Row],[Design $ (Add/Deduct)]]+Master20[[#This Row],[Construction $ (Add/Ded)]]</f>
        <v>0</v>
      </c>
      <c r="O14" s="266">
        <v>80000</v>
      </c>
      <c r="P14" s="311">
        <v>2022</v>
      </c>
      <c r="Q14" s="308" t="s">
        <v>32</v>
      </c>
      <c r="R14" s="311">
        <f t="shared" si="5"/>
        <v>1</v>
      </c>
      <c r="S14" s="309">
        <v>1</v>
      </c>
      <c r="T14" s="310">
        <f t="shared" si="1"/>
        <v>3</v>
      </c>
      <c r="U14" s="309" t="s">
        <v>33</v>
      </c>
      <c r="V14" s="310">
        <f t="shared" si="2"/>
        <v>1</v>
      </c>
      <c r="W14" s="310" t="s">
        <v>30</v>
      </c>
      <c r="X14" s="310">
        <v>0</v>
      </c>
      <c r="Y14" s="310">
        <v>0</v>
      </c>
      <c r="Z14" s="310">
        <v>0</v>
      </c>
      <c r="AA14" s="310">
        <v>0</v>
      </c>
      <c r="AB14" s="310">
        <v>0</v>
      </c>
      <c r="AC14" s="310">
        <v>0</v>
      </c>
      <c r="AD14" s="310">
        <v>0</v>
      </c>
      <c r="AE14" s="310"/>
      <c r="AF14" s="309" t="s">
        <v>29</v>
      </c>
      <c r="AG14" s="311">
        <f>VLOOKUP(Master20[[#This Row],[Elevated Priority]],Epriority,2,)</f>
        <v>0</v>
      </c>
      <c r="AH14" s="321">
        <f>IF(Master20[[#This Row],[Status]]="Active",Master20[[#This Row],[Status_Score]],IF(D14="","",R14+H14+T14+V14+AG14+AE14+Master20[[#This Row],[Risk Mitigation]]+Master20[[#This Row],[Master Plan]]+Master20[[#This Row],[Community Request]]+Master20[[#This Row],[Community need]]+Master20[[#This Row],[Offset Aging Inf.]]+Master20[[#This Row],[Energy Savings]]+Master20[[#This Row],[Gen Revenue]]-5))</f>
        <v>-150</v>
      </c>
      <c r="AI14" s="310" t="s">
        <v>754</v>
      </c>
      <c r="AJ14" s="310">
        <v>2020</v>
      </c>
      <c r="AK14" s="310">
        <v>2021</v>
      </c>
      <c r="AL14" s="310">
        <v>2020</v>
      </c>
      <c r="AM14" s="310">
        <v>2021</v>
      </c>
      <c r="AN14" s="308" t="s">
        <v>1171</v>
      </c>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row>
    <row r="15" spans="1:1402" s="141" customFormat="1" ht="88.5" hidden="1" customHeight="1" x14ac:dyDescent="0.25">
      <c r="A15" s="307">
        <f t="shared" si="3"/>
        <v>14</v>
      </c>
      <c r="B15" s="308" t="s">
        <v>70</v>
      </c>
      <c r="C15" s="308" t="s">
        <v>1045</v>
      </c>
      <c r="D15" s="308" t="s">
        <v>1178</v>
      </c>
      <c r="E15" s="308" t="s">
        <v>927</v>
      </c>
      <c r="F15" s="308" t="s">
        <v>928</v>
      </c>
      <c r="G15" s="308" t="s">
        <v>719</v>
      </c>
      <c r="H15" s="272">
        <f t="shared" si="0"/>
        <v>-150</v>
      </c>
      <c r="I15" s="263">
        <v>50000</v>
      </c>
      <c r="J15" s="263">
        <v>50000</v>
      </c>
      <c r="K15" s="263">
        <f>Master20[[#This Row],[Initial Budget]]-Master20[[#This Row],[Previously Committed Funds]]</f>
        <v>0</v>
      </c>
      <c r="L15" s="263"/>
      <c r="M15" s="263">
        <v>1000000</v>
      </c>
      <c r="N15" s="268">
        <f>Master20[[#This Row],[Design $ (Add/Deduct)]]+Master20[[#This Row],[Construction $ (Add/Ded)]]</f>
        <v>1000000</v>
      </c>
      <c r="O15" s="266">
        <v>1100000</v>
      </c>
      <c r="P15" s="311">
        <v>2020</v>
      </c>
      <c r="Q15" s="308" t="s">
        <v>46</v>
      </c>
      <c r="R15" s="311">
        <f t="shared" si="5"/>
        <v>50</v>
      </c>
      <c r="S15" s="310">
        <v>1</v>
      </c>
      <c r="T15" s="310">
        <f t="shared" si="1"/>
        <v>3</v>
      </c>
      <c r="U15" s="310" t="s">
        <v>41</v>
      </c>
      <c r="V15" s="310">
        <f t="shared" si="2"/>
        <v>4</v>
      </c>
      <c r="W15" s="310" t="s">
        <v>34</v>
      </c>
      <c r="X15" s="310">
        <v>-9</v>
      </c>
      <c r="Y15" s="302">
        <v>0</v>
      </c>
      <c r="Z15" s="302">
        <v>-3</v>
      </c>
      <c r="AA15" s="302">
        <v>-3</v>
      </c>
      <c r="AB15" s="302">
        <v>-2</v>
      </c>
      <c r="AC15" s="302">
        <v>-9</v>
      </c>
      <c r="AD15" s="302">
        <v>0</v>
      </c>
      <c r="AE15" s="302"/>
      <c r="AF15" s="303" t="s">
        <v>35</v>
      </c>
      <c r="AG15" s="305">
        <f>VLOOKUP(Master20[[#This Row],[Elevated Priority]],Epriority,2,)</f>
        <v>-25</v>
      </c>
      <c r="AH15" s="321">
        <f>IF(Master20[[#This Row],[Status]]="Active",Master20[[#This Row],[Status_Score]],IF(D15="","",R15+H15+T15+V15+AG15+AE15+Master20[[#This Row],[Risk Mitigation]]+Master20[[#This Row],[Master Plan]]+Master20[[#This Row],[Community Request]]+Master20[[#This Row],[Community need]]+Master20[[#This Row],[Offset Aging Inf.]]+Master20[[#This Row],[Energy Savings]]+Master20[[#This Row],[Gen Revenue]]-5))</f>
        <v>-149</v>
      </c>
      <c r="AI15" s="299" t="s">
        <v>717</v>
      </c>
      <c r="AJ15" s="310">
        <v>2021</v>
      </c>
      <c r="AK15" s="310">
        <v>2023</v>
      </c>
      <c r="AL15" s="310">
        <v>2021</v>
      </c>
      <c r="AM15" s="310">
        <v>2022</v>
      </c>
      <c r="AN15" s="308" t="s">
        <v>1191</v>
      </c>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row>
    <row r="16" spans="1:1402" ht="90" hidden="1" x14ac:dyDescent="0.25">
      <c r="A16" s="307">
        <f t="shared" si="3"/>
        <v>15</v>
      </c>
      <c r="B16" s="308" t="s">
        <v>1200</v>
      </c>
      <c r="C16" s="308" t="s">
        <v>1045</v>
      </c>
      <c r="D16" s="285" t="s">
        <v>1092</v>
      </c>
      <c r="E16" s="285" t="s">
        <v>1093</v>
      </c>
      <c r="F16" s="308" t="s">
        <v>1134</v>
      </c>
      <c r="G16" s="308" t="s">
        <v>719</v>
      </c>
      <c r="H16" s="272">
        <f t="shared" si="0"/>
        <v>-150</v>
      </c>
      <c r="I16" s="263"/>
      <c r="J16" s="263"/>
      <c r="K16" s="263">
        <f>Master20[[#This Row],[Initial Budget]]-Master20[[#This Row],[Previously Committed Funds]]</f>
        <v>0</v>
      </c>
      <c r="L16" s="263"/>
      <c r="M16" s="263">
        <v>250000</v>
      </c>
      <c r="N16" s="268">
        <f>Master20[[#This Row],[Design $ (Add/Deduct)]]+Master20[[#This Row],[Construction $ (Add/Ded)]]</f>
        <v>250000</v>
      </c>
      <c r="O16" s="266">
        <v>250000</v>
      </c>
      <c r="P16" s="311">
        <v>2022</v>
      </c>
      <c r="Q16" s="308" t="s">
        <v>36</v>
      </c>
      <c r="R16" s="311">
        <f t="shared" si="5"/>
        <v>10</v>
      </c>
      <c r="S16" s="310">
        <v>2</v>
      </c>
      <c r="T16" s="310">
        <f t="shared" si="1"/>
        <v>6</v>
      </c>
      <c r="U16" s="310" t="s">
        <v>33</v>
      </c>
      <c r="V16" s="310">
        <f t="shared" si="2"/>
        <v>1</v>
      </c>
      <c r="W16" s="310" t="s">
        <v>30</v>
      </c>
      <c r="X16" s="310">
        <v>-1</v>
      </c>
      <c r="Y16" s="310">
        <v>0</v>
      </c>
      <c r="Z16" s="310">
        <v>-3</v>
      </c>
      <c r="AA16" s="310">
        <v>-3</v>
      </c>
      <c r="AB16" s="310">
        <v>-2</v>
      </c>
      <c r="AC16" s="310">
        <v>0</v>
      </c>
      <c r="AD16" s="310">
        <v>-2</v>
      </c>
      <c r="AE16" s="310"/>
      <c r="AF16" s="309" t="s">
        <v>29</v>
      </c>
      <c r="AG16" s="311">
        <f>VLOOKUP(Master20[[#This Row],[Elevated Priority]],Epriority,2,)</f>
        <v>0</v>
      </c>
      <c r="AH16" s="321">
        <f>IF(Master20[[#This Row],[Status]]="Active",Master20[[#This Row],[Status_Score]],IF(D16="","",R16+H16+T16+V16+AG16+AE16+Master20[[#This Row],[Risk Mitigation]]+Master20[[#This Row],[Master Plan]]+Master20[[#This Row],[Community Request]]+Master20[[#This Row],[Community need]]+Master20[[#This Row],[Offset Aging Inf.]]+Master20[[#This Row],[Energy Savings]]+Master20[[#This Row],[Gen Revenue]]-5))</f>
        <v>-149</v>
      </c>
      <c r="AI16" s="310"/>
      <c r="AJ16" s="310"/>
      <c r="AK16" s="310"/>
      <c r="AL16" s="310">
        <v>2021</v>
      </c>
      <c r="AM16" s="310">
        <v>2022</v>
      </c>
      <c r="AN16" s="30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c r="AMG16" s="48"/>
      <c r="AMH16" s="48"/>
      <c r="AMI16" s="48"/>
      <c r="AMJ16" s="48"/>
      <c r="AMK16" s="48"/>
      <c r="AML16" s="48"/>
      <c r="AMM16" s="48"/>
      <c r="AMN16" s="48"/>
      <c r="AMO16" s="48"/>
      <c r="AMP16" s="48"/>
      <c r="AMQ16" s="48"/>
      <c r="AMR16" s="48"/>
      <c r="AMS16" s="48"/>
      <c r="AMT16" s="48"/>
      <c r="AMU16" s="48"/>
      <c r="AMV16" s="48"/>
      <c r="AMW16" s="48"/>
      <c r="AMX16" s="48"/>
      <c r="AMY16" s="48"/>
      <c r="AMZ16" s="48"/>
      <c r="ANA16" s="48"/>
      <c r="ANB16" s="48"/>
      <c r="ANC16" s="48"/>
      <c r="AND16" s="48"/>
      <c r="ANE16" s="48"/>
      <c r="ANF16" s="48"/>
      <c r="ANG16" s="48"/>
      <c r="ANH16" s="48"/>
      <c r="ANI16" s="48"/>
      <c r="ANJ16" s="48"/>
      <c r="ANK16" s="48"/>
      <c r="ANL16" s="48"/>
      <c r="ANM16" s="48"/>
      <c r="ANN16" s="48"/>
      <c r="ANO16" s="48"/>
      <c r="ANP16" s="48"/>
      <c r="ANQ16" s="48"/>
      <c r="ANR16" s="48"/>
      <c r="ANS16" s="48"/>
      <c r="ANT16" s="48"/>
      <c r="ANU16" s="48"/>
      <c r="ANV16" s="48"/>
      <c r="ANW16" s="48"/>
      <c r="ANX16" s="48"/>
      <c r="ANY16" s="48"/>
      <c r="ANZ16" s="48"/>
      <c r="AOA16" s="48"/>
      <c r="AOB16" s="48"/>
      <c r="AOC16" s="48"/>
      <c r="AOD16" s="48"/>
      <c r="AOE16" s="48"/>
      <c r="AOF16" s="48"/>
      <c r="AOG16" s="48"/>
      <c r="AOH16" s="48"/>
      <c r="AOI16" s="48"/>
      <c r="AOJ16" s="48"/>
      <c r="AOK16" s="48"/>
      <c r="AOL16" s="48"/>
      <c r="AOM16" s="48"/>
      <c r="AON16" s="48"/>
      <c r="AOO16" s="48"/>
      <c r="AOP16" s="48"/>
      <c r="AOQ16" s="48"/>
      <c r="AOR16" s="48"/>
      <c r="AOS16" s="48"/>
      <c r="AOT16" s="48"/>
      <c r="AOU16" s="48"/>
      <c r="AOV16" s="48"/>
      <c r="AOW16" s="48"/>
      <c r="AOX16" s="48"/>
      <c r="AOY16" s="48"/>
      <c r="AOZ16" s="48"/>
      <c r="APA16" s="48"/>
      <c r="APB16" s="48"/>
      <c r="APC16" s="48"/>
      <c r="APD16" s="48"/>
      <c r="APE16" s="48"/>
      <c r="APF16" s="48"/>
      <c r="APG16" s="48"/>
      <c r="APH16" s="48"/>
      <c r="API16" s="48"/>
      <c r="APJ16" s="48"/>
      <c r="APK16" s="48"/>
      <c r="APL16" s="48"/>
      <c r="APM16" s="48"/>
      <c r="APN16" s="48"/>
      <c r="APO16" s="48"/>
      <c r="APP16" s="48"/>
      <c r="APQ16" s="48"/>
      <c r="APR16" s="48"/>
      <c r="APS16" s="48"/>
      <c r="APT16" s="48"/>
      <c r="APU16" s="48"/>
      <c r="APV16" s="48"/>
      <c r="APW16" s="48"/>
      <c r="APX16" s="48"/>
      <c r="APY16" s="48"/>
      <c r="APZ16" s="48"/>
      <c r="AQA16" s="48"/>
      <c r="AQB16" s="48"/>
      <c r="AQC16" s="48"/>
      <c r="AQD16" s="48"/>
      <c r="AQE16" s="48"/>
      <c r="AQF16" s="48"/>
      <c r="AQG16" s="48"/>
      <c r="AQH16" s="48"/>
      <c r="AQI16" s="48"/>
      <c r="AQJ16" s="48"/>
      <c r="AQK16" s="48"/>
      <c r="AQL16" s="48"/>
      <c r="AQM16" s="48"/>
      <c r="AQN16" s="48"/>
      <c r="AQO16" s="48"/>
      <c r="AQP16" s="48"/>
      <c r="AQQ16" s="48"/>
      <c r="AQR16" s="48"/>
      <c r="AQS16" s="48"/>
      <c r="AQT16" s="48"/>
      <c r="AQU16" s="48"/>
      <c r="AQV16" s="48"/>
      <c r="AQW16" s="48"/>
      <c r="AQX16" s="48"/>
      <c r="AQY16" s="48"/>
      <c r="AQZ16" s="48"/>
      <c r="ARA16" s="48"/>
      <c r="ARB16" s="48"/>
      <c r="ARC16" s="48"/>
      <c r="ARD16" s="48"/>
      <c r="ARE16" s="48"/>
      <c r="ARF16" s="48"/>
      <c r="ARG16" s="48"/>
      <c r="ARH16" s="48"/>
      <c r="ARI16" s="48"/>
      <c r="ARJ16" s="48"/>
      <c r="ARK16" s="48"/>
      <c r="ARL16" s="48"/>
      <c r="ARM16" s="48"/>
      <c r="ARN16" s="48"/>
      <c r="ARO16" s="48"/>
      <c r="ARP16" s="48"/>
      <c r="ARQ16" s="48"/>
      <c r="ARR16" s="48"/>
      <c r="ARS16" s="48"/>
      <c r="ART16" s="48"/>
      <c r="ARU16" s="48"/>
      <c r="ARV16" s="48"/>
      <c r="ARW16" s="48"/>
      <c r="ARX16" s="48"/>
      <c r="ARY16" s="48"/>
      <c r="ARZ16" s="48"/>
      <c r="ASA16" s="48"/>
      <c r="ASB16" s="48"/>
      <c r="ASC16" s="48"/>
      <c r="ASD16" s="48"/>
      <c r="ASE16" s="48"/>
      <c r="ASF16" s="48"/>
      <c r="ASG16" s="48"/>
      <c r="ASH16" s="48"/>
      <c r="ASI16" s="48"/>
      <c r="ASJ16" s="48"/>
      <c r="ASK16" s="48"/>
      <c r="ASL16" s="48"/>
      <c r="ASM16" s="48"/>
      <c r="ASN16" s="48"/>
      <c r="ASO16" s="48"/>
      <c r="ASP16" s="48"/>
      <c r="ASQ16" s="48"/>
      <c r="ASR16" s="48"/>
      <c r="ASS16" s="48"/>
      <c r="AST16" s="48"/>
      <c r="ASU16" s="48"/>
      <c r="ASV16" s="48"/>
      <c r="ASW16" s="48"/>
      <c r="ASX16" s="48"/>
      <c r="ASY16" s="48"/>
      <c r="ASZ16" s="48"/>
      <c r="ATA16" s="48"/>
      <c r="ATB16" s="48"/>
      <c r="ATC16" s="48"/>
      <c r="ATD16" s="48"/>
      <c r="ATE16" s="48"/>
      <c r="ATF16" s="48"/>
      <c r="ATG16" s="48"/>
      <c r="ATH16" s="48"/>
      <c r="ATI16" s="48"/>
      <c r="ATJ16" s="48"/>
      <c r="ATK16" s="48"/>
      <c r="ATL16" s="48"/>
      <c r="ATM16" s="48"/>
      <c r="ATN16" s="48"/>
      <c r="ATO16" s="48"/>
      <c r="ATP16" s="48"/>
      <c r="ATQ16" s="48"/>
      <c r="ATR16" s="48"/>
      <c r="ATS16" s="48"/>
      <c r="ATT16" s="48"/>
      <c r="ATU16" s="48"/>
      <c r="ATV16" s="48"/>
      <c r="ATW16" s="48"/>
      <c r="ATX16" s="48"/>
      <c r="ATY16" s="48"/>
      <c r="ATZ16" s="48"/>
      <c r="AUA16" s="48"/>
      <c r="AUB16" s="48"/>
      <c r="AUC16" s="48"/>
      <c r="AUD16" s="48"/>
      <c r="AUE16" s="48"/>
      <c r="AUF16" s="48"/>
      <c r="AUG16" s="48"/>
      <c r="AUH16" s="48"/>
      <c r="AUI16" s="48"/>
      <c r="AUJ16" s="48"/>
      <c r="AUK16" s="48"/>
      <c r="AUL16" s="48"/>
      <c r="AUM16" s="48"/>
      <c r="AUN16" s="48"/>
      <c r="AUO16" s="48"/>
      <c r="AUP16" s="48"/>
      <c r="AUQ16" s="48"/>
      <c r="AUR16" s="48"/>
      <c r="AUS16" s="48"/>
      <c r="AUT16" s="48"/>
      <c r="AUU16" s="48"/>
      <c r="AUV16" s="48"/>
      <c r="AUW16" s="48"/>
      <c r="AUX16" s="48"/>
      <c r="AUY16" s="48"/>
      <c r="AUZ16" s="48"/>
      <c r="AVA16" s="48"/>
      <c r="AVB16" s="48"/>
      <c r="AVC16" s="48"/>
      <c r="AVD16" s="48"/>
      <c r="AVE16" s="48"/>
      <c r="AVF16" s="48"/>
      <c r="AVG16" s="48"/>
      <c r="AVH16" s="48"/>
      <c r="AVI16" s="48"/>
      <c r="AVJ16" s="48"/>
      <c r="AVK16" s="48"/>
      <c r="AVL16" s="48"/>
      <c r="AVM16" s="48"/>
      <c r="AVN16" s="48"/>
      <c r="AVO16" s="48"/>
      <c r="AVP16" s="48"/>
      <c r="AVQ16" s="48"/>
      <c r="AVR16" s="48"/>
      <c r="AVS16" s="48"/>
      <c r="AVT16" s="48"/>
      <c r="AVU16" s="48"/>
      <c r="AVV16" s="48"/>
      <c r="AVW16" s="48"/>
      <c r="AVX16" s="48"/>
      <c r="AVY16" s="48"/>
      <c r="AVZ16" s="48"/>
      <c r="AWA16" s="48"/>
      <c r="AWB16" s="48"/>
      <c r="AWC16" s="48"/>
      <c r="AWD16" s="48"/>
      <c r="AWE16" s="48"/>
      <c r="AWF16" s="48"/>
      <c r="AWG16" s="48"/>
      <c r="AWH16" s="48"/>
      <c r="AWI16" s="48"/>
      <c r="AWJ16" s="48"/>
      <c r="AWK16" s="48"/>
      <c r="AWL16" s="48"/>
      <c r="AWM16" s="48"/>
      <c r="AWN16" s="48"/>
      <c r="AWO16" s="48"/>
      <c r="AWP16" s="48"/>
      <c r="AWQ16" s="48"/>
      <c r="AWR16" s="48"/>
      <c r="AWS16" s="48"/>
      <c r="AWT16" s="48"/>
      <c r="AWU16" s="48"/>
      <c r="AWV16" s="48"/>
      <c r="AWW16" s="48"/>
      <c r="AWX16" s="48"/>
      <c r="AWY16" s="48"/>
      <c r="AWZ16" s="48"/>
      <c r="AXA16" s="48"/>
      <c r="AXB16" s="48"/>
      <c r="AXC16" s="48"/>
      <c r="AXD16" s="48"/>
      <c r="AXE16" s="48"/>
      <c r="AXF16" s="48"/>
      <c r="AXG16" s="48"/>
      <c r="AXH16" s="48"/>
      <c r="AXI16" s="48"/>
      <c r="AXJ16" s="48"/>
      <c r="AXK16" s="48"/>
      <c r="AXL16" s="48"/>
      <c r="AXM16" s="48"/>
      <c r="AXN16" s="48"/>
      <c r="AXO16" s="48"/>
      <c r="AXP16" s="48"/>
      <c r="AXQ16" s="48"/>
      <c r="AXR16" s="48"/>
      <c r="AXS16" s="48"/>
      <c r="AXT16" s="48"/>
      <c r="AXU16" s="48"/>
      <c r="AXV16" s="48"/>
      <c r="AXW16" s="48"/>
      <c r="AXX16" s="48"/>
      <c r="AXY16" s="48"/>
      <c r="AXZ16" s="48"/>
      <c r="AYA16" s="48"/>
      <c r="AYB16" s="48"/>
      <c r="AYC16" s="48"/>
      <c r="AYD16" s="48"/>
      <c r="AYE16" s="48"/>
      <c r="AYF16" s="48"/>
      <c r="AYG16" s="48"/>
      <c r="AYH16" s="48"/>
      <c r="AYI16" s="48"/>
      <c r="AYJ16" s="48"/>
      <c r="AYK16" s="48"/>
      <c r="AYL16" s="48"/>
      <c r="AYM16" s="48"/>
      <c r="AYN16" s="48"/>
      <c r="AYO16" s="48"/>
      <c r="AYP16" s="48"/>
      <c r="AYQ16" s="48"/>
      <c r="AYR16" s="48"/>
      <c r="AYS16" s="48"/>
      <c r="AYT16" s="48"/>
      <c r="AYU16" s="48"/>
      <c r="AYV16" s="48"/>
      <c r="AYW16" s="48"/>
      <c r="AYX16" s="48"/>
      <c r="AYY16" s="48"/>
      <c r="AYZ16" s="48"/>
      <c r="AZA16" s="48"/>
      <c r="AZB16" s="48"/>
      <c r="AZC16" s="48"/>
      <c r="AZD16" s="48"/>
      <c r="AZE16" s="48"/>
      <c r="AZF16" s="48"/>
      <c r="AZG16" s="48"/>
      <c r="AZH16" s="48"/>
      <c r="AZI16" s="48"/>
      <c r="AZJ16" s="48"/>
      <c r="AZK16" s="48"/>
      <c r="AZL16" s="48"/>
      <c r="AZM16" s="48"/>
      <c r="AZN16" s="48"/>
      <c r="AZO16" s="48"/>
      <c r="AZP16" s="48"/>
      <c r="AZQ16" s="48"/>
      <c r="AZR16" s="48"/>
      <c r="AZS16" s="48"/>
      <c r="AZT16" s="48"/>
      <c r="AZU16" s="48"/>
      <c r="AZV16" s="48"/>
      <c r="AZW16" s="48"/>
      <c r="AZX16" s="48"/>
      <c r="AZY16" s="48"/>
      <c r="AZZ16" s="48"/>
      <c r="BAA16" s="48"/>
      <c r="BAB16" s="48"/>
      <c r="BAC16" s="48"/>
      <c r="BAD16" s="48"/>
      <c r="BAE16" s="48"/>
      <c r="BAF16" s="48"/>
      <c r="BAG16" s="48"/>
      <c r="BAH16" s="48"/>
      <c r="BAI16" s="48"/>
      <c r="BAJ16" s="48"/>
      <c r="BAK16" s="48"/>
      <c r="BAL16" s="48"/>
      <c r="BAM16" s="48"/>
      <c r="BAN16" s="48"/>
      <c r="BAO16" s="48"/>
      <c r="BAP16" s="48"/>
      <c r="BAQ16" s="48"/>
      <c r="BAR16" s="48"/>
      <c r="BAS16" s="48"/>
      <c r="BAT16" s="48"/>
      <c r="BAU16" s="48"/>
      <c r="BAV16" s="48"/>
      <c r="BAW16" s="48"/>
      <c r="BAX16" s="48"/>
    </row>
    <row r="17" spans="1:1402" s="144" customFormat="1" ht="63.75" hidden="1" customHeight="1" x14ac:dyDescent="0.25">
      <c r="A17" s="307">
        <f t="shared" si="3"/>
        <v>16</v>
      </c>
      <c r="B17" s="308" t="s">
        <v>1209</v>
      </c>
      <c r="C17" s="308" t="s">
        <v>143</v>
      </c>
      <c r="D17" s="308" t="s">
        <v>931</v>
      </c>
      <c r="E17" s="308" t="s">
        <v>1040</v>
      </c>
      <c r="F17" s="308" t="s">
        <v>1022</v>
      </c>
      <c r="G17" s="308" t="s">
        <v>720</v>
      </c>
      <c r="H17" s="272">
        <f t="shared" si="0"/>
        <v>-200</v>
      </c>
      <c r="I17" s="263"/>
      <c r="J17" s="263"/>
      <c r="K17" s="263">
        <f>Master20[[#This Row],[Initial Budget]]-Master20[[#This Row],[Previously Committed Funds]]</f>
        <v>0</v>
      </c>
      <c r="L17" s="263"/>
      <c r="M17" s="263"/>
      <c r="N17" s="268">
        <f>Master20[[#This Row],[Design $ (Add/Deduct)]]+Master20[[#This Row],[Construction $ (Add/Ded)]]</f>
        <v>0</v>
      </c>
      <c r="O17" s="266">
        <v>1100000</v>
      </c>
      <c r="P17" s="311">
        <v>2019</v>
      </c>
      <c r="Q17" s="308" t="s">
        <v>46</v>
      </c>
      <c r="R17" s="311">
        <f t="shared" si="5"/>
        <v>50</v>
      </c>
      <c r="S17" s="310" t="s">
        <v>29</v>
      </c>
      <c r="T17" s="310">
        <f t="shared" si="1"/>
        <v>0</v>
      </c>
      <c r="U17" s="310" t="s">
        <v>45</v>
      </c>
      <c r="V17" s="310">
        <f t="shared" si="2"/>
        <v>32</v>
      </c>
      <c r="W17" s="310" t="s">
        <v>34</v>
      </c>
      <c r="X17" s="310">
        <v>0</v>
      </c>
      <c r="Y17" s="310">
        <v>0</v>
      </c>
      <c r="Z17" s="310">
        <v>0</v>
      </c>
      <c r="AA17" s="310">
        <v>0</v>
      </c>
      <c r="AB17" s="310">
        <v>0</v>
      </c>
      <c r="AC17" s="310">
        <v>0</v>
      </c>
      <c r="AD17" s="310">
        <v>0</v>
      </c>
      <c r="AE17" s="310"/>
      <c r="AF17" s="309" t="s">
        <v>35</v>
      </c>
      <c r="AG17" s="311">
        <f>VLOOKUP(Master20[[#This Row],[Elevated Priority]],Epriority,2,)</f>
        <v>-25</v>
      </c>
      <c r="AH17" s="321">
        <f>IF(Master20[[#This Row],[Status]]="Active",Master20[[#This Row],[Status_Score]],IF(D17="","",R17+H17+T17+V17+AG17+AE17+Master20[[#This Row],[Risk Mitigation]]+Master20[[#This Row],[Master Plan]]+Master20[[#This Row],[Community Request]]+Master20[[#This Row],[Community need]]+Master20[[#This Row],[Offset Aging Inf.]]+Master20[[#This Row],[Energy Savings]]+Master20[[#This Row],[Gen Revenue]]-5))</f>
        <v>-148</v>
      </c>
      <c r="AI17" s="310" t="s">
        <v>757</v>
      </c>
      <c r="AJ17" s="310">
        <v>2020</v>
      </c>
      <c r="AK17" s="310">
        <v>2021</v>
      </c>
      <c r="AL17" s="310">
        <v>2020</v>
      </c>
      <c r="AM17" s="310">
        <v>2022</v>
      </c>
      <c r="AN17" s="308" t="s">
        <v>1172</v>
      </c>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row>
    <row r="18" spans="1:1402" s="141" customFormat="1" ht="30" hidden="1" x14ac:dyDescent="0.25">
      <c r="A18" s="307">
        <f t="shared" si="3"/>
        <v>17</v>
      </c>
      <c r="B18" s="308" t="s">
        <v>67</v>
      </c>
      <c r="C18" s="308" t="s">
        <v>995</v>
      </c>
      <c r="D18" s="308" t="s">
        <v>1023</v>
      </c>
      <c r="E18" s="308" t="s">
        <v>93</v>
      </c>
      <c r="F18" s="308" t="s">
        <v>860</v>
      </c>
      <c r="G18" s="308" t="s">
        <v>719</v>
      </c>
      <c r="H18" s="308">
        <f t="shared" si="0"/>
        <v>-150</v>
      </c>
      <c r="I18" s="263">
        <v>200000</v>
      </c>
      <c r="J18" s="263">
        <v>24310</v>
      </c>
      <c r="K18" s="263">
        <f>Master20[[#This Row],[Initial Budget]]-Master20[[#This Row],[Previously Committed Funds]]</f>
        <v>175690</v>
      </c>
      <c r="L18" s="263"/>
      <c r="M18" s="263"/>
      <c r="N18" s="268">
        <f>Master20[[#This Row],[Design $ (Add/Deduct)]]+Master20[[#This Row],[Construction $ (Add/Ded)]]</f>
        <v>0</v>
      </c>
      <c r="O18" s="266">
        <v>200000</v>
      </c>
      <c r="P18" s="311">
        <v>2018</v>
      </c>
      <c r="Q18" s="308" t="s">
        <v>32</v>
      </c>
      <c r="R18" s="311">
        <f t="shared" si="5"/>
        <v>1</v>
      </c>
      <c r="S18" s="310">
        <v>3</v>
      </c>
      <c r="T18" s="310">
        <f t="shared" si="1"/>
        <v>9</v>
      </c>
      <c r="U18" s="310" t="s">
        <v>33</v>
      </c>
      <c r="V18" s="310">
        <f t="shared" si="2"/>
        <v>1</v>
      </c>
      <c r="W18" s="310" t="s">
        <v>30</v>
      </c>
      <c r="X18" s="302">
        <v>0</v>
      </c>
      <c r="Y18" s="302">
        <v>0</v>
      </c>
      <c r="Z18" s="302">
        <v>0</v>
      </c>
      <c r="AA18" s="302">
        <v>0</v>
      </c>
      <c r="AB18" s="302">
        <v>0</v>
      </c>
      <c r="AC18" s="302">
        <v>0</v>
      </c>
      <c r="AD18" s="302">
        <v>0</v>
      </c>
      <c r="AE18" s="302"/>
      <c r="AF18" s="303" t="s">
        <v>29</v>
      </c>
      <c r="AG18" s="305">
        <f>VLOOKUP(Master20[[#This Row],[Elevated Priority]],Epriority,2,)</f>
        <v>0</v>
      </c>
      <c r="AH18" s="321">
        <f>IF(Master20[[#This Row],[Status]]="Active",Master20[[#This Row],[Status_Score]],IF(D18="","",R18+H18+T18+V18+AG18+AE18+Master20[[#This Row],[Risk Mitigation]]+Master20[[#This Row],[Master Plan]]+Master20[[#This Row],[Community Request]]+Master20[[#This Row],[Community need]]+Master20[[#This Row],[Offset Aging Inf.]]+Master20[[#This Row],[Energy Savings]]+Master20[[#This Row],[Gen Revenue]]-5))</f>
        <v>-144</v>
      </c>
      <c r="AI18" s="299" t="s">
        <v>716</v>
      </c>
      <c r="AJ18" s="310">
        <v>2021</v>
      </c>
      <c r="AK18" s="310">
        <v>2021</v>
      </c>
      <c r="AL18" s="310">
        <v>2021</v>
      </c>
      <c r="AM18" s="310">
        <v>2024</v>
      </c>
      <c r="AN18" s="308" t="s">
        <v>1173</v>
      </c>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c r="AMG18" s="48"/>
      <c r="AMH18" s="48"/>
      <c r="AMI18" s="48"/>
      <c r="AMJ18" s="48"/>
      <c r="AMK18" s="48"/>
      <c r="AML18" s="48"/>
      <c r="AMM18" s="48"/>
      <c r="AMN18" s="48"/>
      <c r="AMO18" s="48"/>
      <c r="AMP18" s="48"/>
      <c r="AMQ18" s="48"/>
      <c r="AMR18" s="48"/>
      <c r="AMS18" s="48"/>
      <c r="AMT18" s="48"/>
      <c r="AMU18" s="48"/>
      <c r="AMV18" s="48"/>
      <c r="AMW18" s="48"/>
      <c r="AMX18" s="48"/>
      <c r="AMY18" s="48"/>
      <c r="AMZ18" s="48"/>
      <c r="ANA18" s="48"/>
      <c r="ANB18" s="48"/>
      <c r="ANC18" s="48"/>
      <c r="AND18" s="48"/>
      <c r="ANE18" s="48"/>
      <c r="ANF18" s="48"/>
      <c r="ANG18" s="48"/>
      <c r="ANH18" s="48"/>
      <c r="ANI18" s="48"/>
      <c r="ANJ18" s="48"/>
      <c r="ANK18" s="48"/>
      <c r="ANL18" s="48"/>
      <c r="ANM18" s="48"/>
      <c r="ANN18" s="48"/>
      <c r="ANO18" s="48"/>
      <c r="ANP18" s="48"/>
      <c r="ANQ18" s="48"/>
      <c r="ANR18" s="48"/>
      <c r="ANS18" s="48"/>
      <c r="ANT18" s="48"/>
      <c r="ANU18" s="48"/>
      <c r="ANV18" s="48"/>
      <c r="ANW18" s="48"/>
      <c r="ANX18" s="48"/>
      <c r="ANY18" s="48"/>
      <c r="ANZ18" s="48"/>
      <c r="AOA18" s="48"/>
      <c r="AOB18" s="48"/>
      <c r="AOC18" s="48"/>
      <c r="AOD18" s="48"/>
      <c r="AOE18" s="48"/>
      <c r="AOF18" s="48"/>
      <c r="AOG18" s="48"/>
      <c r="AOH18" s="48"/>
      <c r="AOI18" s="48"/>
      <c r="AOJ18" s="48"/>
      <c r="AOK18" s="48"/>
      <c r="AOL18" s="48"/>
      <c r="AOM18" s="48"/>
      <c r="AON18" s="48"/>
      <c r="AOO18" s="48"/>
      <c r="AOP18" s="48"/>
      <c r="AOQ18" s="48"/>
      <c r="AOR18" s="48"/>
      <c r="AOS18" s="48"/>
      <c r="AOT18" s="48"/>
      <c r="AOU18" s="48"/>
      <c r="AOV18" s="48"/>
      <c r="AOW18" s="48"/>
      <c r="AOX18" s="48"/>
      <c r="AOY18" s="48"/>
      <c r="AOZ18" s="48"/>
      <c r="APA18" s="48"/>
      <c r="APB18" s="48"/>
      <c r="APC18" s="48"/>
      <c r="APD18" s="48"/>
      <c r="APE18" s="48"/>
      <c r="APF18" s="48"/>
      <c r="APG18" s="48"/>
      <c r="APH18" s="48"/>
      <c r="API18" s="48"/>
      <c r="APJ18" s="48"/>
      <c r="APK18" s="48"/>
      <c r="APL18" s="48"/>
      <c r="APM18" s="48"/>
      <c r="APN18" s="48"/>
      <c r="APO18" s="48"/>
      <c r="APP18" s="48"/>
      <c r="APQ18" s="48"/>
      <c r="APR18" s="48"/>
      <c r="APS18" s="48"/>
      <c r="APT18" s="48"/>
      <c r="APU18" s="48"/>
      <c r="APV18" s="48"/>
      <c r="APW18" s="48"/>
      <c r="APX18" s="48"/>
      <c r="APY18" s="48"/>
      <c r="APZ18" s="48"/>
      <c r="AQA18" s="48"/>
      <c r="AQB18" s="48"/>
      <c r="AQC18" s="48"/>
      <c r="AQD18" s="48"/>
      <c r="AQE18" s="48"/>
      <c r="AQF18" s="48"/>
      <c r="AQG18" s="48"/>
      <c r="AQH18" s="48"/>
      <c r="AQI18" s="48"/>
      <c r="AQJ18" s="48"/>
      <c r="AQK18" s="48"/>
      <c r="AQL18" s="48"/>
      <c r="AQM18" s="48"/>
      <c r="AQN18" s="48"/>
      <c r="AQO18" s="48"/>
      <c r="AQP18" s="48"/>
      <c r="AQQ18" s="48"/>
      <c r="AQR18" s="48"/>
      <c r="AQS18" s="48"/>
      <c r="AQT18" s="48"/>
      <c r="AQU18" s="48"/>
      <c r="AQV18" s="48"/>
      <c r="AQW18" s="48"/>
      <c r="AQX18" s="48"/>
      <c r="AQY18" s="48"/>
      <c r="AQZ18" s="48"/>
      <c r="ARA18" s="48"/>
      <c r="ARB18" s="48"/>
      <c r="ARC18" s="48"/>
      <c r="ARD18" s="48"/>
      <c r="ARE18" s="48"/>
      <c r="ARF18" s="48"/>
      <c r="ARG18" s="48"/>
      <c r="ARH18" s="48"/>
      <c r="ARI18" s="48"/>
      <c r="ARJ18" s="48"/>
      <c r="ARK18" s="48"/>
      <c r="ARL18" s="48"/>
      <c r="ARM18" s="48"/>
      <c r="ARN18" s="48"/>
      <c r="ARO18" s="48"/>
      <c r="ARP18" s="48"/>
      <c r="ARQ18" s="48"/>
      <c r="ARR18" s="48"/>
      <c r="ARS18" s="48"/>
      <c r="ART18" s="48"/>
      <c r="ARU18" s="48"/>
      <c r="ARV18" s="48"/>
      <c r="ARW18" s="48"/>
      <c r="ARX18" s="48"/>
      <c r="ARY18" s="48"/>
      <c r="ARZ18" s="48"/>
      <c r="ASA18" s="48"/>
      <c r="ASB18" s="48"/>
      <c r="ASC18" s="48"/>
      <c r="ASD18" s="48"/>
      <c r="ASE18" s="48"/>
      <c r="ASF18" s="48"/>
      <c r="ASG18" s="48"/>
      <c r="ASH18" s="48"/>
      <c r="ASI18" s="48"/>
      <c r="ASJ18" s="48"/>
      <c r="ASK18" s="48"/>
      <c r="ASL18" s="48"/>
      <c r="ASM18" s="48"/>
      <c r="ASN18" s="48"/>
      <c r="ASO18" s="48"/>
      <c r="ASP18" s="48"/>
      <c r="ASQ18" s="48"/>
      <c r="ASR18" s="48"/>
      <c r="ASS18" s="48"/>
      <c r="AST18" s="48"/>
      <c r="ASU18" s="48"/>
      <c r="ASV18" s="48"/>
      <c r="ASW18" s="48"/>
      <c r="ASX18" s="48"/>
      <c r="ASY18" s="48"/>
      <c r="ASZ18" s="48"/>
      <c r="ATA18" s="48"/>
      <c r="ATB18" s="48"/>
      <c r="ATC18" s="48"/>
      <c r="ATD18" s="48"/>
      <c r="ATE18" s="48"/>
      <c r="ATF18" s="48"/>
      <c r="ATG18" s="48"/>
      <c r="ATH18" s="48"/>
      <c r="ATI18" s="48"/>
      <c r="ATJ18" s="48"/>
      <c r="ATK18" s="48"/>
      <c r="ATL18" s="48"/>
      <c r="ATM18" s="48"/>
      <c r="ATN18" s="48"/>
      <c r="ATO18" s="48"/>
      <c r="ATP18" s="48"/>
      <c r="ATQ18" s="48"/>
      <c r="ATR18" s="48"/>
      <c r="ATS18" s="48"/>
      <c r="ATT18" s="48"/>
      <c r="ATU18" s="48"/>
      <c r="ATV18" s="48"/>
      <c r="ATW18" s="48"/>
      <c r="ATX18" s="48"/>
      <c r="ATY18" s="48"/>
      <c r="ATZ18" s="48"/>
      <c r="AUA18" s="48"/>
      <c r="AUB18" s="48"/>
      <c r="AUC18" s="48"/>
      <c r="AUD18" s="48"/>
      <c r="AUE18" s="48"/>
      <c r="AUF18" s="48"/>
      <c r="AUG18" s="48"/>
      <c r="AUH18" s="48"/>
      <c r="AUI18" s="48"/>
      <c r="AUJ18" s="48"/>
      <c r="AUK18" s="48"/>
      <c r="AUL18" s="48"/>
      <c r="AUM18" s="48"/>
      <c r="AUN18" s="48"/>
      <c r="AUO18" s="48"/>
      <c r="AUP18" s="48"/>
      <c r="AUQ18" s="48"/>
      <c r="AUR18" s="48"/>
      <c r="AUS18" s="48"/>
      <c r="AUT18" s="48"/>
      <c r="AUU18" s="48"/>
      <c r="AUV18" s="48"/>
      <c r="AUW18" s="48"/>
      <c r="AUX18" s="48"/>
      <c r="AUY18" s="48"/>
      <c r="AUZ18" s="48"/>
      <c r="AVA18" s="48"/>
      <c r="AVB18" s="48"/>
      <c r="AVC18" s="48"/>
      <c r="AVD18" s="48"/>
      <c r="AVE18" s="48"/>
      <c r="AVF18" s="48"/>
      <c r="AVG18" s="48"/>
      <c r="AVH18" s="48"/>
      <c r="AVI18" s="48"/>
      <c r="AVJ18" s="48"/>
      <c r="AVK18" s="48"/>
      <c r="AVL18" s="48"/>
      <c r="AVM18" s="48"/>
      <c r="AVN18" s="48"/>
      <c r="AVO18" s="48"/>
      <c r="AVP18" s="48"/>
      <c r="AVQ18" s="48"/>
      <c r="AVR18" s="48"/>
      <c r="AVS18" s="48"/>
      <c r="AVT18" s="48"/>
      <c r="AVU18" s="48"/>
      <c r="AVV18" s="48"/>
      <c r="AVW18" s="48"/>
      <c r="AVX18" s="48"/>
      <c r="AVY18" s="48"/>
      <c r="AVZ18" s="48"/>
      <c r="AWA18" s="48"/>
      <c r="AWB18" s="48"/>
      <c r="AWC18" s="48"/>
      <c r="AWD18" s="48"/>
      <c r="AWE18" s="48"/>
      <c r="AWF18" s="48"/>
      <c r="AWG18" s="48"/>
      <c r="AWH18" s="48"/>
      <c r="AWI18" s="48"/>
      <c r="AWJ18" s="48"/>
      <c r="AWK18" s="48"/>
      <c r="AWL18" s="48"/>
      <c r="AWM18" s="48"/>
      <c r="AWN18" s="48"/>
      <c r="AWO18" s="48"/>
      <c r="AWP18" s="48"/>
      <c r="AWQ18" s="48"/>
      <c r="AWR18" s="48"/>
      <c r="AWS18" s="48"/>
      <c r="AWT18" s="48"/>
      <c r="AWU18" s="48"/>
      <c r="AWV18" s="48"/>
      <c r="AWW18" s="48"/>
      <c r="AWX18" s="48"/>
      <c r="AWY18" s="48"/>
      <c r="AWZ18" s="48"/>
      <c r="AXA18" s="48"/>
      <c r="AXB18" s="48"/>
      <c r="AXC18" s="48"/>
      <c r="AXD18" s="48"/>
      <c r="AXE18" s="48"/>
      <c r="AXF18" s="48"/>
      <c r="AXG18" s="48"/>
      <c r="AXH18" s="48"/>
      <c r="AXI18" s="48"/>
      <c r="AXJ18" s="48"/>
      <c r="AXK18" s="48"/>
      <c r="AXL18" s="48"/>
      <c r="AXM18" s="48"/>
      <c r="AXN18" s="48"/>
      <c r="AXO18" s="48"/>
      <c r="AXP18" s="48"/>
      <c r="AXQ18" s="48"/>
      <c r="AXR18" s="48"/>
      <c r="AXS18" s="48"/>
      <c r="AXT18" s="48"/>
      <c r="AXU18" s="48"/>
      <c r="AXV18" s="48"/>
      <c r="AXW18" s="48"/>
      <c r="AXX18" s="48"/>
      <c r="AXY18" s="48"/>
      <c r="AXZ18" s="48"/>
      <c r="AYA18" s="48"/>
      <c r="AYB18" s="48"/>
      <c r="AYC18" s="48"/>
      <c r="AYD18" s="48"/>
      <c r="AYE18" s="48"/>
      <c r="AYF18" s="48"/>
      <c r="AYG18" s="48"/>
      <c r="AYH18" s="48"/>
      <c r="AYI18" s="48"/>
      <c r="AYJ18" s="48"/>
      <c r="AYK18" s="48"/>
      <c r="AYL18" s="48"/>
      <c r="AYM18" s="48"/>
      <c r="AYN18" s="48"/>
      <c r="AYO18" s="48"/>
      <c r="AYP18" s="48"/>
      <c r="AYQ18" s="48"/>
      <c r="AYR18" s="48"/>
      <c r="AYS18" s="48"/>
      <c r="AYT18" s="48"/>
      <c r="AYU18" s="48"/>
      <c r="AYV18" s="48"/>
      <c r="AYW18" s="48"/>
      <c r="AYX18" s="48"/>
      <c r="AYY18" s="48"/>
      <c r="AYZ18" s="48"/>
      <c r="AZA18" s="48"/>
      <c r="AZB18" s="48"/>
      <c r="AZC18" s="48"/>
      <c r="AZD18" s="48"/>
      <c r="AZE18" s="48"/>
      <c r="AZF18" s="48"/>
      <c r="AZG18" s="48"/>
      <c r="AZH18" s="48"/>
      <c r="AZI18" s="48"/>
      <c r="AZJ18" s="48"/>
      <c r="AZK18" s="48"/>
      <c r="AZL18" s="48"/>
      <c r="AZM18" s="48"/>
      <c r="AZN18" s="48"/>
      <c r="AZO18" s="48"/>
      <c r="AZP18" s="48"/>
      <c r="AZQ18" s="48"/>
      <c r="AZR18" s="48"/>
      <c r="AZS18" s="48"/>
      <c r="AZT18" s="48"/>
      <c r="AZU18" s="48"/>
      <c r="AZV18" s="48"/>
      <c r="AZW18" s="48"/>
      <c r="AZX18" s="48"/>
      <c r="AZY18" s="48"/>
      <c r="AZZ18" s="48"/>
      <c r="BAA18" s="48"/>
      <c r="BAB18" s="48"/>
      <c r="BAC18" s="48"/>
      <c r="BAD18" s="48"/>
      <c r="BAE18" s="48"/>
      <c r="BAF18" s="48"/>
      <c r="BAG18" s="48"/>
      <c r="BAH18" s="48"/>
      <c r="BAI18" s="48"/>
      <c r="BAJ18" s="48"/>
      <c r="BAK18" s="48"/>
      <c r="BAL18" s="48"/>
      <c r="BAM18" s="48"/>
      <c r="BAN18" s="48"/>
      <c r="BAO18" s="48"/>
      <c r="BAP18" s="48"/>
      <c r="BAQ18" s="48"/>
      <c r="BAR18" s="48"/>
      <c r="BAS18" s="48"/>
      <c r="BAT18" s="48"/>
      <c r="BAU18" s="48"/>
      <c r="BAV18" s="48"/>
      <c r="BAW18" s="48"/>
      <c r="BAX18" s="48"/>
    </row>
    <row r="19" spans="1:1402" s="141" customFormat="1" ht="60" hidden="1" x14ac:dyDescent="0.25">
      <c r="A19" s="307">
        <f t="shared" si="3"/>
        <v>18</v>
      </c>
      <c r="B19" s="308" t="s">
        <v>67</v>
      </c>
      <c r="C19" s="308" t="s">
        <v>659</v>
      </c>
      <c r="D19" s="308" t="s">
        <v>986</v>
      </c>
      <c r="E19" s="308" t="s">
        <v>987</v>
      </c>
      <c r="F19" s="308" t="s">
        <v>988</v>
      </c>
      <c r="G19" s="308" t="s">
        <v>719</v>
      </c>
      <c r="H19" s="272">
        <f t="shared" si="0"/>
        <v>-150</v>
      </c>
      <c r="I19" s="263">
        <v>250000</v>
      </c>
      <c r="J19" s="263">
        <v>4264</v>
      </c>
      <c r="K19" s="263">
        <f>Master20[[#This Row],[Initial Budget]]-Master20[[#This Row],[Previously Committed Funds]]</f>
        <v>245736</v>
      </c>
      <c r="L19" s="263"/>
      <c r="M19" s="263">
        <v>250000</v>
      </c>
      <c r="N19" s="268">
        <f>Master20[[#This Row],[Design $ (Add/Deduct)]]+Master20[[#This Row],[Construction $ (Add/Ded)]]</f>
        <v>250000</v>
      </c>
      <c r="O19" s="223">
        <v>500000</v>
      </c>
      <c r="P19" s="311">
        <v>2021</v>
      </c>
      <c r="Q19" s="308" t="s">
        <v>36</v>
      </c>
      <c r="R19" s="311">
        <f t="shared" si="5"/>
        <v>10</v>
      </c>
      <c r="S19" s="309">
        <v>2</v>
      </c>
      <c r="T19" s="310">
        <f t="shared" si="1"/>
        <v>6</v>
      </c>
      <c r="U19" s="309" t="s">
        <v>41</v>
      </c>
      <c r="V19" s="310">
        <f t="shared" si="2"/>
        <v>4</v>
      </c>
      <c r="W19" s="310" t="s">
        <v>30</v>
      </c>
      <c r="X19" s="302">
        <v>0</v>
      </c>
      <c r="Y19" s="302">
        <v>-1</v>
      </c>
      <c r="Z19" s="302">
        <v>-3</v>
      </c>
      <c r="AA19" s="302">
        <v>0</v>
      </c>
      <c r="AB19" s="302">
        <v>0</v>
      </c>
      <c r="AC19" s="302">
        <v>0</v>
      </c>
      <c r="AD19" s="302">
        <v>-3</v>
      </c>
      <c r="AE19" s="302"/>
      <c r="AF19" s="303" t="s">
        <v>29</v>
      </c>
      <c r="AG19" s="305">
        <f>VLOOKUP(Master20[[#This Row],[Elevated Priority]],Epriority,2,)</f>
        <v>0</v>
      </c>
      <c r="AH19" s="321">
        <f>IF(Master20[[#This Row],[Status]]="Active",Master20[[#This Row],[Status_Score]],IF(D19="","",R19+H19+T19+V19+AG19+AE19+Master20[[#This Row],[Risk Mitigation]]+Master20[[#This Row],[Master Plan]]+Master20[[#This Row],[Community Request]]+Master20[[#This Row],[Community need]]+Master20[[#This Row],[Offset Aging Inf.]]+Master20[[#This Row],[Energy Savings]]+Master20[[#This Row],[Gen Revenue]]-5))</f>
        <v>-142</v>
      </c>
      <c r="AI19" s="299" t="s">
        <v>758</v>
      </c>
      <c r="AJ19" s="310">
        <v>2021</v>
      </c>
      <c r="AK19" s="310">
        <v>2022</v>
      </c>
      <c r="AL19" s="310">
        <v>2021</v>
      </c>
      <c r="AM19" s="310">
        <v>2022</v>
      </c>
      <c r="AN19" s="308" t="s">
        <v>1174</v>
      </c>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row>
    <row r="20" spans="1:1402" s="141" customFormat="1" ht="43.5" hidden="1" customHeight="1" x14ac:dyDescent="0.25">
      <c r="A20" s="307">
        <f t="shared" si="3"/>
        <v>19</v>
      </c>
      <c r="B20" s="308" t="s">
        <v>1200</v>
      </c>
      <c r="C20" s="308" t="s">
        <v>1045</v>
      </c>
      <c r="D20" s="308" t="s">
        <v>313</v>
      </c>
      <c r="E20" s="308" t="s">
        <v>890</v>
      </c>
      <c r="F20" s="308" t="s">
        <v>315</v>
      </c>
      <c r="G20" s="308" t="s">
        <v>719</v>
      </c>
      <c r="H20" s="308">
        <f t="shared" si="0"/>
        <v>-150</v>
      </c>
      <c r="I20" s="263">
        <v>12000000</v>
      </c>
      <c r="J20" s="263">
        <v>622279</v>
      </c>
      <c r="K20" s="263">
        <f>Master20[[#This Row],[Initial Budget]]-Master20[[#This Row],[Previously Committed Funds]]</f>
        <v>11377721</v>
      </c>
      <c r="L20" s="263"/>
      <c r="M20" s="263">
        <v>4000000</v>
      </c>
      <c r="N20" s="268">
        <f>Master20[[#This Row],[Design $ (Add/Deduct)]]+Master20[[#This Row],[Construction $ (Add/Ded)]]</f>
        <v>4000000</v>
      </c>
      <c r="O20" s="266">
        <v>17000000</v>
      </c>
      <c r="P20" s="311">
        <v>2018</v>
      </c>
      <c r="Q20" s="308" t="s">
        <v>687</v>
      </c>
      <c r="R20" s="311">
        <f t="shared" si="5"/>
        <v>30</v>
      </c>
      <c r="S20" s="310">
        <v>1</v>
      </c>
      <c r="T20" s="310">
        <f t="shared" si="1"/>
        <v>3</v>
      </c>
      <c r="U20" s="310" t="s">
        <v>41</v>
      </c>
      <c r="V20" s="310">
        <f t="shared" si="2"/>
        <v>4</v>
      </c>
      <c r="W20" s="310" t="s">
        <v>34</v>
      </c>
      <c r="X20" s="310">
        <v>-5</v>
      </c>
      <c r="Y20" s="310">
        <v>-3</v>
      </c>
      <c r="Z20" s="310">
        <v>-3</v>
      </c>
      <c r="AA20" s="310">
        <v>-3</v>
      </c>
      <c r="AB20" s="310">
        <v>0</v>
      </c>
      <c r="AC20" s="310">
        <v>-5</v>
      </c>
      <c r="AD20" s="310">
        <v>-3</v>
      </c>
      <c r="AE20" s="310"/>
      <c r="AF20" s="309" t="s">
        <v>29</v>
      </c>
      <c r="AG20" s="311">
        <f>VLOOKUP(Master20[[#This Row],[Elevated Priority]],Epriority,2,)</f>
        <v>0</v>
      </c>
      <c r="AH20" s="321">
        <f>IF(Master20[[#This Row],[Status]]="Active",Master20[[#This Row],[Status_Score]],IF(D20="","",R20+H20+T20+V20+AG20+AE20+Master20[[#This Row],[Risk Mitigation]]+Master20[[#This Row],[Master Plan]]+Master20[[#This Row],[Community Request]]+Master20[[#This Row],[Community need]]+Master20[[#This Row],[Offset Aging Inf.]]+Master20[[#This Row],[Energy Savings]]+Master20[[#This Row],[Gen Revenue]]-5))</f>
        <v>-140</v>
      </c>
      <c r="AI20" s="310" t="s">
        <v>754</v>
      </c>
      <c r="AJ20" s="310">
        <v>2020</v>
      </c>
      <c r="AK20" s="310">
        <v>2023</v>
      </c>
      <c r="AL20" s="310">
        <v>2020</v>
      </c>
      <c r="AM20" s="310">
        <v>2023</v>
      </c>
      <c r="AN20" s="308" t="s">
        <v>1175</v>
      </c>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c r="AML20" s="48"/>
      <c r="AMM20" s="48"/>
      <c r="AMN20" s="48"/>
      <c r="AMO20" s="48"/>
      <c r="AMP20" s="48"/>
      <c r="AMQ20" s="48"/>
      <c r="AMR20" s="48"/>
      <c r="AMS20" s="48"/>
      <c r="AMT20" s="48"/>
      <c r="AMU20" s="48"/>
      <c r="AMV20" s="48"/>
      <c r="AMW20" s="48"/>
      <c r="AMX20" s="48"/>
      <c r="AMY20" s="48"/>
      <c r="AMZ20" s="48"/>
      <c r="ANA20" s="48"/>
      <c r="ANB20" s="48"/>
      <c r="ANC20" s="48"/>
      <c r="AND20" s="48"/>
      <c r="ANE20" s="48"/>
      <c r="ANF20" s="48"/>
      <c r="ANG20" s="48"/>
      <c r="ANH20" s="48"/>
      <c r="ANI20" s="48"/>
      <c r="ANJ20" s="48"/>
      <c r="ANK20" s="48"/>
      <c r="ANL20" s="48"/>
      <c r="ANM20" s="48"/>
      <c r="ANN20" s="48"/>
      <c r="ANO20" s="48"/>
      <c r="ANP20" s="48"/>
      <c r="ANQ20" s="48"/>
      <c r="ANR20" s="48"/>
      <c r="ANS20" s="48"/>
      <c r="ANT20" s="48"/>
      <c r="ANU20" s="48"/>
      <c r="ANV20" s="48"/>
      <c r="ANW20" s="48"/>
      <c r="ANX20" s="48"/>
      <c r="ANY20" s="48"/>
      <c r="ANZ20" s="48"/>
      <c r="AOA20" s="48"/>
      <c r="AOB20" s="48"/>
      <c r="AOC20" s="48"/>
      <c r="AOD20" s="48"/>
      <c r="AOE20" s="48"/>
      <c r="AOF20" s="48"/>
      <c r="AOG20" s="48"/>
      <c r="AOH20" s="48"/>
      <c r="AOI20" s="48"/>
      <c r="AOJ20" s="48"/>
      <c r="AOK20" s="48"/>
      <c r="AOL20" s="48"/>
      <c r="AOM20" s="48"/>
      <c r="AON20" s="48"/>
      <c r="AOO20" s="48"/>
      <c r="AOP20" s="48"/>
      <c r="AOQ20" s="48"/>
      <c r="AOR20" s="48"/>
      <c r="AOS20" s="48"/>
      <c r="AOT20" s="48"/>
      <c r="AOU20" s="48"/>
      <c r="AOV20" s="48"/>
      <c r="AOW20" s="48"/>
      <c r="AOX20" s="48"/>
      <c r="AOY20" s="48"/>
      <c r="AOZ20" s="48"/>
      <c r="APA20" s="48"/>
      <c r="APB20" s="48"/>
      <c r="APC20" s="48"/>
      <c r="APD20" s="48"/>
      <c r="APE20" s="48"/>
      <c r="APF20" s="48"/>
      <c r="APG20" s="48"/>
      <c r="APH20" s="48"/>
      <c r="API20" s="48"/>
      <c r="APJ20" s="48"/>
      <c r="APK20" s="48"/>
      <c r="APL20" s="48"/>
      <c r="APM20" s="48"/>
      <c r="APN20" s="48"/>
      <c r="APO20" s="48"/>
      <c r="APP20" s="48"/>
      <c r="APQ20" s="48"/>
      <c r="APR20" s="48"/>
      <c r="APS20" s="48"/>
      <c r="APT20" s="48"/>
      <c r="APU20" s="48"/>
      <c r="APV20" s="48"/>
      <c r="APW20" s="48"/>
      <c r="APX20" s="48"/>
      <c r="APY20" s="48"/>
      <c r="APZ20" s="48"/>
      <c r="AQA20" s="48"/>
      <c r="AQB20" s="48"/>
      <c r="AQC20" s="48"/>
      <c r="AQD20" s="48"/>
      <c r="AQE20" s="48"/>
      <c r="AQF20" s="48"/>
      <c r="AQG20" s="48"/>
      <c r="AQH20" s="48"/>
      <c r="AQI20" s="48"/>
      <c r="AQJ20" s="48"/>
      <c r="AQK20" s="48"/>
      <c r="AQL20" s="48"/>
      <c r="AQM20" s="48"/>
      <c r="AQN20" s="48"/>
      <c r="AQO20" s="48"/>
      <c r="AQP20" s="48"/>
      <c r="AQQ20" s="48"/>
      <c r="AQR20" s="48"/>
      <c r="AQS20" s="48"/>
      <c r="AQT20" s="48"/>
      <c r="AQU20" s="48"/>
      <c r="AQV20" s="48"/>
      <c r="AQW20" s="48"/>
      <c r="AQX20" s="48"/>
      <c r="AQY20" s="48"/>
      <c r="AQZ20" s="48"/>
      <c r="ARA20" s="48"/>
      <c r="ARB20" s="48"/>
      <c r="ARC20" s="48"/>
      <c r="ARD20" s="48"/>
      <c r="ARE20" s="48"/>
      <c r="ARF20" s="48"/>
      <c r="ARG20" s="48"/>
      <c r="ARH20" s="48"/>
      <c r="ARI20" s="48"/>
      <c r="ARJ20" s="48"/>
      <c r="ARK20" s="48"/>
      <c r="ARL20" s="48"/>
      <c r="ARM20" s="48"/>
      <c r="ARN20" s="48"/>
      <c r="ARO20" s="48"/>
      <c r="ARP20" s="48"/>
      <c r="ARQ20" s="48"/>
      <c r="ARR20" s="48"/>
      <c r="ARS20" s="48"/>
      <c r="ART20" s="48"/>
      <c r="ARU20" s="48"/>
      <c r="ARV20" s="48"/>
      <c r="ARW20" s="48"/>
      <c r="ARX20" s="48"/>
      <c r="ARY20" s="48"/>
      <c r="ARZ20" s="48"/>
      <c r="ASA20" s="48"/>
      <c r="ASB20" s="48"/>
      <c r="ASC20" s="48"/>
      <c r="ASD20" s="48"/>
      <c r="ASE20" s="48"/>
      <c r="ASF20" s="48"/>
      <c r="ASG20" s="48"/>
      <c r="ASH20" s="48"/>
      <c r="ASI20" s="48"/>
      <c r="ASJ20" s="48"/>
      <c r="ASK20" s="48"/>
      <c r="ASL20" s="48"/>
      <c r="ASM20" s="48"/>
      <c r="ASN20" s="48"/>
      <c r="ASO20" s="48"/>
      <c r="ASP20" s="48"/>
      <c r="ASQ20" s="48"/>
      <c r="ASR20" s="48"/>
      <c r="ASS20" s="48"/>
      <c r="AST20" s="48"/>
      <c r="ASU20" s="48"/>
      <c r="ASV20" s="48"/>
      <c r="ASW20" s="48"/>
      <c r="ASX20" s="48"/>
      <c r="ASY20" s="48"/>
      <c r="ASZ20" s="48"/>
      <c r="ATA20" s="48"/>
      <c r="ATB20" s="48"/>
      <c r="ATC20" s="48"/>
      <c r="ATD20" s="48"/>
      <c r="ATE20" s="48"/>
      <c r="ATF20" s="48"/>
      <c r="ATG20" s="48"/>
      <c r="ATH20" s="48"/>
      <c r="ATI20" s="48"/>
      <c r="ATJ20" s="48"/>
      <c r="ATK20" s="48"/>
      <c r="ATL20" s="48"/>
      <c r="ATM20" s="48"/>
      <c r="ATN20" s="48"/>
      <c r="ATO20" s="48"/>
      <c r="ATP20" s="48"/>
      <c r="ATQ20" s="48"/>
      <c r="ATR20" s="48"/>
      <c r="ATS20" s="48"/>
      <c r="ATT20" s="48"/>
      <c r="ATU20" s="48"/>
      <c r="ATV20" s="48"/>
      <c r="ATW20" s="48"/>
      <c r="ATX20" s="48"/>
      <c r="ATY20" s="48"/>
      <c r="ATZ20" s="48"/>
      <c r="AUA20" s="48"/>
      <c r="AUB20" s="48"/>
      <c r="AUC20" s="48"/>
      <c r="AUD20" s="48"/>
      <c r="AUE20" s="48"/>
      <c r="AUF20" s="48"/>
      <c r="AUG20" s="48"/>
      <c r="AUH20" s="48"/>
      <c r="AUI20" s="48"/>
      <c r="AUJ20" s="48"/>
      <c r="AUK20" s="48"/>
      <c r="AUL20" s="48"/>
      <c r="AUM20" s="48"/>
      <c r="AUN20" s="48"/>
      <c r="AUO20" s="48"/>
      <c r="AUP20" s="48"/>
      <c r="AUQ20" s="48"/>
      <c r="AUR20" s="48"/>
      <c r="AUS20" s="48"/>
      <c r="AUT20" s="48"/>
      <c r="AUU20" s="48"/>
      <c r="AUV20" s="48"/>
      <c r="AUW20" s="48"/>
      <c r="AUX20" s="48"/>
      <c r="AUY20" s="48"/>
      <c r="AUZ20" s="48"/>
      <c r="AVA20" s="48"/>
      <c r="AVB20" s="48"/>
      <c r="AVC20" s="48"/>
      <c r="AVD20" s="48"/>
      <c r="AVE20" s="48"/>
      <c r="AVF20" s="48"/>
      <c r="AVG20" s="48"/>
      <c r="AVH20" s="48"/>
      <c r="AVI20" s="48"/>
      <c r="AVJ20" s="48"/>
      <c r="AVK20" s="48"/>
      <c r="AVL20" s="48"/>
      <c r="AVM20" s="48"/>
      <c r="AVN20" s="48"/>
      <c r="AVO20" s="48"/>
      <c r="AVP20" s="48"/>
      <c r="AVQ20" s="48"/>
      <c r="AVR20" s="48"/>
      <c r="AVS20" s="48"/>
      <c r="AVT20" s="48"/>
      <c r="AVU20" s="48"/>
      <c r="AVV20" s="48"/>
      <c r="AVW20" s="48"/>
      <c r="AVX20" s="48"/>
      <c r="AVY20" s="48"/>
      <c r="AVZ20" s="48"/>
      <c r="AWA20" s="48"/>
      <c r="AWB20" s="48"/>
      <c r="AWC20" s="48"/>
      <c r="AWD20" s="48"/>
      <c r="AWE20" s="48"/>
      <c r="AWF20" s="48"/>
      <c r="AWG20" s="48"/>
      <c r="AWH20" s="48"/>
      <c r="AWI20" s="48"/>
      <c r="AWJ20" s="48"/>
      <c r="AWK20" s="48"/>
      <c r="AWL20" s="48"/>
      <c r="AWM20" s="48"/>
      <c r="AWN20" s="48"/>
      <c r="AWO20" s="48"/>
      <c r="AWP20" s="48"/>
      <c r="AWQ20" s="48"/>
      <c r="AWR20" s="48"/>
      <c r="AWS20" s="48"/>
      <c r="AWT20" s="48"/>
      <c r="AWU20" s="48"/>
      <c r="AWV20" s="48"/>
      <c r="AWW20" s="48"/>
      <c r="AWX20" s="48"/>
      <c r="AWY20" s="48"/>
      <c r="AWZ20" s="48"/>
      <c r="AXA20" s="48"/>
      <c r="AXB20" s="48"/>
      <c r="AXC20" s="48"/>
      <c r="AXD20" s="48"/>
      <c r="AXE20" s="48"/>
      <c r="AXF20" s="48"/>
      <c r="AXG20" s="48"/>
      <c r="AXH20" s="48"/>
      <c r="AXI20" s="48"/>
      <c r="AXJ20" s="48"/>
      <c r="AXK20" s="48"/>
      <c r="AXL20" s="48"/>
      <c r="AXM20" s="48"/>
      <c r="AXN20" s="48"/>
      <c r="AXO20" s="48"/>
      <c r="AXP20" s="48"/>
      <c r="AXQ20" s="48"/>
      <c r="AXR20" s="48"/>
      <c r="AXS20" s="48"/>
      <c r="AXT20" s="48"/>
      <c r="AXU20" s="48"/>
      <c r="AXV20" s="48"/>
      <c r="AXW20" s="48"/>
      <c r="AXX20" s="48"/>
      <c r="AXY20" s="48"/>
      <c r="AXZ20" s="48"/>
      <c r="AYA20" s="48"/>
      <c r="AYB20" s="48"/>
      <c r="AYC20" s="48"/>
      <c r="AYD20" s="48"/>
      <c r="AYE20" s="48"/>
      <c r="AYF20" s="48"/>
      <c r="AYG20" s="48"/>
      <c r="AYH20" s="48"/>
      <c r="AYI20" s="48"/>
      <c r="AYJ20" s="48"/>
      <c r="AYK20" s="48"/>
      <c r="AYL20" s="48"/>
      <c r="AYM20" s="48"/>
      <c r="AYN20" s="48"/>
      <c r="AYO20" s="48"/>
      <c r="AYP20" s="48"/>
      <c r="AYQ20" s="48"/>
      <c r="AYR20" s="48"/>
      <c r="AYS20" s="48"/>
      <c r="AYT20" s="48"/>
      <c r="AYU20" s="48"/>
      <c r="AYV20" s="48"/>
      <c r="AYW20" s="48"/>
      <c r="AYX20" s="48"/>
      <c r="AYY20" s="48"/>
      <c r="AYZ20" s="48"/>
      <c r="AZA20" s="48"/>
      <c r="AZB20" s="48"/>
      <c r="AZC20" s="48"/>
      <c r="AZD20" s="48"/>
      <c r="AZE20" s="48"/>
      <c r="AZF20" s="48"/>
      <c r="AZG20" s="48"/>
      <c r="AZH20" s="48"/>
      <c r="AZI20" s="48"/>
      <c r="AZJ20" s="48"/>
      <c r="AZK20" s="48"/>
      <c r="AZL20" s="48"/>
      <c r="AZM20" s="48"/>
      <c r="AZN20" s="48"/>
      <c r="AZO20" s="48"/>
      <c r="AZP20" s="48"/>
      <c r="AZQ20" s="48"/>
      <c r="AZR20" s="48"/>
      <c r="AZS20" s="48"/>
      <c r="AZT20" s="48"/>
      <c r="AZU20" s="48"/>
      <c r="AZV20" s="48"/>
      <c r="AZW20" s="48"/>
      <c r="AZX20" s="48"/>
      <c r="AZY20" s="48"/>
      <c r="AZZ20" s="48"/>
      <c r="BAA20" s="48"/>
      <c r="BAB20" s="48"/>
      <c r="BAC20" s="48"/>
      <c r="BAD20" s="48"/>
      <c r="BAE20" s="48"/>
      <c r="BAF20" s="48"/>
      <c r="BAG20" s="48"/>
      <c r="BAH20" s="48"/>
      <c r="BAI20" s="48"/>
      <c r="BAJ20" s="48"/>
      <c r="BAK20" s="48"/>
      <c r="BAL20" s="48"/>
      <c r="BAM20" s="48"/>
      <c r="BAN20" s="48"/>
      <c r="BAO20" s="48"/>
      <c r="BAP20" s="48"/>
      <c r="BAQ20" s="48"/>
      <c r="BAR20" s="48"/>
      <c r="BAS20" s="48"/>
      <c r="BAT20" s="48"/>
      <c r="BAU20" s="48"/>
      <c r="BAV20" s="48"/>
      <c r="BAW20" s="48"/>
      <c r="BAX20" s="48"/>
    </row>
    <row r="21" spans="1:1402" s="141" customFormat="1" ht="60" hidden="1" x14ac:dyDescent="0.25">
      <c r="A21" s="307">
        <f t="shared" si="3"/>
        <v>20</v>
      </c>
      <c r="B21" s="308" t="s">
        <v>65</v>
      </c>
      <c r="C21" s="308" t="s">
        <v>1045</v>
      </c>
      <c r="D21" s="308" t="s">
        <v>959</v>
      </c>
      <c r="E21" s="308" t="s">
        <v>949</v>
      </c>
      <c r="F21" s="308" t="s">
        <v>950</v>
      </c>
      <c r="G21" s="308" t="s">
        <v>719</v>
      </c>
      <c r="H21" s="272">
        <f t="shared" si="0"/>
        <v>-150</v>
      </c>
      <c r="I21" s="263"/>
      <c r="J21" s="263"/>
      <c r="K21" s="263">
        <f>Master20[[#This Row],[Initial Budget]]-Master20[[#This Row],[Previously Committed Funds]]</f>
        <v>0</v>
      </c>
      <c r="L21" s="263"/>
      <c r="M21" s="263"/>
      <c r="N21" s="268">
        <f>Master20[[#This Row],[Design $ (Add/Deduct)]]+Master20[[#This Row],[Construction $ (Add/Ded)]]</f>
        <v>0</v>
      </c>
      <c r="O21" s="266">
        <v>50000</v>
      </c>
      <c r="P21" s="311">
        <v>2020</v>
      </c>
      <c r="Q21" s="308" t="s">
        <v>830</v>
      </c>
      <c r="R21" s="311">
        <f t="shared" si="5"/>
        <v>10</v>
      </c>
      <c r="S21" s="310">
        <v>1</v>
      </c>
      <c r="T21" s="310">
        <f t="shared" si="1"/>
        <v>3</v>
      </c>
      <c r="U21" s="310" t="s">
        <v>37</v>
      </c>
      <c r="V21" s="310">
        <f t="shared" si="2"/>
        <v>3</v>
      </c>
      <c r="W21" s="310" t="s">
        <v>30</v>
      </c>
      <c r="X21" s="310">
        <v>0</v>
      </c>
      <c r="Y21" s="310">
        <v>0</v>
      </c>
      <c r="Z21" s="310">
        <v>0</v>
      </c>
      <c r="AA21" s="310">
        <v>0</v>
      </c>
      <c r="AB21" s="310">
        <v>0</v>
      </c>
      <c r="AC21" s="310">
        <v>0</v>
      </c>
      <c r="AD21" s="310">
        <v>0</v>
      </c>
      <c r="AE21" s="310"/>
      <c r="AF21" s="309" t="s">
        <v>29</v>
      </c>
      <c r="AG21" s="311">
        <f>VLOOKUP(Master20[[#This Row],[Elevated Priority]],Epriority,2,)</f>
        <v>0</v>
      </c>
      <c r="AH21" s="321">
        <f>IF(Master20[[#This Row],[Status]]="Active",Master20[[#This Row],[Status_Score]],IF(D21="","",R21+H21+T21+V21+AG21+AE21+Master20[[#This Row],[Risk Mitigation]]+Master20[[#This Row],[Master Plan]]+Master20[[#This Row],[Community Request]]+Master20[[#This Row],[Community need]]+Master20[[#This Row],[Offset Aging Inf.]]+Master20[[#This Row],[Energy Savings]]+Master20[[#This Row],[Gen Revenue]]-5))</f>
        <v>-139</v>
      </c>
      <c r="AI21" s="310" t="s">
        <v>717</v>
      </c>
      <c r="AJ21" s="310">
        <v>2021</v>
      </c>
      <c r="AK21" s="310">
        <v>2021</v>
      </c>
      <c r="AL21" s="310">
        <v>2021</v>
      </c>
      <c r="AM21" s="310">
        <v>2022</v>
      </c>
      <c r="AN21" s="308" t="s">
        <v>1176</v>
      </c>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c r="AML21" s="48"/>
      <c r="AMM21" s="48"/>
      <c r="AMN21" s="48"/>
      <c r="AMO21" s="48"/>
      <c r="AMP21" s="48"/>
      <c r="AMQ21" s="48"/>
      <c r="AMR21" s="48"/>
      <c r="AMS21" s="48"/>
      <c r="AMT21" s="48"/>
      <c r="AMU21" s="48"/>
      <c r="AMV21" s="48"/>
      <c r="AMW21" s="48"/>
      <c r="AMX21" s="48"/>
      <c r="AMY21" s="48"/>
      <c r="AMZ21" s="48"/>
      <c r="ANA21" s="48"/>
      <c r="ANB21" s="48"/>
      <c r="ANC21" s="48"/>
      <c r="AND21" s="48"/>
      <c r="ANE21" s="48"/>
      <c r="ANF21" s="48"/>
      <c r="ANG21" s="48"/>
      <c r="ANH21" s="48"/>
      <c r="ANI21" s="48"/>
      <c r="ANJ21" s="48"/>
      <c r="ANK21" s="48"/>
      <c r="ANL21" s="48"/>
      <c r="ANM21" s="48"/>
      <c r="ANN21" s="48"/>
      <c r="ANO21" s="48"/>
      <c r="ANP21" s="48"/>
      <c r="ANQ21" s="48"/>
      <c r="ANR21" s="48"/>
      <c r="ANS21" s="48"/>
      <c r="ANT21" s="48"/>
      <c r="ANU21" s="48"/>
      <c r="ANV21" s="48"/>
      <c r="ANW21" s="48"/>
      <c r="ANX21" s="48"/>
      <c r="ANY21" s="48"/>
      <c r="ANZ21" s="48"/>
      <c r="AOA21" s="48"/>
      <c r="AOB21" s="48"/>
      <c r="AOC21" s="48"/>
      <c r="AOD21" s="48"/>
      <c r="AOE21" s="48"/>
      <c r="AOF21" s="48"/>
      <c r="AOG21" s="48"/>
      <c r="AOH21" s="48"/>
      <c r="AOI21" s="48"/>
      <c r="AOJ21" s="48"/>
      <c r="AOK21" s="48"/>
      <c r="AOL21" s="48"/>
      <c r="AOM21" s="48"/>
      <c r="AON21" s="48"/>
      <c r="AOO21" s="48"/>
      <c r="AOP21" s="48"/>
      <c r="AOQ21" s="48"/>
      <c r="AOR21" s="48"/>
      <c r="AOS21" s="48"/>
      <c r="AOT21" s="48"/>
      <c r="AOU21" s="48"/>
      <c r="AOV21" s="48"/>
      <c r="AOW21" s="48"/>
      <c r="AOX21" s="48"/>
      <c r="AOY21" s="48"/>
      <c r="AOZ21" s="48"/>
      <c r="APA21" s="48"/>
      <c r="APB21" s="48"/>
      <c r="APC21" s="48"/>
      <c r="APD21" s="48"/>
      <c r="APE21" s="48"/>
      <c r="APF21" s="48"/>
      <c r="APG21" s="48"/>
      <c r="APH21" s="48"/>
      <c r="API21" s="48"/>
      <c r="APJ21" s="48"/>
      <c r="APK21" s="48"/>
      <c r="APL21" s="48"/>
      <c r="APM21" s="48"/>
      <c r="APN21" s="48"/>
      <c r="APO21" s="48"/>
      <c r="APP21" s="48"/>
      <c r="APQ21" s="48"/>
      <c r="APR21" s="48"/>
      <c r="APS21" s="48"/>
      <c r="APT21" s="48"/>
      <c r="APU21" s="48"/>
      <c r="APV21" s="48"/>
      <c r="APW21" s="48"/>
      <c r="APX21" s="48"/>
      <c r="APY21" s="48"/>
      <c r="APZ21" s="48"/>
      <c r="AQA21" s="48"/>
      <c r="AQB21" s="48"/>
      <c r="AQC21" s="48"/>
      <c r="AQD21" s="48"/>
      <c r="AQE21" s="48"/>
      <c r="AQF21" s="48"/>
      <c r="AQG21" s="48"/>
      <c r="AQH21" s="48"/>
      <c r="AQI21" s="48"/>
      <c r="AQJ21" s="48"/>
      <c r="AQK21" s="48"/>
      <c r="AQL21" s="48"/>
      <c r="AQM21" s="48"/>
      <c r="AQN21" s="48"/>
      <c r="AQO21" s="48"/>
      <c r="AQP21" s="48"/>
      <c r="AQQ21" s="48"/>
      <c r="AQR21" s="48"/>
      <c r="AQS21" s="48"/>
      <c r="AQT21" s="48"/>
      <c r="AQU21" s="48"/>
      <c r="AQV21" s="48"/>
      <c r="AQW21" s="48"/>
      <c r="AQX21" s="48"/>
      <c r="AQY21" s="48"/>
      <c r="AQZ21" s="48"/>
      <c r="ARA21" s="48"/>
      <c r="ARB21" s="48"/>
      <c r="ARC21" s="48"/>
      <c r="ARD21" s="48"/>
      <c r="ARE21" s="48"/>
      <c r="ARF21" s="48"/>
      <c r="ARG21" s="48"/>
      <c r="ARH21" s="48"/>
      <c r="ARI21" s="48"/>
      <c r="ARJ21" s="48"/>
      <c r="ARK21" s="48"/>
      <c r="ARL21" s="48"/>
      <c r="ARM21" s="48"/>
      <c r="ARN21" s="48"/>
      <c r="ARO21" s="48"/>
      <c r="ARP21" s="48"/>
      <c r="ARQ21" s="48"/>
      <c r="ARR21" s="48"/>
      <c r="ARS21" s="48"/>
      <c r="ART21" s="48"/>
      <c r="ARU21" s="48"/>
      <c r="ARV21" s="48"/>
      <c r="ARW21" s="48"/>
      <c r="ARX21" s="48"/>
      <c r="ARY21" s="48"/>
      <c r="ARZ21" s="48"/>
      <c r="ASA21" s="48"/>
      <c r="ASB21" s="48"/>
      <c r="ASC21" s="48"/>
      <c r="ASD21" s="48"/>
      <c r="ASE21" s="48"/>
      <c r="ASF21" s="48"/>
      <c r="ASG21" s="48"/>
      <c r="ASH21" s="48"/>
      <c r="ASI21" s="48"/>
      <c r="ASJ21" s="48"/>
      <c r="ASK21" s="48"/>
      <c r="ASL21" s="48"/>
      <c r="ASM21" s="48"/>
      <c r="ASN21" s="48"/>
      <c r="ASO21" s="48"/>
      <c r="ASP21" s="48"/>
      <c r="ASQ21" s="48"/>
      <c r="ASR21" s="48"/>
      <c r="ASS21" s="48"/>
      <c r="AST21" s="48"/>
      <c r="ASU21" s="48"/>
      <c r="ASV21" s="48"/>
      <c r="ASW21" s="48"/>
      <c r="ASX21" s="48"/>
      <c r="ASY21" s="48"/>
      <c r="ASZ21" s="48"/>
      <c r="ATA21" s="48"/>
      <c r="ATB21" s="48"/>
      <c r="ATC21" s="48"/>
      <c r="ATD21" s="48"/>
      <c r="ATE21" s="48"/>
      <c r="ATF21" s="48"/>
      <c r="ATG21" s="48"/>
      <c r="ATH21" s="48"/>
      <c r="ATI21" s="48"/>
      <c r="ATJ21" s="48"/>
      <c r="ATK21" s="48"/>
      <c r="ATL21" s="48"/>
      <c r="ATM21" s="48"/>
      <c r="ATN21" s="48"/>
      <c r="ATO21" s="48"/>
      <c r="ATP21" s="48"/>
      <c r="ATQ21" s="48"/>
      <c r="ATR21" s="48"/>
      <c r="ATS21" s="48"/>
      <c r="ATT21" s="48"/>
      <c r="ATU21" s="48"/>
      <c r="ATV21" s="48"/>
      <c r="ATW21" s="48"/>
      <c r="ATX21" s="48"/>
      <c r="ATY21" s="48"/>
      <c r="ATZ21" s="48"/>
      <c r="AUA21" s="48"/>
      <c r="AUB21" s="48"/>
      <c r="AUC21" s="48"/>
      <c r="AUD21" s="48"/>
      <c r="AUE21" s="48"/>
      <c r="AUF21" s="48"/>
      <c r="AUG21" s="48"/>
      <c r="AUH21" s="48"/>
      <c r="AUI21" s="48"/>
      <c r="AUJ21" s="48"/>
      <c r="AUK21" s="48"/>
      <c r="AUL21" s="48"/>
      <c r="AUM21" s="48"/>
      <c r="AUN21" s="48"/>
      <c r="AUO21" s="48"/>
      <c r="AUP21" s="48"/>
      <c r="AUQ21" s="48"/>
      <c r="AUR21" s="48"/>
      <c r="AUS21" s="48"/>
      <c r="AUT21" s="48"/>
      <c r="AUU21" s="48"/>
      <c r="AUV21" s="48"/>
      <c r="AUW21" s="48"/>
      <c r="AUX21" s="48"/>
      <c r="AUY21" s="48"/>
      <c r="AUZ21" s="48"/>
      <c r="AVA21" s="48"/>
      <c r="AVB21" s="48"/>
      <c r="AVC21" s="48"/>
      <c r="AVD21" s="48"/>
      <c r="AVE21" s="48"/>
      <c r="AVF21" s="48"/>
      <c r="AVG21" s="48"/>
      <c r="AVH21" s="48"/>
      <c r="AVI21" s="48"/>
      <c r="AVJ21" s="48"/>
      <c r="AVK21" s="48"/>
      <c r="AVL21" s="48"/>
      <c r="AVM21" s="48"/>
      <c r="AVN21" s="48"/>
      <c r="AVO21" s="48"/>
      <c r="AVP21" s="48"/>
      <c r="AVQ21" s="48"/>
      <c r="AVR21" s="48"/>
      <c r="AVS21" s="48"/>
      <c r="AVT21" s="48"/>
      <c r="AVU21" s="48"/>
      <c r="AVV21" s="48"/>
      <c r="AVW21" s="48"/>
      <c r="AVX21" s="48"/>
      <c r="AVY21" s="48"/>
      <c r="AVZ21" s="48"/>
      <c r="AWA21" s="48"/>
      <c r="AWB21" s="48"/>
      <c r="AWC21" s="48"/>
      <c r="AWD21" s="48"/>
      <c r="AWE21" s="48"/>
      <c r="AWF21" s="48"/>
      <c r="AWG21" s="48"/>
      <c r="AWH21" s="48"/>
      <c r="AWI21" s="48"/>
      <c r="AWJ21" s="48"/>
      <c r="AWK21" s="48"/>
      <c r="AWL21" s="48"/>
      <c r="AWM21" s="48"/>
      <c r="AWN21" s="48"/>
      <c r="AWO21" s="48"/>
      <c r="AWP21" s="48"/>
      <c r="AWQ21" s="48"/>
      <c r="AWR21" s="48"/>
      <c r="AWS21" s="48"/>
      <c r="AWT21" s="48"/>
      <c r="AWU21" s="48"/>
      <c r="AWV21" s="48"/>
      <c r="AWW21" s="48"/>
      <c r="AWX21" s="48"/>
      <c r="AWY21" s="48"/>
      <c r="AWZ21" s="48"/>
      <c r="AXA21" s="48"/>
      <c r="AXB21" s="48"/>
      <c r="AXC21" s="48"/>
      <c r="AXD21" s="48"/>
      <c r="AXE21" s="48"/>
      <c r="AXF21" s="48"/>
      <c r="AXG21" s="48"/>
      <c r="AXH21" s="48"/>
      <c r="AXI21" s="48"/>
      <c r="AXJ21" s="48"/>
      <c r="AXK21" s="48"/>
      <c r="AXL21" s="48"/>
      <c r="AXM21" s="48"/>
      <c r="AXN21" s="48"/>
      <c r="AXO21" s="48"/>
      <c r="AXP21" s="48"/>
      <c r="AXQ21" s="48"/>
      <c r="AXR21" s="48"/>
      <c r="AXS21" s="48"/>
      <c r="AXT21" s="48"/>
      <c r="AXU21" s="48"/>
      <c r="AXV21" s="48"/>
      <c r="AXW21" s="48"/>
      <c r="AXX21" s="48"/>
      <c r="AXY21" s="48"/>
      <c r="AXZ21" s="48"/>
      <c r="AYA21" s="48"/>
      <c r="AYB21" s="48"/>
      <c r="AYC21" s="48"/>
      <c r="AYD21" s="48"/>
      <c r="AYE21" s="48"/>
      <c r="AYF21" s="48"/>
      <c r="AYG21" s="48"/>
      <c r="AYH21" s="48"/>
      <c r="AYI21" s="48"/>
      <c r="AYJ21" s="48"/>
      <c r="AYK21" s="48"/>
      <c r="AYL21" s="48"/>
      <c r="AYM21" s="48"/>
      <c r="AYN21" s="48"/>
      <c r="AYO21" s="48"/>
      <c r="AYP21" s="48"/>
      <c r="AYQ21" s="48"/>
      <c r="AYR21" s="48"/>
      <c r="AYS21" s="48"/>
      <c r="AYT21" s="48"/>
      <c r="AYU21" s="48"/>
      <c r="AYV21" s="48"/>
      <c r="AYW21" s="48"/>
      <c r="AYX21" s="48"/>
      <c r="AYY21" s="48"/>
      <c r="AYZ21" s="48"/>
      <c r="AZA21" s="48"/>
      <c r="AZB21" s="48"/>
      <c r="AZC21" s="48"/>
      <c r="AZD21" s="48"/>
      <c r="AZE21" s="48"/>
      <c r="AZF21" s="48"/>
      <c r="AZG21" s="48"/>
      <c r="AZH21" s="48"/>
      <c r="AZI21" s="48"/>
      <c r="AZJ21" s="48"/>
      <c r="AZK21" s="48"/>
      <c r="AZL21" s="48"/>
      <c r="AZM21" s="48"/>
      <c r="AZN21" s="48"/>
      <c r="AZO21" s="48"/>
      <c r="AZP21" s="48"/>
      <c r="AZQ21" s="48"/>
      <c r="AZR21" s="48"/>
      <c r="AZS21" s="48"/>
      <c r="AZT21" s="48"/>
      <c r="AZU21" s="48"/>
      <c r="AZV21" s="48"/>
      <c r="AZW21" s="48"/>
      <c r="AZX21" s="48"/>
      <c r="AZY21" s="48"/>
      <c r="AZZ21" s="48"/>
      <c r="BAA21" s="48"/>
      <c r="BAB21" s="48"/>
      <c r="BAC21" s="48"/>
      <c r="BAD21" s="48"/>
      <c r="BAE21" s="48"/>
      <c r="BAF21" s="48"/>
      <c r="BAG21" s="48"/>
      <c r="BAH21" s="48"/>
      <c r="BAI21" s="48"/>
      <c r="BAJ21" s="48"/>
      <c r="BAK21" s="48"/>
      <c r="BAL21" s="48"/>
      <c r="BAM21" s="48"/>
      <c r="BAN21" s="48"/>
      <c r="BAO21" s="48"/>
      <c r="BAP21" s="48"/>
      <c r="BAQ21" s="48"/>
      <c r="BAR21" s="48"/>
      <c r="BAS21" s="48"/>
      <c r="BAT21" s="48"/>
      <c r="BAU21" s="48"/>
      <c r="BAV21" s="48"/>
      <c r="BAW21" s="48"/>
      <c r="BAX21" s="48"/>
    </row>
    <row r="22" spans="1:1402" s="141" customFormat="1" ht="45" hidden="1" x14ac:dyDescent="0.25">
      <c r="A22" s="307">
        <f t="shared" si="3"/>
        <v>21</v>
      </c>
      <c r="B22" s="308" t="s">
        <v>65</v>
      </c>
      <c r="C22" s="308" t="s">
        <v>1045</v>
      </c>
      <c r="D22" s="308" t="s">
        <v>977</v>
      </c>
      <c r="E22" s="308" t="s">
        <v>161</v>
      </c>
      <c r="F22" s="308" t="s">
        <v>162</v>
      </c>
      <c r="G22" s="308" t="s">
        <v>719</v>
      </c>
      <c r="H22" s="308">
        <f t="shared" si="0"/>
        <v>-150</v>
      </c>
      <c r="I22" s="263">
        <v>50000</v>
      </c>
      <c r="J22" s="263"/>
      <c r="K22" s="263">
        <f>Master20[[#This Row],[Initial Budget]]-Master20[[#This Row],[Previously Committed Funds]]</f>
        <v>50000</v>
      </c>
      <c r="L22" s="263"/>
      <c r="M22" s="263"/>
      <c r="N22" s="268">
        <f>Master20[[#This Row],[Design $ (Add/Deduct)]]+Master20[[#This Row],[Construction $ (Add/Ded)]]</f>
        <v>0</v>
      </c>
      <c r="O22" s="266">
        <v>90000</v>
      </c>
      <c r="P22" s="311">
        <v>2018</v>
      </c>
      <c r="Q22" s="308" t="s">
        <v>36</v>
      </c>
      <c r="R22" s="311">
        <f t="shared" si="5"/>
        <v>10</v>
      </c>
      <c r="S22" s="310">
        <v>1</v>
      </c>
      <c r="T22" s="310">
        <f t="shared" si="1"/>
        <v>3</v>
      </c>
      <c r="U22" s="310" t="s">
        <v>41</v>
      </c>
      <c r="V22" s="310">
        <f t="shared" si="2"/>
        <v>4</v>
      </c>
      <c r="W22" s="310" t="s">
        <v>30</v>
      </c>
      <c r="X22" s="302">
        <v>0</v>
      </c>
      <c r="Y22" s="302">
        <v>0</v>
      </c>
      <c r="Z22" s="302">
        <v>0</v>
      </c>
      <c r="AA22" s="302">
        <v>0</v>
      </c>
      <c r="AB22" s="302">
        <v>0</v>
      </c>
      <c r="AC22" s="302">
        <v>0</v>
      </c>
      <c r="AD22" s="302">
        <v>0</v>
      </c>
      <c r="AE22" s="302"/>
      <c r="AF22" s="309" t="s">
        <v>29</v>
      </c>
      <c r="AG22" s="311">
        <f>VLOOKUP(Master20[[#This Row],[Elevated Priority]],Epriority,2,)</f>
        <v>0</v>
      </c>
      <c r="AH22" s="321">
        <f>IF(Master20[[#This Row],[Status]]="Active",Master20[[#This Row],[Status_Score]],IF(D22="","",R22+H22+T22+V22+AG22+AE22+Master20[[#This Row],[Risk Mitigation]]+Master20[[#This Row],[Master Plan]]+Master20[[#This Row],[Community Request]]+Master20[[#This Row],[Community need]]+Master20[[#This Row],[Offset Aging Inf.]]+Master20[[#This Row],[Energy Savings]]+Master20[[#This Row],[Gen Revenue]]-5))</f>
        <v>-138</v>
      </c>
      <c r="AI22" s="310" t="s">
        <v>717</v>
      </c>
      <c r="AJ22" s="310">
        <v>2021</v>
      </c>
      <c r="AK22" s="310">
        <v>2022</v>
      </c>
      <c r="AL22" s="310">
        <v>2021</v>
      </c>
      <c r="AM22" s="310">
        <v>2022</v>
      </c>
      <c r="AN22" s="308" t="s">
        <v>1177</v>
      </c>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row>
    <row r="23" spans="1:1402" s="141" customFormat="1" ht="45" hidden="1" x14ac:dyDescent="0.25">
      <c r="A23" s="307">
        <f t="shared" si="3"/>
        <v>22</v>
      </c>
      <c r="B23" s="317" t="s">
        <v>67</v>
      </c>
      <c r="C23" s="317" t="s">
        <v>73</v>
      </c>
      <c r="D23" s="308" t="s">
        <v>177</v>
      </c>
      <c r="E23" s="308" t="s">
        <v>178</v>
      </c>
      <c r="F23" s="308" t="s">
        <v>179</v>
      </c>
      <c r="G23" s="308" t="s">
        <v>719</v>
      </c>
      <c r="H23" s="308">
        <f t="shared" si="0"/>
        <v>-150</v>
      </c>
      <c r="I23" s="263">
        <v>45000</v>
      </c>
      <c r="J23" s="263"/>
      <c r="K23" s="263">
        <f>Master20[[#This Row],[Initial Budget]]-Master20[[#This Row],[Previously Committed Funds]]</f>
        <v>45000</v>
      </c>
      <c r="L23" s="263"/>
      <c r="M23" s="263">
        <v>100000</v>
      </c>
      <c r="N23" s="268">
        <f>Master20[[#This Row],[Design $ (Add/Deduct)]]+Master20[[#This Row],[Construction $ (Add/Ded)]]</f>
        <v>100000</v>
      </c>
      <c r="O23" s="266">
        <v>145000</v>
      </c>
      <c r="P23" s="311">
        <v>2018</v>
      </c>
      <c r="Q23" s="308" t="s">
        <v>36</v>
      </c>
      <c r="R23" s="311">
        <f t="shared" si="5"/>
        <v>10</v>
      </c>
      <c r="S23" s="310">
        <v>2</v>
      </c>
      <c r="T23" s="310">
        <f t="shared" si="1"/>
        <v>6</v>
      </c>
      <c r="U23" s="310" t="s">
        <v>41</v>
      </c>
      <c r="V23" s="310">
        <f t="shared" si="2"/>
        <v>4</v>
      </c>
      <c r="W23" s="310" t="s">
        <v>30</v>
      </c>
      <c r="X23" s="310">
        <v>0</v>
      </c>
      <c r="Y23" s="310">
        <v>0</v>
      </c>
      <c r="Z23" s="310">
        <v>0</v>
      </c>
      <c r="AA23" s="310">
        <v>0</v>
      </c>
      <c r="AB23" s="310">
        <v>0</v>
      </c>
      <c r="AC23" s="310">
        <v>0</v>
      </c>
      <c r="AD23" s="310">
        <v>0</v>
      </c>
      <c r="AE23" s="310"/>
      <c r="AF23" s="309" t="s">
        <v>29</v>
      </c>
      <c r="AG23" s="311">
        <f>VLOOKUP(Master20[[#This Row],[Elevated Priority]],Epriority,2,)</f>
        <v>0</v>
      </c>
      <c r="AH23" s="321">
        <f>IF(Master20[[#This Row],[Status]]="Active",Master20[[#This Row],[Status_Score]],IF(D23="","",R23+H23+T23+V23+AG23+AE23+Master20[[#This Row],[Risk Mitigation]]+Master20[[#This Row],[Master Plan]]+Master20[[#This Row],[Community Request]]+Master20[[#This Row],[Community need]]+Master20[[#This Row],[Offset Aging Inf.]]+Master20[[#This Row],[Energy Savings]]+Master20[[#This Row],[Gen Revenue]]-5))</f>
        <v>-135</v>
      </c>
      <c r="AI23" s="310" t="s">
        <v>758</v>
      </c>
      <c r="AJ23" s="310">
        <v>2021</v>
      </c>
      <c r="AK23" s="310">
        <v>2022</v>
      </c>
      <c r="AL23" s="310">
        <v>2021</v>
      </c>
      <c r="AM23" s="310">
        <v>2022</v>
      </c>
      <c r="AN23" s="308" t="s">
        <v>1179</v>
      </c>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c r="AML23" s="48"/>
      <c r="AMM23" s="48"/>
      <c r="AMN23" s="48"/>
      <c r="AMO23" s="48"/>
      <c r="AMP23" s="48"/>
      <c r="AMQ23" s="48"/>
      <c r="AMR23" s="48"/>
      <c r="AMS23" s="48"/>
      <c r="AMT23" s="48"/>
      <c r="AMU23" s="48"/>
      <c r="AMV23" s="48"/>
      <c r="AMW23" s="48"/>
      <c r="AMX23" s="48"/>
      <c r="AMY23" s="48"/>
      <c r="AMZ23" s="48"/>
      <c r="ANA23" s="48"/>
      <c r="ANB23" s="48"/>
      <c r="ANC23" s="48"/>
      <c r="AND23" s="48"/>
      <c r="ANE23" s="48"/>
      <c r="ANF23" s="48"/>
      <c r="ANG23" s="48"/>
      <c r="ANH23" s="48"/>
      <c r="ANI23" s="48"/>
      <c r="ANJ23" s="48"/>
      <c r="ANK23" s="48"/>
      <c r="ANL23" s="48"/>
      <c r="ANM23" s="48"/>
      <c r="ANN23" s="48"/>
      <c r="ANO23" s="48"/>
      <c r="ANP23" s="48"/>
      <c r="ANQ23" s="48"/>
      <c r="ANR23" s="48"/>
      <c r="ANS23" s="48"/>
      <c r="ANT23" s="48"/>
      <c r="ANU23" s="48"/>
      <c r="ANV23" s="48"/>
      <c r="ANW23" s="48"/>
      <c r="ANX23" s="48"/>
      <c r="ANY23" s="48"/>
      <c r="ANZ23" s="48"/>
      <c r="AOA23" s="48"/>
      <c r="AOB23" s="48"/>
      <c r="AOC23" s="48"/>
      <c r="AOD23" s="48"/>
      <c r="AOE23" s="48"/>
      <c r="AOF23" s="48"/>
      <c r="AOG23" s="48"/>
      <c r="AOH23" s="48"/>
      <c r="AOI23" s="48"/>
      <c r="AOJ23" s="48"/>
      <c r="AOK23" s="48"/>
      <c r="AOL23" s="48"/>
      <c r="AOM23" s="48"/>
      <c r="AON23" s="48"/>
      <c r="AOO23" s="48"/>
      <c r="AOP23" s="48"/>
      <c r="AOQ23" s="48"/>
      <c r="AOR23" s="48"/>
      <c r="AOS23" s="48"/>
      <c r="AOT23" s="48"/>
      <c r="AOU23" s="48"/>
      <c r="AOV23" s="48"/>
      <c r="AOW23" s="48"/>
      <c r="AOX23" s="48"/>
      <c r="AOY23" s="48"/>
      <c r="AOZ23" s="48"/>
      <c r="APA23" s="48"/>
      <c r="APB23" s="48"/>
      <c r="APC23" s="48"/>
      <c r="APD23" s="48"/>
      <c r="APE23" s="48"/>
      <c r="APF23" s="48"/>
      <c r="APG23" s="48"/>
      <c r="APH23" s="48"/>
      <c r="API23" s="48"/>
      <c r="APJ23" s="48"/>
      <c r="APK23" s="48"/>
      <c r="APL23" s="48"/>
      <c r="APM23" s="48"/>
      <c r="APN23" s="48"/>
      <c r="APO23" s="48"/>
      <c r="APP23" s="48"/>
      <c r="APQ23" s="48"/>
      <c r="APR23" s="48"/>
      <c r="APS23" s="48"/>
      <c r="APT23" s="48"/>
      <c r="APU23" s="48"/>
      <c r="APV23" s="48"/>
      <c r="APW23" s="48"/>
      <c r="APX23" s="48"/>
      <c r="APY23" s="48"/>
      <c r="APZ23" s="48"/>
      <c r="AQA23" s="48"/>
      <c r="AQB23" s="48"/>
      <c r="AQC23" s="48"/>
      <c r="AQD23" s="48"/>
      <c r="AQE23" s="48"/>
      <c r="AQF23" s="48"/>
      <c r="AQG23" s="48"/>
      <c r="AQH23" s="48"/>
      <c r="AQI23" s="48"/>
      <c r="AQJ23" s="48"/>
      <c r="AQK23" s="48"/>
      <c r="AQL23" s="48"/>
      <c r="AQM23" s="48"/>
      <c r="AQN23" s="48"/>
      <c r="AQO23" s="48"/>
      <c r="AQP23" s="48"/>
      <c r="AQQ23" s="48"/>
      <c r="AQR23" s="48"/>
      <c r="AQS23" s="48"/>
      <c r="AQT23" s="48"/>
      <c r="AQU23" s="48"/>
      <c r="AQV23" s="48"/>
      <c r="AQW23" s="48"/>
      <c r="AQX23" s="48"/>
      <c r="AQY23" s="48"/>
      <c r="AQZ23" s="48"/>
      <c r="ARA23" s="48"/>
      <c r="ARB23" s="48"/>
      <c r="ARC23" s="48"/>
      <c r="ARD23" s="48"/>
      <c r="ARE23" s="48"/>
      <c r="ARF23" s="48"/>
      <c r="ARG23" s="48"/>
      <c r="ARH23" s="48"/>
      <c r="ARI23" s="48"/>
      <c r="ARJ23" s="48"/>
      <c r="ARK23" s="48"/>
      <c r="ARL23" s="48"/>
      <c r="ARM23" s="48"/>
      <c r="ARN23" s="48"/>
      <c r="ARO23" s="48"/>
      <c r="ARP23" s="48"/>
      <c r="ARQ23" s="48"/>
      <c r="ARR23" s="48"/>
      <c r="ARS23" s="48"/>
      <c r="ART23" s="48"/>
      <c r="ARU23" s="48"/>
      <c r="ARV23" s="48"/>
      <c r="ARW23" s="48"/>
      <c r="ARX23" s="48"/>
      <c r="ARY23" s="48"/>
      <c r="ARZ23" s="48"/>
      <c r="ASA23" s="48"/>
      <c r="ASB23" s="48"/>
      <c r="ASC23" s="48"/>
      <c r="ASD23" s="48"/>
      <c r="ASE23" s="48"/>
      <c r="ASF23" s="48"/>
      <c r="ASG23" s="48"/>
      <c r="ASH23" s="48"/>
      <c r="ASI23" s="48"/>
      <c r="ASJ23" s="48"/>
      <c r="ASK23" s="48"/>
      <c r="ASL23" s="48"/>
      <c r="ASM23" s="48"/>
      <c r="ASN23" s="48"/>
      <c r="ASO23" s="48"/>
      <c r="ASP23" s="48"/>
      <c r="ASQ23" s="48"/>
      <c r="ASR23" s="48"/>
      <c r="ASS23" s="48"/>
      <c r="AST23" s="48"/>
      <c r="ASU23" s="48"/>
      <c r="ASV23" s="48"/>
      <c r="ASW23" s="48"/>
      <c r="ASX23" s="48"/>
      <c r="ASY23" s="48"/>
      <c r="ASZ23" s="48"/>
      <c r="ATA23" s="48"/>
      <c r="ATB23" s="48"/>
      <c r="ATC23" s="48"/>
      <c r="ATD23" s="48"/>
      <c r="ATE23" s="48"/>
      <c r="ATF23" s="48"/>
      <c r="ATG23" s="48"/>
      <c r="ATH23" s="48"/>
      <c r="ATI23" s="48"/>
      <c r="ATJ23" s="48"/>
      <c r="ATK23" s="48"/>
      <c r="ATL23" s="48"/>
      <c r="ATM23" s="48"/>
      <c r="ATN23" s="48"/>
      <c r="ATO23" s="48"/>
      <c r="ATP23" s="48"/>
      <c r="ATQ23" s="48"/>
      <c r="ATR23" s="48"/>
      <c r="ATS23" s="48"/>
      <c r="ATT23" s="48"/>
      <c r="ATU23" s="48"/>
      <c r="ATV23" s="48"/>
      <c r="ATW23" s="48"/>
      <c r="ATX23" s="48"/>
      <c r="ATY23" s="48"/>
      <c r="ATZ23" s="48"/>
      <c r="AUA23" s="48"/>
      <c r="AUB23" s="48"/>
      <c r="AUC23" s="48"/>
      <c r="AUD23" s="48"/>
      <c r="AUE23" s="48"/>
      <c r="AUF23" s="48"/>
      <c r="AUG23" s="48"/>
      <c r="AUH23" s="48"/>
      <c r="AUI23" s="48"/>
      <c r="AUJ23" s="48"/>
      <c r="AUK23" s="48"/>
      <c r="AUL23" s="48"/>
      <c r="AUM23" s="48"/>
      <c r="AUN23" s="48"/>
      <c r="AUO23" s="48"/>
      <c r="AUP23" s="48"/>
      <c r="AUQ23" s="48"/>
      <c r="AUR23" s="48"/>
      <c r="AUS23" s="48"/>
      <c r="AUT23" s="48"/>
      <c r="AUU23" s="48"/>
      <c r="AUV23" s="48"/>
      <c r="AUW23" s="48"/>
      <c r="AUX23" s="48"/>
      <c r="AUY23" s="48"/>
      <c r="AUZ23" s="48"/>
      <c r="AVA23" s="48"/>
      <c r="AVB23" s="48"/>
      <c r="AVC23" s="48"/>
      <c r="AVD23" s="48"/>
      <c r="AVE23" s="48"/>
      <c r="AVF23" s="48"/>
      <c r="AVG23" s="48"/>
      <c r="AVH23" s="48"/>
      <c r="AVI23" s="48"/>
      <c r="AVJ23" s="48"/>
      <c r="AVK23" s="48"/>
      <c r="AVL23" s="48"/>
      <c r="AVM23" s="48"/>
      <c r="AVN23" s="48"/>
      <c r="AVO23" s="48"/>
      <c r="AVP23" s="48"/>
      <c r="AVQ23" s="48"/>
      <c r="AVR23" s="48"/>
      <c r="AVS23" s="48"/>
      <c r="AVT23" s="48"/>
      <c r="AVU23" s="48"/>
      <c r="AVV23" s="48"/>
      <c r="AVW23" s="48"/>
      <c r="AVX23" s="48"/>
      <c r="AVY23" s="48"/>
      <c r="AVZ23" s="48"/>
      <c r="AWA23" s="48"/>
      <c r="AWB23" s="48"/>
      <c r="AWC23" s="48"/>
      <c r="AWD23" s="48"/>
      <c r="AWE23" s="48"/>
      <c r="AWF23" s="48"/>
      <c r="AWG23" s="48"/>
      <c r="AWH23" s="48"/>
      <c r="AWI23" s="48"/>
      <c r="AWJ23" s="48"/>
      <c r="AWK23" s="48"/>
      <c r="AWL23" s="48"/>
      <c r="AWM23" s="48"/>
      <c r="AWN23" s="48"/>
      <c r="AWO23" s="48"/>
      <c r="AWP23" s="48"/>
      <c r="AWQ23" s="48"/>
      <c r="AWR23" s="48"/>
      <c r="AWS23" s="48"/>
      <c r="AWT23" s="48"/>
      <c r="AWU23" s="48"/>
      <c r="AWV23" s="48"/>
      <c r="AWW23" s="48"/>
      <c r="AWX23" s="48"/>
      <c r="AWY23" s="48"/>
      <c r="AWZ23" s="48"/>
      <c r="AXA23" s="48"/>
      <c r="AXB23" s="48"/>
      <c r="AXC23" s="48"/>
      <c r="AXD23" s="48"/>
      <c r="AXE23" s="48"/>
      <c r="AXF23" s="48"/>
      <c r="AXG23" s="48"/>
      <c r="AXH23" s="48"/>
      <c r="AXI23" s="48"/>
      <c r="AXJ23" s="48"/>
      <c r="AXK23" s="48"/>
      <c r="AXL23" s="48"/>
      <c r="AXM23" s="48"/>
      <c r="AXN23" s="48"/>
      <c r="AXO23" s="48"/>
      <c r="AXP23" s="48"/>
      <c r="AXQ23" s="48"/>
      <c r="AXR23" s="48"/>
      <c r="AXS23" s="48"/>
      <c r="AXT23" s="48"/>
      <c r="AXU23" s="48"/>
      <c r="AXV23" s="48"/>
      <c r="AXW23" s="48"/>
      <c r="AXX23" s="48"/>
      <c r="AXY23" s="48"/>
      <c r="AXZ23" s="48"/>
      <c r="AYA23" s="48"/>
      <c r="AYB23" s="48"/>
      <c r="AYC23" s="48"/>
      <c r="AYD23" s="48"/>
      <c r="AYE23" s="48"/>
      <c r="AYF23" s="48"/>
      <c r="AYG23" s="48"/>
      <c r="AYH23" s="48"/>
      <c r="AYI23" s="48"/>
      <c r="AYJ23" s="48"/>
      <c r="AYK23" s="48"/>
      <c r="AYL23" s="48"/>
      <c r="AYM23" s="48"/>
      <c r="AYN23" s="48"/>
      <c r="AYO23" s="48"/>
      <c r="AYP23" s="48"/>
      <c r="AYQ23" s="48"/>
      <c r="AYR23" s="48"/>
      <c r="AYS23" s="48"/>
      <c r="AYT23" s="48"/>
      <c r="AYU23" s="48"/>
      <c r="AYV23" s="48"/>
      <c r="AYW23" s="48"/>
      <c r="AYX23" s="48"/>
      <c r="AYY23" s="48"/>
      <c r="AYZ23" s="48"/>
      <c r="AZA23" s="48"/>
      <c r="AZB23" s="48"/>
      <c r="AZC23" s="48"/>
      <c r="AZD23" s="48"/>
      <c r="AZE23" s="48"/>
      <c r="AZF23" s="48"/>
      <c r="AZG23" s="48"/>
      <c r="AZH23" s="48"/>
      <c r="AZI23" s="48"/>
      <c r="AZJ23" s="48"/>
      <c r="AZK23" s="48"/>
      <c r="AZL23" s="48"/>
      <c r="AZM23" s="48"/>
      <c r="AZN23" s="48"/>
      <c r="AZO23" s="48"/>
      <c r="AZP23" s="48"/>
      <c r="AZQ23" s="48"/>
      <c r="AZR23" s="48"/>
      <c r="AZS23" s="48"/>
      <c r="AZT23" s="48"/>
      <c r="AZU23" s="48"/>
      <c r="AZV23" s="48"/>
      <c r="AZW23" s="48"/>
      <c r="AZX23" s="48"/>
      <c r="AZY23" s="48"/>
      <c r="AZZ23" s="48"/>
      <c r="BAA23" s="48"/>
      <c r="BAB23" s="48"/>
      <c r="BAC23" s="48"/>
      <c r="BAD23" s="48"/>
      <c r="BAE23" s="48"/>
      <c r="BAF23" s="48"/>
      <c r="BAG23" s="48"/>
      <c r="BAH23" s="48"/>
      <c r="BAI23" s="48"/>
      <c r="BAJ23" s="48"/>
      <c r="BAK23" s="48"/>
      <c r="BAL23" s="48"/>
      <c r="BAM23" s="48"/>
      <c r="BAN23" s="48"/>
      <c r="BAO23" s="48"/>
      <c r="BAP23" s="48"/>
      <c r="BAQ23" s="48"/>
      <c r="BAR23" s="48"/>
      <c r="BAS23" s="48"/>
      <c r="BAT23" s="48"/>
      <c r="BAU23" s="48"/>
      <c r="BAV23" s="48"/>
      <c r="BAW23" s="48"/>
      <c r="BAX23" s="48"/>
    </row>
    <row r="24" spans="1:1402" s="141" customFormat="1" ht="54.75" hidden="1" customHeight="1" x14ac:dyDescent="0.25">
      <c r="A24" s="307">
        <f t="shared" si="3"/>
        <v>23</v>
      </c>
      <c r="B24" s="308" t="s">
        <v>1210</v>
      </c>
      <c r="C24" s="308" t="s">
        <v>70</v>
      </c>
      <c r="D24" s="308" t="s">
        <v>217</v>
      </c>
      <c r="E24" s="308" t="s">
        <v>218</v>
      </c>
      <c r="F24" s="308" t="s">
        <v>219</v>
      </c>
      <c r="G24" s="308" t="s">
        <v>719</v>
      </c>
      <c r="H24" s="308">
        <f t="shared" si="0"/>
        <v>-150</v>
      </c>
      <c r="I24" s="263">
        <v>200000</v>
      </c>
      <c r="J24" s="263"/>
      <c r="K24" s="263">
        <f>Master20[[#This Row],[Initial Budget]]-Master20[[#This Row],[Previously Committed Funds]]</f>
        <v>200000</v>
      </c>
      <c r="L24" s="263"/>
      <c r="M24" s="263"/>
      <c r="N24" s="268">
        <f>Master20[[#This Row],[Design $ (Add/Deduct)]]+Master20[[#This Row],[Construction $ (Add/Ded)]]</f>
        <v>0</v>
      </c>
      <c r="O24" s="266">
        <v>1500000</v>
      </c>
      <c r="P24" s="311">
        <v>2018</v>
      </c>
      <c r="Q24" s="308" t="s">
        <v>36</v>
      </c>
      <c r="R24" s="311">
        <f t="shared" si="5"/>
        <v>10</v>
      </c>
      <c r="S24" s="310">
        <v>2</v>
      </c>
      <c r="T24" s="310">
        <f t="shared" si="1"/>
        <v>6</v>
      </c>
      <c r="U24" s="310" t="s">
        <v>43</v>
      </c>
      <c r="V24" s="310">
        <f t="shared" si="2"/>
        <v>16</v>
      </c>
      <c r="W24" s="310" t="s">
        <v>34</v>
      </c>
      <c r="X24" s="310">
        <v>-2</v>
      </c>
      <c r="Y24" s="310">
        <v>-5</v>
      </c>
      <c r="Z24" s="310">
        <v>0</v>
      </c>
      <c r="AA24" s="310">
        <v>0</v>
      </c>
      <c r="AB24" s="310">
        <v>0</v>
      </c>
      <c r="AC24" s="310">
        <v>-3</v>
      </c>
      <c r="AD24" s="310">
        <v>-1</v>
      </c>
      <c r="AE24" s="310"/>
      <c r="AF24" s="309" t="s">
        <v>29</v>
      </c>
      <c r="AG24" s="311">
        <f>VLOOKUP(Master20[[#This Row],[Elevated Priority]],Epriority,2,)</f>
        <v>0</v>
      </c>
      <c r="AH24" s="321">
        <f>IF(Master20[[#This Row],[Status]]="Active",Master20[[#This Row],[Status_Score]],IF(D24="","",R24+H24+T24+V24+AG24+AE24+Master20[[#This Row],[Risk Mitigation]]+Master20[[#This Row],[Master Plan]]+Master20[[#This Row],[Community Request]]+Master20[[#This Row],[Community need]]+Master20[[#This Row],[Offset Aging Inf.]]+Master20[[#This Row],[Energy Savings]]+Master20[[#This Row],[Gen Revenue]]-5))</f>
        <v>-134</v>
      </c>
      <c r="AI24" s="310" t="s">
        <v>715</v>
      </c>
      <c r="AJ24" s="310">
        <v>2021</v>
      </c>
      <c r="AK24" s="310">
        <v>2022</v>
      </c>
      <c r="AL24" s="310">
        <v>2021</v>
      </c>
      <c r="AM24" s="310">
        <v>2023</v>
      </c>
      <c r="AN24" s="308" t="s">
        <v>1180</v>
      </c>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row>
    <row r="25" spans="1:1402" ht="105" hidden="1" x14ac:dyDescent="0.25">
      <c r="A25" s="307">
        <f t="shared" si="3"/>
        <v>24</v>
      </c>
      <c r="B25" s="308" t="s">
        <v>1196</v>
      </c>
      <c r="C25" s="308" t="s">
        <v>79</v>
      </c>
      <c r="D25" s="308" t="s">
        <v>834</v>
      </c>
      <c r="E25" s="308" t="s">
        <v>835</v>
      </c>
      <c r="F25" s="308" t="s">
        <v>275</v>
      </c>
      <c r="G25" s="308" t="s">
        <v>719</v>
      </c>
      <c r="H25" s="308">
        <f t="shared" si="0"/>
        <v>-150</v>
      </c>
      <c r="I25" s="263">
        <v>350000</v>
      </c>
      <c r="J25" s="263"/>
      <c r="K25" s="263">
        <f>Master20[[#This Row],[Initial Budget]]-Master20[[#This Row],[Previously Committed Funds]]</f>
        <v>350000</v>
      </c>
      <c r="L25" s="263"/>
      <c r="M25" s="263"/>
      <c r="N25" s="268">
        <f>Master20[[#This Row],[Design $ (Add/Deduct)]]+Master20[[#This Row],[Construction $ (Add/Ded)]]</f>
        <v>0</v>
      </c>
      <c r="O25" s="266">
        <v>350000</v>
      </c>
      <c r="P25" s="311">
        <v>2018</v>
      </c>
      <c r="Q25" s="308" t="s">
        <v>36</v>
      </c>
      <c r="R25" s="311">
        <f t="shared" si="5"/>
        <v>10</v>
      </c>
      <c r="S25" s="310">
        <v>3</v>
      </c>
      <c r="T25" s="310">
        <f t="shared" si="1"/>
        <v>9</v>
      </c>
      <c r="U25" s="310" t="s">
        <v>37</v>
      </c>
      <c r="V25" s="310">
        <f t="shared" si="2"/>
        <v>3</v>
      </c>
      <c r="W25" s="310" t="s">
        <v>30</v>
      </c>
      <c r="X25" s="310">
        <v>0</v>
      </c>
      <c r="Y25" s="310">
        <v>0</v>
      </c>
      <c r="Z25" s="310">
        <v>0</v>
      </c>
      <c r="AA25" s="310">
        <v>0</v>
      </c>
      <c r="AB25" s="310">
        <v>0</v>
      </c>
      <c r="AC25" s="310">
        <v>0</v>
      </c>
      <c r="AD25" s="310">
        <v>0</v>
      </c>
      <c r="AE25" s="310"/>
      <c r="AF25" s="309" t="s">
        <v>29</v>
      </c>
      <c r="AG25" s="311">
        <f>VLOOKUP(Master20[[#This Row],[Elevated Priority]],Epriority,2,)</f>
        <v>0</v>
      </c>
      <c r="AH25" s="321">
        <f>IF(Master20[[#This Row],[Status]]="Active",Master20[[#This Row],[Status_Score]],IF(D25="","",R25+H25+T25+V25+AG25+AE25+Master20[[#This Row],[Risk Mitigation]]+Master20[[#This Row],[Master Plan]]+Master20[[#This Row],[Community Request]]+Master20[[#This Row],[Community need]]+Master20[[#This Row],[Offset Aging Inf.]]+Master20[[#This Row],[Energy Savings]]+Master20[[#This Row],[Gen Revenue]]-5))</f>
        <v>-133</v>
      </c>
      <c r="AI25" s="310" t="s">
        <v>758</v>
      </c>
      <c r="AJ25" s="310">
        <v>2021</v>
      </c>
      <c r="AK25" s="310">
        <v>2022</v>
      </c>
      <c r="AL25" s="310">
        <v>2021</v>
      </c>
      <c r="AM25" s="310">
        <v>2023</v>
      </c>
      <c r="AN25" s="308" t="s">
        <v>1174</v>
      </c>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row>
    <row r="26" spans="1:1402" ht="255" hidden="1" x14ac:dyDescent="0.25">
      <c r="A26" s="307">
        <f t="shared" si="3"/>
        <v>25</v>
      </c>
      <c r="B26" s="308" t="s">
        <v>67</v>
      </c>
      <c r="C26" s="308" t="s">
        <v>659</v>
      </c>
      <c r="D26" s="308" t="s">
        <v>211</v>
      </c>
      <c r="E26" s="308" t="s">
        <v>212</v>
      </c>
      <c r="F26" s="308" t="s">
        <v>887</v>
      </c>
      <c r="G26" s="308" t="s">
        <v>719</v>
      </c>
      <c r="H26" s="308">
        <f t="shared" si="0"/>
        <v>-150</v>
      </c>
      <c r="I26" s="263">
        <v>65000</v>
      </c>
      <c r="J26" s="263">
        <f>3186+51834</f>
        <v>55020</v>
      </c>
      <c r="K26" s="263">
        <f>Master20[[#This Row],[Initial Budget]]-Master20[[#This Row],[Previously Committed Funds]]</f>
        <v>9980</v>
      </c>
      <c r="L26" s="263"/>
      <c r="M26" s="263">
        <v>300000</v>
      </c>
      <c r="N26" s="268">
        <f>Master20[[#This Row],[Design $ (Add/Deduct)]]+Master20[[#This Row],[Construction $ (Add/Ded)]]</f>
        <v>300000</v>
      </c>
      <c r="O26" s="266">
        <v>300000</v>
      </c>
      <c r="P26" s="311">
        <v>2018</v>
      </c>
      <c r="Q26" s="308" t="s">
        <v>688</v>
      </c>
      <c r="R26" s="311">
        <f t="shared" si="5"/>
        <v>20</v>
      </c>
      <c r="S26" s="310">
        <v>1</v>
      </c>
      <c r="T26" s="310">
        <f t="shared" si="1"/>
        <v>3</v>
      </c>
      <c r="U26" s="310" t="s">
        <v>41</v>
      </c>
      <c r="V26" s="310">
        <f t="shared" si="2"/>
        <v>4</v>
      </c>
      <c r="W26" s="310" t="s">
        <v>30</v>
      </c>
      <c r="X26" s="302">
        <v>0</v>
      </c>
      <c r="Y26" s="302">
        <v>0</v>
      </c>
      <c r="Z26" s="302">
        <v>0</v>
      </c>
      <c r="AA26" s="302">
        <v>0</v>
      </c>
      <c r="AB26" s="302">
        <v>0</v>
      </c>
      <c r="AC26" s="302">
        <v>0</v>
      </c>
      <c r="AD26" s="302">
        <v>0</v>
      </c>
      <c r="AE26" s="302"/>
      <c r="AF26" s="303" t="s">
        <v>29</v>
      </c>
      <c r="AG26" s="305">
        <f>VLOOKUP(Master20[[#This Row],[Elevated Priority]],Epriority,2,)</f>
        <v>0</v>
      </c>
      <c r="AH26" s="321">
        <f>IF(Master20[[#This Row],[Status]]="Active",Master20[[#This Row],[Status_Score]],IF(D26="","",R26+H26+T26+V26+AG26+AE26+Master20[[#This Row],[Risk Mitigation]]+Master20[[#This Row],[Master Plan]]+Master20[[#This Row],[Community Request]]+Master20[[#This Row],[Community need]]+Master20[[#This Row],[Offset Aging Inf.]]+Master20[[#This Row],[Energy Savings]]+Master20[[#This Row],[Gen Revenue]]-5))</f>
        <v>-128</v>
      </c>
      <c r="AI26" s="299" t="s">
        <v>754</v>
      </c>
      <c r="AJ26" s="310">
        <v>2021</v>
      </c>
      <c r="AK26" s="310">
        <v>2022</v>
      </c>
      <c r="AL26" s="310">
        <v>2021</v>
      </c>
      <c r="AM26" s="310">
        <v>2023</v>
      </c>
      <c r="AN26" s="308" t="s">
        <v>1181</v>
      </c>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row>
    <row r="27" spans="1:1402" s="141" customFormat="1" ht="30" hidden="1" x14ac:dyDescent="0.25">
      <c r="A27" s="307">
        <f t="shared" si="3"/>
        <v>26</v>
      </c>
      <c r="B27" s="308" t="s">
        <v>1115</v>
      </c>
      <c r="C27" s="308" t="s">
        <v>1045</v>
      </c>
      <c r="D27" s="358" t="s">
        <v>1144</v>
      </c>
      <c r="E27" s="308" t="s">
        <v>1145</v>
      </c>
      <c r="F27" s="308"/>
      <c r="G27" s="308" t="s">
        <v>719</v>
      </c>
      <c r="H27" s="272">
        <f t="shared" si="0"/>
        <v>-150</v>
      </c>
      <c r="I27" s="263"/>
      <c r="J27" s="263"/>
      <c r="K27" s="263">
        <f>Master20[[#This Row],[Initial Budget]]-Master20[[#This Row],[Previously Committed Funds]]</f>
        <v>0</v>
      </c>
      <c r="L27" s="263">
        <v>17000</v>
      </c>
      <c r="M27" s="263">
        <v>35000</v>
      </c>
      <c r="N27" s="268">
        <f>Master20[[#This Row],[Design $ (Add/Deduct)]]+Master20[[#This Row],[Construction $ (Add/Ded)]]</f>
        <v>52000</v>
      </c>
      <c r="O27" s="266">
        <v>20000</v>
      </c>
      <c r="P27" s="311">
        <v>2021</v>
      </c>
      <c r="Q27" s="308" t="s">
        <v>46</v>
      </c>
      <c r="R27" s="311">
        <f t="shared" si="5"/>
        <v>50</v>
      </c>
      <c r="S27" s="310">
        <v>1</v>
      </c>
      <c r="T27" s="310">
        <f t="shared" si="1"/>
        <v>3</v>
      </c>
      <c r="U27" s="310" t="s">
        <v>37</v>
      </c>
      <c r="V27" s="310">
        <f t="shared" si="2"/>
        <v>3</v>
      </c>
      <c r="W27" s="310" t="s">
        <v>34</v>
      </c>
      <c r="X27" s="310">
        <v>0</v>
      </c>
      <c r="Y27" s="310">
        <v>0</v>
      </c>
      <c r="Z27" s="310">
        <v>0</v>
      </c>
      <c r="AA27" s="310">
        <v>0</v>
      </c>
      <c r="AB27" s="310">
        <v>-2</v>
      </c>
      <c r="AC27" s="310">
        <v>0</v>
      </c>
      <c r="AD27" s="310">
        <v>0</v>
      </c>
      <c r="AE27" s="310"/>
      <c r="AF27" s="309" t="s">
        <v>35</v>
      </c>
      <c r="AG27" s="311">
        <f>VLOOKUP(Master20[[#This Row],[Elevated Priority]],Epriority,2,)</f>
        <v>-25</v>
      </c>
      <c r="AH27" s="321">
        <f>IF(Master20[[#This Row],[Status]]="Active",Master20[[#This Row],[Status_Score]],IF(D27="","",R27+H27+T27+V27+AG27+AE27+Master20[[#This Row],[Risk Mitigation]]+Master20[[#This Row],[Master Plan]]+Master20[[#This Row],[Community Request]]+Master20[[#This Row],[Community need]]+Master20[[#This Row],[Offset Aging Inf.]]+Master20[[#This Row],[Energy Savings]]+Master20[[#This Row],[Gen Revenue]]-5))</f>
        <v>-126</v>
      </c>
      <c r="AI27" s="310"/>
      <c r="AJ27" s="310"/>
      <c r="AK27" s="310"/>
      <c r="AL27" s="310"/>
      <c r="AM27" s="310"/>
      <c r="AN27" s="308" t="s">
        <v>1182</v>
      </c>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row>
    <row r="28" spans="1:1402" ht="105" hidden="1" x14ac:dyDescent="0.25">
      <c r="A28" s="307">
        <f t="shared" si="3"/>
        <v>27</v>
      </c>
      <c r="B28" s="291" t="s">
        <v>67</v>
      </c>
      <c r="C28" s="291" t="s">
        <v>1045</v>
      </c>
      <c r="D28" s="308" t="s">
        <v>865</v>
      </c>
      <c r="E28" s="308" t="s">
        <v>866</v>
      </c>
      <c r="F28" s="308" t="s">
        <v>998</v>
      </c>
      <c r="G28" s="308" t="s">
        <v>719</v>
      </c>
      <c r="H28" s="308">
        <f t="shared" si="0"/>
        <v>-150</v>
      </c>
      <c r="I28" s="263"/>
      <c r="J28" s="263"/>
      <c r="K28" s="263">
        <f>Master20[[#This Row],[Initial Budget]]-Master20[[#This Row],[Previously Committed Funds]]</f>
        <v>0</v>
      </c>
      <c r="L28" s="263"/>
      <c r="M28" s="263"/>
      <c r="N28" s="268">
        <f>Master20[[#This Row],[Design $ (Add/Deduct)]]+Master20[[#This Row],[Construction $ (Add/Ded)]]</f>
        <v>0</v>
      </c>
      <c r="O28" s="266">
        <v>3500000</v>
      </c>
      <c r="P28" s="311">
        <v>2020</v>
      </c>
      <c r="Q28" s="308" t="s">
        <v>46</v>
      </c>
      <c r="R28" s="311">
        <f t="shared" si="5"/>
        <v>50</v>
      </c>
      <c r="S28" s="310">
        <v>2</v>
      </c>
      <c r="T28" s="310">
        <f t="shared" si="1"/>
        <v>6</v>
      </c>
      <c r="U28" s="310" t="s">
        <v>37</v>
      </c>
      <c r="V28" s="310">
        <f t="shared" si="2"/>
        <v>3</v>
      </c>
      <c r="W28" s="310" t="s">
        <v>34</v>
      </c>
      <c r="X28" s="310">
        <v>0</v>
      </c>
      <c r="Y28" s="310">
        <v>0</v>
      </c>
      <c r="Z28" s="310">
        <v>0</v>
      </c>
      <c r="AA28" s="310">
        <v>0</v>
      </c>
      <c r="AB28" s="310">
        <v>0</v>
      </c>
      <c r="AC28" s="310">
        <v>-1</v>
      </c>
      <c r="AD28" s="310">
        <v>0</v>
      </c>
      <c r="AE28" s="310"/>
      <c r="AF28" s="309" t="s">
        <v>35</v>
      </c>
      <c r="AG28" s="311">
        <f>VLOOKUP(Master20[[#This Row],[Elevated Priority]],Epriority,2,)</f>
        <v>-25</v>
      </c>
      <c r="AH28" s="321">
        <f>IF(Master20[[#This Row],[Status]]="Active",Master20[[#This Row],[Status_Score]],IF(D28="","",R28+H28+T28+V28+AG28+AE28+Master20[[#This Row],[Risk Mitigation]]+Master20[[#This Row],[Master Plan]]+Master20[[#This Row],[Community Request]]+Master20[[#This Row],[Community need]]+Master20[[#This Row],[Offset Aging Inf.]]+Master20[[#This Row],[Energy Savings]]+Master20[[#This Row],[Gen Revenue]]-5))</f>
        <v>-122</v>
      </c>
      <c r="AI28" s="310"/>
      <c r="AJ28" s="310">
        <v>2020</v>
      </c>
      <c r="AK28" s="310">
        <v>2023</v>
      </c>
      <c r="AL28" s="310">
        <v>2020</v>
      </c>
      <c r="AM28" s="310">
        <v>2023</v>
      </c>
      <c r="AN28" s="308" t="s">
        <v>1149</v>
      </c>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row>
    <row r="29" spans="1:1402" s="141" customFormat="1" ht="60" hidden="1" x14ac:dyDescent="0.25">
      <c r="A29" s="307">
        <f t="shared" si="3"/>
        <v>28</v>
      </c>
      <c r="B29" s="308" t="s">
        <v>70</v>
      </c>
      <c r="C29" s="308" t="s">
        <v>1045</v>
      </c>
      <c r="D29" s="358" t="s">
        <v>1108</v>
      </c>
      <c r="E29" s="308" t="s">
        <v>1110</v>
      </c>
      <c r="F29" s="308" t="s">
        <v>1109</v>
      </c>
      <c r="G29" s="308" t="s">
        <v>719</v>
      </c>
      <c r="H29" s="272">
        <f t="shared" si="0"/>
        <v>-150</v>
      </c>
      <c r="I29" s="263"/>
      <c r="J29" s="263"/>
      <c r="K29" s="263">
        <f>Master20[[#This Row],[Initial Budget]]-Master20[[#This Row],[Previously Committed Funds]]</f>
        <v>0</v>
      </c>
      <c r="L29" s="263">
        <v>75000</v>
      </c>
      <c r="M29" s="263">
        <v>675000</v>
      </c>
      <c r="N29" s="268">
        <f>Master20[[#This Row],[Design $ (Add/Deduct)]]+Master20[[#This Row],[Construction $ (Add/Ded)]]</f>
        <v>750000</v>
      </c>
      <c r="O29" s="266">
        <v>754000</v>
      </c>
      <c r="P29" s="311">
        <v>2022</v>
      </c>
      <c r="Q29" s="308" t="s">
        <v>686</v>
      </c>
      <c r="R29" s="311">
        <f t="shared" si="5"/>
        <v>60</v>
      </c>
      <c r="S29" s="310">
        <v>1</v>
      </c>
      <c r="T29" s="310">
        <f t="shared" si="1"/>
        <v>3</v>
      </c>
      <c r="U29" s="310" t="s">
        <v>37</v>
      </c>
      <c r="V29" s="310">
        <f t="shared" si="2"/>
        <v>3</v>
      </c>
      <c r="W29" s="310" t="s">
        <v>34</v>
      </c>
      <c r="X29" s="310">
        <v>0</v>
      </c>
      <c r="Y29" s="310">
        <v>0</v>
      </c>
      <c r="Z29" s="310">
        <v>-3</v>
      </c>
      <c r="AA29" s="310">
        <v>0</v>
      </c>
      <c r="AB29" s="310">
        <v>-2</v>
      </c>
      <c r="AC29" s="310">
        <v>0</v>
      </c>
      <c r="AD29" s="310">
        <v>-3</v>
      </c>
      <c r="AE29" s="310"/>
      <c r="AF29" s="309" t="s">
        <v>31</v>
      </c>
      <c r="AG29" s="311">
        <f>VLOOKUP(Master20[[#This Row],[Elevated Priority]],Epriority,2,)</f>
        <v>-25</v>
      </c>
      <c r="AH29" s="321">
        <f>IF(Master20[[#This Row],[Status]]="Active",Master20[[#This Row],[Status_Score]],IF(D29="","",R29+H29+T29+V29+AG29+AE29+Master20[[#This Row],[Risk Mitigation]]+Master20[[#This Row],[Master Plan]]+Master20[[#This Row],[Community Request]]+Master20[[#This Row],[Community need]]+Master20[[#This Row],[Offset Aging Inf.]]+Master20[[#This Row],[Energy Savings]]+Master20[[#This Row],[Gen Revenue]]-5))</f>
        <v>-122</v>
      </c>
      <c r="AI29" s="310"/>
      <c r="AJ29" s="310"/>
      <c r="AK29" s="310"/>
      <c r="AL29" s="310">
        <v>2021</v>
      </c>
      <c r="AM29" s="310">
        <v>2022</v>
      </c>
      <c r="AN29" s="308" t="s">
        <v>1183</v>
      </c>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row>
    <row r="30" spans="1:1402" ht="75" x14ac:dyDescent="0.25">
      <c r="A30" s="307">
        <f t="shared" si="3"/>
        <v>29</v>
      </c>
      <c r="B30" s="308" t="s">
        <v>214</v>
      </c>
      <c r="C30" s="308" t="s">
        <v>1045</v>
      </c>
      <c r="D30" s="308" t="s">
        <v>559</v>
      </c>
      <c r="E30" s="308" t="s">
        <v>858</v>
      </c>
      <c r="F30" s="308" t="s">
        <v>881</v>
      </c>
      <c r="G30" s="308" t="s">
        <v>598</v>
      </c>
      <c r="H30" s="308">
        <f t="shared" si="0"/>
        <v>-100</v>
      </c>
      <c r="I30" s="263">
        <v>250000</v>
      </c>
      <c r="J30" s="263">
        <v>237998</v>
      </c>
      <c r="K30" s="263">
        <f>Master20[[#This Row],[Initial Budget]]-Master20[[#This Row],[Previously Committed Funds]]</f>
        <v>12002</v>
      </c>
      <c r="L30" s="263"/>
      <c r="M30" s="263"/>
      <c r="N30" s="268">
        <f>Master20[[#This Row],[Design $ (Add/Deduct)]]+Master20[[#This Row],[Construction $ (Add/Ded)]]</f>
        <v>0</v>
      </c>
      <c r="O30" s="266">
        <v>28000000</v>
      </c>
      <c r="P30" s="311">
        <v>2018</v>
      </c>
      <c r="Q30" s="308" t="s">
        <v>46</v>
      </c>
      <c r="R30" s="311">
        <f t="shared" si="5"/>
        <v>50</v>
      </c>
      <c r="S30" s="310">
        <v>3</v>
      </c>
      <c r="T30" s="310">
        <f t="shared" si="1"/>
        <v>9</v>
      </c>
      <c r="U30" s="310" t="s">
        <v>45</v>
      </c>
      <c r="V30" s="310">
        <f t="shared" si="2"/>
        <v>32</v>
      </c>
      <c r="W30" s="310" t="s">
        <v>34</v>
      </c>
      <c r="X30" s="310">
        <v>0</v>
      </c>
      <c r="Y30" s="302">
        <v>0</v>
      </c>
      <c r="Z30" s="310">
        <v>0</v>
      </c>
      <c r="AA30" s="310">
        <v>0</v>
      </c>
      <c r="AB30" s="302">
        <v>0</v>
      </c>
      <c r="AC30" s="302">
        <v>0</v>
      </c>
      <c r="AD30" s="302">
        <v>0</v>
      </c>
      <c r="AE30" s="302"/>
      <c r="AF30" s="309" t="s">
        <v>29</v>
      </c>
      <c r="AG30" s="311">
        <f>VLOOKUP(Master20[[#This Row],[Elevated Priority]],Epriority,2,)</f>
        <v>0</v>
      </c>
      <c r="AH30" s="321">
        <f>IF(Master20[[#This Row],[Status]]="Active",Master20[[#This Row],[Status_Score]],IF(D30="","",R30+H30+T30+V30+AG30+AE30+Master20[[#This Row],[Risk Mitigation]]+Master20[[#This Row],[Master Plan]]+Master20[[#This Row],[Community Request]]+Master20[[#This Row],[Community need]]+Master20[[#This Row],[Offset Aging Inf.]]+Master20[[#This Row],[Energy Savings]]+Master20[[#This Row],[Gen Revenue]]-5))</f>
        <v>-100</v>
      </c>
      <c r="AI30" s="310" t="s">
        <v>717</v>
      </c>
      <c r="AJ30" s="310">
        <v>2020</v>
      </c>
      <c r="AK30" s="310">
        <v>2024</v>
      </c>
      <c r="AL30" s="310">
        <v>2020</v>
      </c>
      <c r="AM30" s="310">
        <v>2024</v>
      </c>
      <c r="AN30" s="308" t="s">
        <v>1150</v>
      </c>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row>
    <row r="31" spans="1:1402" ht="30" hidden="1" x14ac:dyDescent="0.25">
      <c r="A31" s="307">
        <f t="shared" si="3"/>
        <v>30</v>
      </c>
      <c r="B31" s="308" t="s">
        <v>732</v>
      </c>
      <c r="C31" s="308" t="s">
        <v>79</v>
      </c>
      <c r="D31" s="308" t="s">
        <v>969</v>
      </c>
      <c r="E31" s="308" t="s">
        <v>970</v>
      </c>
      <c r="F31" s="308" t="s">
        <v>971</v>
      </c>
      <c r="G31" s="308" t="s">
        <v>598</v>
      </c>
      <c r="H31" s="272">
        <f t="shared" si="0"/>
        <v>-100</v>
      </c>
      <c r="I31" s="263">
        <v>75000</v>
      </c>
      <c r="J31" s="263"/>
      <c r="K31" s="263">
        <f>Master20[[#This Row],[Initial Budget]]-Master20[[#This Row],[Previously Committed Funds]]</f>
        <v>75000</v>
      </c>
      <c r="L31" s="263"/>
      <c r="M31" s="263"/>
      <c r="N31" s="268"/>
      <c r="O31" s="266">
        <v>75000</v>
      </c>
      <c r="P31" s="311">
        <v>2018</v>
      </c>
      <c r="Q31" s="308" t="s">
        <v>688</v>
      </c>
      <c r="R31" s="311">
        <f t="shared" si="5"/>
        <v>20</v>
      </c>
      <c r="S31" s="310">
        <v>2</v>
      </c>
      <c r="T31" s="310">
        <f t="shared" si="1"/>
        <v>6</v>
      </c>
      <c r="U31" s="310" t="s">
        <v>37</v>
      </c>
      <c r="V31" s="310">
        <f t="shared" si="2"/>
        <v>3</v>
      </c>
      <c r="W31" s="310" t="s">
        <v>30</v>
      </c>
      <c r="X31" s="310">
        <v>0</v>
      </c>
      <c r="Y31" s="310">
        <v>0</v>
      </c>
      <c r="Z31" s="310">
        <v>0</v>
      </c>
      <c r="AA31" s="310">
        <v>0</v>
      </c>
      <c r="AB31" s="310">
        <v>0</v>
      </c>
      <c r="AC31" s="310">
        <v>0</v>
      </c>
      <c r="AD31" s="310">
        <v>0</v>
      </c>
      <c r="AE31" s="310"/>
      <c r="AF31" s="309" t="s">
        <v>29</v>
      </c>
      <c r="AG31" s="311">
        <f>VLOOKUP(Master20[[#This Row],[Elevated Priority]],Epriority,2,)</f>
        <v>0</v>
      </c>
      <c r="AH31" s="321">
        <f>IF(Master20[[#This Row],[Status]]="Active",Master20[[#This Row],[Status_Score]],IF(D31="","",R31+H31+T31+V31+AG31+AE31+Master20[[#This Row],[Risk Mitigation]]+Master20[[#This Row],[Master Plan]]+Master20[[#This Row],[Community Request]]+Master20[[#This Row],[Community need]]+Master20[[#This Row],[Offset Aging Inf.]]+Master20[[#This Row],[Energy Savings]]+Master20[[#This Row],[Gen Revenue]]-5))</f>
        <v>-100</v>
      </c>
      <c r="AI31" s="310" t="s">
        <v>757</v>
      </c>
      <c r="AJ31" s="310">
        <v>2020</v>
      </c>
      <c r="AK31" s="310">
        <v>2022</v>
      </c>
      <c r="AL31" s="310">
        <v>2020</v>
      </c>
      <c r="AM31" s="310">
        <v>2022</v>
      </c>
      <c r="AN31" s="30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48"/>
      <c r="VK31" s="48"/>
      <c r="VL31" s="48"/>
      <c r="VM31" s="48"/>
      <c r="VN31" s="48"/>
      <c r="VO31" s="48"/>
      <c r="VP31" s="48"/>
      <c r="VQ31" s="48"/>
      <c r="VR31" s="48"/>
      <c r="VS31" s="48"/>
      <c r="VT31" s="48"/>
      <c r="VU31" s="48"/>
      <c r="VV31" s="48"/>
      <c r="VW31" s="48"/>
      <c r="VX31" s="48"/>
      <c r="VY31" s="48"/>
      <c r="VZ31" s="48"/>
      <c r="WA31" s="48"/>
      <c r="WB31" s="48"/>
      <c r="WC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8"/>
      <c r="AML31" s="48"/>
      <c r="AMM31" s="48"/>
      <c r="AMN31" s="48"/>
      <c r="AMO31" s="48"/>
      <c r="AMP31" s="48"/>
      <c r="AMQ31" s="48"/>
      <c r="AMR31" s="48"/>
      <c r="AMS31" s="48"/>
      <c r="AMT31" s="48"/>
      <c r="AMU31" s="48"/>
      <c r="AMV31" s="48"/>
      <c r="AMW31" s="48"/>
      <c r="AMX31" s="48"/>
      <c r="AMY31" s="48"/>
      <c r="AMZ31" s="48"/>
      <c r="ANA31" s="48"/>
      <c r="ANB31" s="48"/>
      <c r="ANC31" s="48"/>
      <c r="AND31" s="48"/>
      <c r="ANE31" s="48"/>
      <c r="ANF31" s="48"/>
      <c r="ANG31" s="48"/>
      <c r="ANH31" s="48"/>
      <c r="ANI31" s="48"/>
      <c r="ANJ31" s="48"/>
      <c r="ANK31" s="48"/>
      <c r="ANL31" s="48"/>
      <c r="ANM31" s="48"/>
      <c r="ANN31" s="48"/>
      <c r="ANO31" s="48"/>
      <c r="ANP31" s="48"/>
      <c r="ANQ31" s="48"/>
      <c r="ANR31" s="48"/>
      <c r="ANS31" s="48"/>
      <c r="ANT31" s="48"/>
      <c r="ANU31" s="48"/>
      <c r="ANV31" s="48"/>
      <c r="ANW31" s="48"/>
      <c r="ANX31" s="48"/>
      <c r="ANY31" s="48"/>
      <c r="ANZ31" s="48"/>
      <c r="AOA31" s="48"/>
      <c r="AOB31" s="48"/>
      <c r="AOC31" s="48"/>
      <c r="AOD31" s="48"/>
      <c r="AOE31" s="48"/>
      <c r="AOF31" s="48"/>
      <c r="AOG31" s="48"/>
      <c r="AOH31" s="48"/>
      <c r="AOI31" s="48"/>
      <c r="AOJ31" s="48"/>
      <c r="AOK31" s="48"/>
      <c r="AOL31" s="48"/>
      <c r="AOM31" s="48"/>
      <c r="AON31" s="48"/>
      <c r="AOO31" s="48"/>
      <c r="AOP31" s="48"/>
      <c r="AOQ31" s="48"/>
      <c r="AOR31" s="48"/>
      <c r="AOS31" s="48"/>
      <c r="AOT31" s="48"/>
      <c r="AOU31" s="48"/>
      <c r="AOV31" s="48"/>
      <c r="AOW31" s="48"/>
      <c r="AOX31" s="48"/>
      <c r="AOY31" s="48"/>
      <c r="AOZ31" s="48"/>
      <c r="APA31" s="48"/>
      <c r="APB31" s="48"/>
      <c r="APC31" s="48"/>
      <c r="APD31" s="48"/>
      <c r="APE31" s="48"/>
      <c r="APF31" s="48"/>
      <c r="APG31" s="48"/>
      <c r="APH31" s="48"/>
      <c r="API31" s="48"/>
      <c r="APJ31" s="48"/>
      <c r="APK31" s="48"/>
      <c r="APL31" s="48"/>
      <c r="APM31" s="48"/>
      <c r="APN31" s="48"/>
      <c r="APO31" s="48"/>
      <c r="APP31" s="48"/>
      <c r="APQ31" s="48"/>
      <c r="APR31" s="48"/>
      <c r="APS31" s="48"/>
      <c r="APT31" s="48"/>
      <c r="APU31" s="48"/>
      <c r="APV31" s="48"/>
      <c r="APW31" s="48"/>
      <c r="APX31" s="48"/>
      <c r="APY31" s="48"/>
      <c r="APZ31" s="48"/>
      <c r="AQA31" s="48"/>
      <c r="AQB31" s="48"/>
      <c r="AQC31" s="48"/>
      <c r="AQD31" s="48"/>
      <c r="AQE31" s="48"/>
      <c r="AQF31" s="48"/>
      <c r="AQG31" s="48"/>
      <c r="AQH31" s="48"/>
      <c r="AQI31" s="48"/>
      <c r="AQJ31" s="48"/>
      <c r="AQK31" s="48"/>
      <c r="AQL31" s="48"/>
      <c r="AQM31" s="48"/>
      <c r="AQN31" s="48"/>
      <c r="AQO31" s="48"/>
      <c r="AQP31" s="48"/>
      <c r="AQQ31" s="48"/>
      <c r="AQR31" s="48"/>
      <c r="AQS31" s="48"/>
      <c r="AQT31" s="48"/>
      <c r="AQU31" s="48"/>
      <c r="AQV31" s="48"/>
      <c r="AQW31" s="48"/>
      <c r="AQX31" s="48"/>
      <c r="AQY31" s="48"/>
      <c r="AQZ31" s="48"/>
      <c r="ARA31" s="48"/>
      <c r="ARB31" s="48"/>
      <c r="ARC31" s="48"/>
      <c r="ARD31" s="48"/>
      <c r="ARE31" s="48"/>
      <c r="ARF31" s="48"/>
      <c r="ARG31" s="48"/>
      <c r="ARH31" s="48"/>
      <c r="ARI31" s="48"/>
      <c r="ARJ31" s="48"/>
      <c r="ARK31" s="48"/>
      <c r="ARL31" s="48"/>
      <c r="ARM31" s="48"/>
      <c r="ARN31" s="48"/>
      <c r="ARO31" s="48"/>
      <c r="ARP31" s="48"/>
      <c r="ARQ31" s="48"/>
      <c r="ARR31" s="48"/>
      <c r="ARS31" s="48"/>
      <c r="ART31" s="48"/>
      <c r="ARU31" s="48"/>
      <c r="ARV31" s="48"/>
      <c r="ARW31" s="48"/>
      <c r="ARX31" s="48"/>
      <c r="ARY31" s="48"/>
      <c r="ARZ31" s="48"/>
      <c r="ASA31" s="48"/>
      <c r="ASB31" s="48"/>
      <c r="ASC31" s="48"/>
      <c r="ASD31" s="48"/>
      <c r="ASE31" s="48"/>
      <c r="ASF31" s="48"/>
      <c r="ASG31" s="48"/>
      <c r="ASH31" s="48"/>
      <c r="ASI31" s="48"/>
      <c r="ASJ31" s="48"/>
      <c r="ASK31" s="48"/>
      <c r="ASL31" s="48"/>
      <c r="ASM31" s="48"/>
      <c r="ASN31" s="48"/>
      <c r="ASO31" s="48"/>
      <c r="ASP31" s="48"/>
      <c r="ASQ31" s="48"/>
      <c r="ASR31" s="48"/>
      <c r="ASS31" s="48"/>
      <c r="AST31" s="48"/>
      <c r="ASU31" s="48"/>
      <c r="ASV31" s="48"/>
      <c r="ASW31" s="48"/>
      <c r="ASX31" s="48"/>
      <c r="ASY31" s="48"/>
      <c r="ASZ31" s="48"/>
      <c r="ATA31" s="48"/>
      <c r="ATB31" s="48"/>
      <c r="ATC31" s="48"/>
      <c r="ATD31" s="48"/>
      <c r="ATE31" s="48"/>
      <c r="ATF31" s="48"/>
      <c r="ATG31" s="48"/>
      <c r="ATH31" s="48"/>
      <c r="ATI31" s="48"/>
      <c r="ATJ31" s="48"/>
      <c r="ATK31" s="48"/>
      <c r="ATL31" s="48"/>
      <c r="ATM31" s="48"/>
      <c r="ATN31" s="48"/>
      <c r="ATO31" s="48"/>
      <c r="ATP31" s="48"/>
      <c r="ATQ31" s="48"/>
      <c r="ATR31" s="48"/>
      <c r="ATS31" s="48"/>
      <c r="ATT31" s="48"/>
      <c r="ATU31" s="48"/>
      <c r="ATV31" s="48"/>
      <c r="ATW31" s="48"/>
      <c r="ATX31" s="48"/>
      <c r="ATY31" s="48"/>
      <c r="ATZ31" s="48"/>
      <c r="AUA31" s="48"/>
      <c r="AUB31" s="48"/>
      <c r="AUC31" s="48"/>
      <c r="AUD31" s="48"/>
      <c r="AUE31" s="48"/>
      <c r="AUF31" s="48"/>
      <c r="AUG31" s="48"/>
      <c r="AUH31" s="48"/>
      <c r="AUI31" s="48"/>
      <c r="AUJ31" s="48"/>
      <c r="AUK31" s="48"/>
      <c r="AUL31" s="48"/>
      <c r="AUM31" s="48"/>
      <c r="AUN31" s="48"/>
      <c r="AUO31" s="48"/>
      <c r="AUP31" s="48"/>
      <c r="AUQ31" s="48"/>
      <c r="AUR31" s="48"/>
      <c r="AUS31" s="48"/>
      <c r="AUT31" s="48"/>
      <c r="AUU31" s="48"/>
      <c r="AUV31" s="48"/>
      <c r="AUW31" s="48"/>
      <c r="AUX31" s="48"/>
      <c r="AUY31" s="48"/>
      <c r="AUZ31" s="48"/>
      <c r="AVA31" s="48"/>
      <c r="AVB31" s="48"/>
      <c r="AVC31" s="48"/>
      <c r="AVD31" s="48"/>
      <c r="AVE31" s="48"/>
      <c r="AVF31" s="48"/>
      <c r="AVG31" s="48"/>
      <c r="AVH31" s="48"/>
      <c r="AVI31" s="48"/>
      <c r="AVJ31" s="48"/>
      <c r="AVK31" s="48"/>
      <c r="AVL31" s="48"/>
      <c r="AVM31" s="48"/>
      <c r="AVN31" s="48"/>
      <c r="AVO31" s="48"/>
      <c r="AVP31" s="48"/>
      <c r="AVQ31" s="48"/>
      <c r="AVR31" s="48"/>
      <c r="AVS31" s="48"/>
      <c r="AVT31" s="48"/>
      <c r="AVU31" s="48"/>
      <c r="AVV31" s="48"/>
      <c r="AVW31" s="48"/>
      <c r="AVX31" s="48"/>
      <c r="AVY31" s="48"/>
      <c r="AVZ31" s="48"/>
      <c r="AWA31" s="48"/>
      <c r="AWB31" s="48"/>
      <c r="AWC31" s="48"/>
      <c r="AWD31" s="48"/>
      <c r="AWE31" s="48"/>
      <c r="AWF31" s="48"/>
      <c r="AWG31" s="48"/>
      <c r="AWH31" s="48"/>
      <c r="AWI31" s="48"/>
      <c r="AWJ31" s="48"/>
      <c r="AWK31" s="48"/>
      <c r="AWL31" s="48"/>
      <c r="AWM31" s="48"/>
      <c r="AWN31" s="48"/>
      <c r="AWO31" s="48"/>
      <c r="AWP31" s="48"/>
      <c r="AWQ31" s="48"/>
      <c r="AWR31" s="48"/>
      <c r="AWS31" s="48"/>
      <c r="AWT31" s="48"/>
      <c r="AWU31" s="48"/>
      <c r="AWV31" s="48"/>
      <c r="AWW31" s="48"/>
      <c r="AWX31" s="48"/>
      <c r="AWY31" s="48"/>
      <c r="AWZ31" s="48"/>
      <c r="AXA31" s="48"/>
      <c r="AXB31" s="48"/>
      <c r="AXC31" s="48"/>
      <c r="AXD31" s="48"/>
      <c r="AXE31" s="48"/>
      <c r="AXF31" s="48"/>
      <c r="AXG31" s="48"/>
      <c r="AXH31" s="48"/>
      <c r="AXI31" s="48"/>
      <c r="AXJ31" s="48"/>
      <c r="AXK31" s="48"/>
      <c r="AXL31" s="48"/>
      <c r="AXM31" s="48"/>
      <c r="AXN31" s="48"/>
      <c r="AXO31" s="48"/>
      <c r="AXP31" s="48"/>
      <c r="AXQ31" s="48"/>
      <c r="AXR31" s="48"/>
      <c r="AXS31" s="48"/>
      <c r="AXT31" s="48"/>
      <c r="AXU31" s="48"/>
      <c r="AXV31" s="48"/>
      <c r="AXW31" s="48"/>
      <c r="AXX31" s="48"/>
      <c r="AXY31" s="48"/>
      <c r="AXZ31" s="48"/>
      <c r="AYA31" s="48"/>
      <c r="AYB31" s="48"/>
      <c r="AYC31" s="48"/>
      <c r="AYD31" s="48"/>
      <c r="AYE31" s="48"/>
      <c r="AYF31" s="48"/>
      <c r="AYG31" s="48"/>
      <c r="AYH31" s="48"/>
      <c r="AYI31" s="48"/>
      <c r="AYJ31" s="48"/>
      <c r="AYK31" s="48"/>
      <c r="AYL31" s="48"/>
      <c r="AYM31" s="48"/>
      <c r="AYN31" s="48"/>
      <c r="AYO31" s="48"/>
      <c r="AYP31" s="48"/>
      <c r="AYQ31" s="48"/>
      <c r="AYR31" s="48"/>
      <c r="AYS31" s="48"/>
      <c r="AYT31" s="48"/>
      <c r="AYU31" s="48"/>
      <c r="AYV31" s="48"/>
      <c r="AYW31" s="48"/>
      <c r="AYX31" s="48"/>
      <c r="AYY31" s="48"/>
      <c r="AYZ31" s="48"/>
      <c r="AZA31" s="48"/>
      <c r="AZB31" s="48"/>
      <c r="AZC31" s="48"/>
      <c r="AZD31" s="48"/>
      <c r="AZE31" s="48"/>
      <c r="AZF31" s="48"/>
      <c r="AZG31" s="48"/>
      <c r="AZH31" s="48"/>
      <c r="AZI31" s="48"/>
      <c r="AZJ31" s="48"/>
      <c r="AZK31" s="48"/>
      <c r="AZL31" s="48"/>
      <c r="AZM31" s="48"/>
      <c r="AZN31" s="48"/>
      <c r="AZO31" s="48"/>
      <c r="AZP31" s="48"/>
      <c r="AZQ31" s="48"/>
      <c r="AZR31" s="48"/>
      <c r="AZS31" s="48"/>
      <c r="AZT31" s="48"/>
      <c r="AZU31" s="48"/>
      <c r="AZV31" s="48"/>
      <c r="AZW31" s="48"/>
      <c r="AZX31" s="48"/>
      <c r="AZY31" s="48"/>
      <c r="AZZ31" s="48"/>
      <c r="BAA31" s="48"/>
      <c r="BAB31" s="48"/>
      <c r="BAC31" s="48"/>
      <c r="BAD31" s="48"/>
      <c r="BAE31" s="48"/>
      <c r="BAF31" s="48"/>
      <c r="BAG31" s="48"/>
      <c r="BAH31" s="48"/>
      <c r="BAI31" s="48"/>
      <c r="BAJ31" s="48"/>
      <c r="BAK31" s="48"/>
      <c r="BAL31" s="48"/>
      <c r="BAM31" s="48"/>
      <c r="BAN31" s="48"/>
      <c r="BAO31" s="48"/>
      <c r="BAP31" s="48"/>
      <c r="BAQ31" s="48"/>
      <c r="BAR31" s="48"/>
      <c r="BAS31" s="48"/>
      <c r="BAT31" s="48"/>
      <c r="BAU31" s="48"/>
      <c r="BAV31" s="48"/>
      <c r="BAW31" s="48"/>
      <c r="BAX31" s="48"/>
    </row>
    <row r="32" spans="1:1402" s="141" customFormat="1" ht="30" hidden="1" x14ac:dyDescent="0.25">
      <c r="A32" s="307">
        <f t="shared" si="3"/>
        <v>31</v>
      </c>
      <c r="B32" s="308" t="s">
        <v>65</v>
      </c>
      <c r="C32" s="308" t="s">
        <v>1045</v>
      </c>
      <c r="D32" s="308" t="s">
        <v>556</v>
      </c>
      <c r="E32" s="308" t="s">
        <v>557</v>
      </c>
      <c r="F32" s="308" t="s">
        <v>1055</v>
      </c>
      <c r="G32" s="308" t="s">
        <v>598</v>
      </c>
      <c r="H32" s="308">
        <f t="shared" si="0"/>
        <v>-100</v>
      </c>
      <c r="I32" s="263"/>
      <c r="J32" s="263"/>
      <c r="K32" s="263">
        <f>Master20[[#This Row],[Initial Budget]]-Master20[[#This Row],[Previously Committed Funds]]</f>
        <v>0</v>
      </c>
      <c r="L32" s="263"/>
      <c r="M32" s="263"/>
      <c r="N32" s="268">
        <f>Master20[[#This Row],[Design $ (Add/Deduct)]]+Master20[[#This Row],[Construction $ (Add/Ded)]]</f>
        <v>0</v>
      </c>
      <c r="O32" s="266">
        <v>30000</v>
      </c>
      <c r="P32" s="311">
        <v>2018</v>
      </c>
      <c r="Q32" s="308" t="s">
        <v>686</v>
      </c>
      <c r="R32" s="311">
        <f t="shared" si="5"/>
        <v>60</v>
      </c>
      <c r="S32" s="310">
        <v>1</v>
      </c>
      <c r="T32" s="310">
        <f t="shared" si="1"/>
        <v>3</v>
      </c>
      <c r="U32" s="310" t="s">
        <v>41</v>
      </c>
      <c r="V32" s="310">
        <f t="shared" si="2"/>
        <v>4</v>
      </c>
      <c r="W32" s="310" t="s">
        <v>30</v>
      </c>
      <c r="X32" s="302">
        <v>0</v>
      </c>
      <c r="Y32" s="302">
        <v>0</v>
      </c>
      <c r="Z32" s="302">
        <v>0</v>
      </c>
      <c r="AA32" s="302">
        <v>0</v>
      </c>
      <c r="AB32" s="302">
        <v>0</v>
      </c>
      <c r="AC32" s="302">
        <v>0</v>
      </c>
      <c r="AD32" s="302">
        <v>0</v>
      </c>
      <c r="AE32" s="302"/>
      <c r="AF32" s="303" t="s">
        <v>29</v>
      </c>
      <c r="AG32" s="305">
        <f>VLOOKUP(Master20[[#This Row],[Elevated Priority]],Epriority,2,)</f>
        <v>0</v>
      </c>
      <c r="AH32" s="321">
        <f>IF(Master20[[#This Row],[Status]]="Active",Master20[[#This Row],[Status_Score]],IF(D32="","",R32+H32+T32+V32+AG32+AE32+Master20[[#This Row],[Risk Mitigation]]+Master20[[#This Row],[Master Plan]]+Master20[[#This Row],[Community Request]]+Master20[[#This Row],[Community need]]+Master20[[#This Row],[Offset Aging Inf.]]+Master20[[#This Row],[Energy Savings]]+Master20[[#This Row],[Gen Revenue]]-5))</f>
        <v>-100</v>
      </c>
      <c r="AI32" s="299"/>
      <c r="AJ32" s="310"/>
      <c r="AK32" s="310"/>
      <c r="AL32" s="310">
        <v>2022</v>
      </c>
      <c r="AM32" s="310">
        <v>2022</v>
      </c>
      <c r="AN32" s="308" t="s">
        <v>1184</v>
      </c>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row>
    <row r="33" spans="1:1402" s="141" customFormat="1" ht="75" hidden="1" x14ac:dyDescent="0.25">
      <c r="A33" s="307">
        <f t="shared" si="3"/>
        <v>32</v>
      </c>
      <c r="B33" s="308" t="s">
        <v>65</v>
      </c>
      <c r="C33" s="308" t="s">
        <v>1045</v>
      </c>
      <c r="D33" s="308" t="s">
        <v>191</v>
      </c>
      <c r="E33" s="308" t="s">
        <v>192</v>
      </c>
      <c r="F33" s="308" t="s">
        <v>193</v>
      </c>
      <c r="G33" s="308" t="s">
        <v>598</v>
      </c>
      <c r="H33" s="308">
        <f t="shared" si="0"/>
        <v>-100</v>
      </c>
      <c r="I33" s="263"/>
      <c r="J33" s="263"/>
      <c r="K33" s="263">
        <f>Master20[[#This Row],[Initial Budget]]-Master20[[#This Row],[Previously Committed Funds]]</f>
        <v>0</v>
      </c>
      <c r="L33" s="263"/>
      <c r="M33" s="263"/>
      <c r="N33" s="268">
        <f>Master20[[#This Row],[Design $ (Add/Deduct)]]+Master20[[#This Row],[Construction $ (Add/Ded)]]</f>
        <v>0</v>
      </c>
      <c r="O33" s="266">
        <v>800000</v>
      </c>
      <c r="P33" s="311">
        <v>2018</v>
      </c>
      <c r="Q33" s="308" t="s">
        <v>36</v>
      </c>
      <c r="R33" s="311">
        <f t="shared" si="5"/>
        <v>10</v>
      </c>
      <c r="S33" s="310">
        <v>1</v>
      </c>
      <c r="T33" s="310">
        <f t="shared" si="1"/>
        <v>3</v>
      </c>
      <c r="U33" s="310" t="s">
        <v>41</v>
      </c>
      <c r="V33" s="310">
        <f t="shared" si="2"/>
        <v>4</v>
      </c>
      <c r="W33" s="310" t="s">
        <v>65</v>
      </c>
      <c r="X33" s="310">
        <v>0</v>
      </c>
      <c r="Y33" s="310">
        <v>0</v>
      </c>
      <c r="Z33" s="310">
        <v>0</v>
      </c>
      <c r="AA33" s="310">
        <v>0</v>
      </c>
      <c r="AB33" s="310">
        <v>0</v>
      </c>
      <c r="AC33" s="310">
        <v>0</v>
      </c>
      <c r="AD33" s="310">
        <v>-1</v>
      </c>
      <c r="AE33" s="310"/>
      <c r="AF33" s="309" t="s">
        <v>29</v>
      </c>
      <c r="AG33" s="311">
        <f>VLOOKUP(Master20[[#This Row],[Elevated Priority]],Epriority,2,)</f>
        <v>0</v>
      </c>
      <c r="AH33" s="321">
        <f>IF(Master20[[#This Row],[Status]]="Active",Master20[[#This Row],[Status_Score]],IF(D33="","",R33+H33+T33+V33+AG33+AE33+Master20[[#This Row],[Risk Mitigation]]+Master20[[#This Row],[Master Plan]]+Master20[[#This Row],[Community Request]]+Master20[[#This Row],[Community need]]+Master20[[#This Row],[Offset Aging Inf.]]+Master20[[#This Row],[Energy Savings]]+Master20[[#This Row],[Gen Revenue]]-5))</f>
        <v>-100</v>
      </c>
      <c r="AI33" s="310"/>
      <c r="AJ33" s="310"/>
      <c r="AK33" s="310"/>
      <c r="AL33" s="310">
        <v>2021</v>
      </c>
      <c r="AM33" s="310">
        <v>2022</v>
      </c>
      <c r="AN33" s="308" t="s">
        <v>1184</v>
      </c>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48"/>
      <c r="VK33" s="48"/>
      <c r="VL33" s="48"/>
      <c r="VM33" s="48"/>
      <c r="VN33" s="48"/>
      <c r="VO33" s="48"/>
      <c r="VP33" s="48"/>
      <c r="VQ33" s="48"/>
      <c r="VR33" s="48"/>
      <c r="VS33" s="48"/>
      <c r="VT33" s="48"/>
      <c r="VU33" s="48"/>
      <c r="VV33" s="48"/>
      <c r="VW33" s="48"/>
      <c r="VX33" s="48"/>
      <c r="VY33" s="48"/>
      <c r="VZ33" s="48"/>
      <c r="WA33" s="48"/>
      <c r="WB33" s="48"/>
      <c r="WC33" s="4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8"/>
      <c r="AMH33" s="48"/>
      <c r="AMI33" s="48"/>
      <c r="AMJ33" s="48"/>
      <c r="AMK33" s="48"/>
      <c r="AML33" s="48"/>
      <c r="AMM33" s="48"/>
      <c r="AMN33" s="48"/>
      <c r="AMO33" s="48"/>
      <c r="AMP33" s="48"/>
      <c r="AMQ33" s="48"/>
      <c r="AMR33" s="48"/>
      <c r="AMS33" s="48"/>
      <c r="AMT33" s="48"/>
      <c r="AMU33" s="48"/>
      <c r="AMV33" s="48"/>
      <c r="AMW33" s="48"/>
      <c r="AMX33" s="48"/>
      <c r="AMY33" s="48"/>
      <c r="AMZ33" s="48"/>
      <c r="ANA33" s="48"/>
      <c r="ANB33" s="48"/>
      <c r="ANC33" s="48"/>
      <c r="AND33" s="48"/>
      <c r="ANE33" s="48"/>
      <c r="ANF33" s="48"/>
      <c r="ANG33" s="48"/>
      <c r="ANH33" s="48"/>
      <c r="ANI33" s="48"/>
      <c r="ANJ33" s="48"/>
      <c r="ANK33" s="48"/>
      <c r="ANL33" s="48"/>
      <c r="ANM33" s="48"/>
      <c r="ANN33" s="48"/>
      <c r="ANO33" s="48"/>
      <c r="ANP33" s="48"/>
      <c r="ANQ33" s="48"/>
      <c r="ANR33" s="48"/>
      <c r="ANS33" s="48"/>
      <c r="ANT33" s="48"/>
      <c r="ANU33" s="48"/>
      <c r="ANV33" s="48"/>
      <c r="ANW33" s="48"/>
      <c r="ANX33" s="48"/>
      <c r="ANY33" s="48"/>
      <c r="ANZ33" s="48"/>
      <c r="AOA33" s="48"/>
      <c r="AOB33" s="48"/>
      <c r="AOC33" s="48"/>
      <c r="AOD33" s="48"/>
      <c r="AOE33" s="48"/>
      <c r="AOF33" s="48"/>
      <c r="AOG33" s="48"/>
      <c r="AOH33" s="48"/>
      <c r="AOI33" s="48"/>
      <c r="AOJ33" s="48"/>
      <c r="AOK33" s="48"/>
      <c r="AOL33" s="48"/>
      <c r="AOM33" s="48"/>
      <c r="AON33" s="48"/>
      <c r="AOO33" s="48"/>
      <c r="AOP33" s="48"/>
      <c r="AOQ33" s="48"/>
      <c r="AOR33" s="48"/>
      <c r="AOS33" s="48"/>
      <c r="AOT33" s="48"/>
      <c r="AOU33" s="48"/>
      <c r="AOV33" s="48"/>
      <c r="AOW33" s="48"/>
      <c r="AOX33" s="48"/>
      <c r="AOY33" s="48"/>
      <c r="AOZ33" s="48"/>
      <c r="APA33" s="48"/>
      <c r="APB33" s="48"/>
      <c r="APC33" s="48"/>
      <c r="APD33" s="48"/>
      <c r="APE33" s="48"/>
      <c r="APF33" s="48"/>
      <c r="APG33" s="48"/>
      <c r="APH33" s="48"/>
      <c r="API33" s="48"/>
      <c r="APJ33" s="48"/>
      <c r="APK33" s="48"/>
      <c r="APL33" s="48"/>
      <c r="APM33" s="48"/>
      <c r="APN33" s="48"/>
      <c r="APO33" s="48"/>
      <c r="APP33" s="48"/>
      <c r="APQ33" s="48"/>
      <c r="APR33" s="48"/>
      <c r="APS33" s="48"/>
      <c r="APT33" s="48"/>
      <c r="APU33" s="48"/>
      <c r="APV33" s="48"/>
      <c r="APW33" s="48"/>
      <c r="APX33" s="48"/>
      <c r="APY33" s="48"/>
      <c r="APZ33" s="48"/>
      <c r="AQA33" s="48"/>
      <c r="AQB33" s="48"/>
      <c r="AQC33" s="48"/>
      <c r="AQD33" s="48"/>
      <c r="AQE33" s="48"/>
      <c r="AQF33" s="48"/>
      <c r="AQG33" s="48"/>
      <c r="AQH33" s="48"/>
      <c r="AQI33" s="48"/>
      <c r="AQJ33" s="48"/>
      <c r="AQK33" s="48"/>
      <c r="AQL33" s="48"/>
      <c r="AQM33" s="48"/>
      <c r="AQN33" s="48"/>
      <c r="AQO33" s="48"/>
      <c r="AQP33" s="48"/>
      <c r="AQQ33" s="48"/>
      <c r="AQR33" s="48"/>
      <c r="AQS33" s="48"/>
      <c r="AQT33" s="48"/>
      <c r="AQU33" s="48"/>
      <c r="AQV33" s="48"/>
      <c r="AQW33" s="48"/>
      <c r="AQX33" s="48"/>
      <c r="AQY33" s="48"/>
      <c r="AQZ33" s="48"/>
      <c r="ARA33" s="48"/>
      <c r="ARB33" s="48"/>
      <c r="ARC33" s="48"/>
      <c r="ARD33" s="48"/>
      <c r="ARE33" s="48"/>
      <c r="ARF33" s="48"/>
      <c r="ARG33" s="48"/>
      <c r="ARH33" s="48"/>
      <c r="ARI33" s="48"/>
      <c r="ARJ33" s="48"/>
      <c r="ARK33" s="48"/>
      <c r="ARL33" s="48"/>
      <c r="ARM33" s="48"/>
      <c r="ARN33" s="48"/>
      <c r="ARO33" s="48"/>
      <c r="ARP33" s="48"/>
      <c r="ARQ33" s="48"/>
      <c r="ARR33" s="48"/>
      <c r="ARS33" s="48"/>
      <c r="ART33" s="48"/>
      <c r="ARU33" s="48"/>
      <c r="ARV33" s="48"/>
      <c r="ARW33" s="48"/>
      <c r="ARX33" s="48"/>
      <c r="ARY33" s="48"/>
      <c r="ARZ33" s="48"/>
      <c r="ASA33" s="48"/>
      <c r="ASB33" s="48"/>
      <c r="ASC33" s="48"/>
      <c r="ASD33" s="48"/>
      <c r="ASE33" s="48"/>
      <c r="ASF33" s="48"/>
      <c r="ASG33" s="48"/>
      <c r="ASH33" s="48"/>
      <c r="ASI33" s="48"/>
      <c r="ASJ33" s="48"/>
      <c r="ASK33" s="48"/>
      <c r="ASL33" s="48"/>
      <c r="ASM33" s="48"/>
      <c r="ASN33" s="48"/>
      <c r="ASO33" s="48"/>
      <c r="ASP33" s="48"/>
      <c r="ASQ33" s="48"/>
      <c r="ASR33" s="48"/>
      <c r="ASS33" s="48"/>
      <c r="AST33" s="48"/>
      <c r="ASU33" s="48"/>
      <c r="ASV33" s="48"/>
      <c r="ASW33" s="48"/>
      <c r="ASX33" s="48"/>
      <c r="ASY33" s="48"/>
      <c r="ASZ33" s="48"/>
      <c r="ATA33" s="48"/>
      <c r="ATB33" s="48"/>
      <c r="ATC33" s="48"/>
      <c r="ATD33" s="48"/>
      <c r="ATE33" s="48"/>
      <c r="ATF33" s="48"/>
      <c r="ATG33" s="48"/>
      <c r="ATH33" s="48"/>
      <c r="ATI33" s="48"/>
      <c r="ATJ33" s="48"/>
      <c r="ATK33" s="48"/>
      <c r="ATL33" s="48"/>
      <c r="ATM33" s="48"/>
      <c r="ATN33" s="48"/>
      <c r="ATO33" s="48"/>
      <c r="ATP33" s="48"/>
      <c r="ATQ33" s="48"/>
      <c r="ATR33" s="48"/>
      <c r="ATS33" s="48"/>
      <c r="ATT33" s="48"/>
      <c r="ATU33" s="48"/>
      <c r="ATV33" s="48"/>
      <c r="ATW33" s="48"/>
      <c r="ATX33" s="48"/>
      <c r="ATY33" s="48"/>
      <c r="ATZ33" s="48"/>
      <c r="AUA33" s="48"/>
      <c r="AUB33" s="48"/>
      <c r="AUC33" s="48"/>
      <c r="AUD33" s="48"/>
      <c r="AUE33" s="48"/>
      <c r="AUF33" s="48"/>
      <c r="AUG33" s="48"/>
      <c r="AUH33" s="48"/>
      <c r="AUI33" s="48"/>
      <c r="AUJ33" s="48"/>
      <c r="AUK33" s="48"/>
      <c r="AUL33" s="48"/>
      <c r="AUM33" s="48"/>
      <c r="AUN33" s="48"/>
      <c r="AUO33" s="48"/>
      <c r="AUP33" s="48"/>
      <c r="AUQ33" s="48"/>
      <c r="AUR33" s="48"/>
      <c r="AUS33" s="48"/>
      <c r="AUT33" s="48"/>
      <c r="AUU33" s="48"/>
      <c r="AUV33" s="48"/>
      <c r="AUW33" s="48"/>
      <c r="AUX33" s="48"/>
      <c r="AUY33" s="48"/>
      <c r="AUZ33" s="48"/>
      <c r="AVA33" s="48"/>
      <c r="AVB33" s="48"/>
      <c r="AVC33" s="48"/>
      <c r="AVD33" s="48"/>
      <c r="AVE33" s="48"/>
      <c r="AVF33" s="48"/>
      <c r="AVG33" s="48"/>
      <c r="AVH33" s="48"/>
      <c r="AVI33" s="48"/>
      <c r="AVJ33" s="48"/>
      <c r="AVK33" s="48"/>
      <c r="AVL33" s="48"/>
      <c r="AVM33" s="48"/>
      <c r="AVN33" s="48"/>
      <c r="AVO33" s="48"/>
      <c r="AVP33" s="48"/>
      <c r="AVQ33" s="48"/>
      <c r="AVR33" s="48"/>
      <c r="AVS33" s="48"/>
      <c r="AVT33" s="48"/>
      <c r="AVU33" s="48"/>
      <c r="AVV33" s="48"/>
      <c r="AVW33" s="48"/>
      <c r="AVX33" s="48"/>
      <c r="AVY33" s="48"/>
      <c r="AVZ33" s="48"/>
      <c r="AWA33" s="48"/>
      <c r="AWB33" s="48"/>
      <c r="AWC33" s="48"/>
      <c r="AWD33" s="48"/>
      <c r="AWE33" s="48"/>
      <c r="AWF33" s="48"/>
      <c r="AWG33" s="48"/>
      <c r="AWH33" s="48"/>
      <c r="AWI33" s="48"/>
      <c r="AWJ33" s="48"/>
      <c r="AWK33" s="48"/>
      <c r="AWL33" s="48"/>
      <c r="AWM33" s="48"/>
      <c r="AWN33" s="48"/>
      <c r="AWO33" s="48"/>
      <c r="AWP33" s="48"/>
      <c r="AWQ33" s="48"/>
      <c r="AWR33" s="48"/>
      <c r="AWS33" s="48"/>
      <c r="AWT33" s="48"/>
      <c r="AWU33" s="48"/>
      <c r="AWV33" s="48"/>
      <c r="AWW33" s="48"/>
      <c r="AWX33" s="48"/>
      <c r="AWY33" s="48"/>
      <c r="AWZ33" s="48"/>
      <c r="AXA33" s="48"/>
      <c r="AXB33" s="48"/>
      <c r="AXC33" s="48"/>
      <c r="AXD33" s="48"/>
      <c r="AXE33" s="48"/>
      <c r="AXF33" s="48"/>
      <c r="AXG33" s="48"/>
      <c r="AXH33" s="48"/>
      <c r="AXI33" s="48"/>
      <c r="AXJ33" s="48"/>
      <c r="AXK33" s="48"/>
      <c r="AXL33" s="48"/>
      <c r="AXM33" s="48"/>
      <c r="AXN33" s="48"/>
      <c r="AXO33" s="48"/>
      <c r="AXP33" s="48"/>
      <c r="AXQ33" s="48"/>
      <c r="AXR33" s="48"/>
      <c r="AXS33" s="48"/>
      <c r="AXT33" s="48"/>
      <c r="AXU33" s="48"/>
      <c r="AXV33" s="48"/>
      <c r="AXW33" s="48"/>
      <c r="AXX33" s="48"/>
      <c r="AXY33" s="48"/>
      <c r="AXZ33" s="48"/>
      <c r="AYA33" s="48"/>
      <c r="AYB33" s="48"/>
      <c r="AYC33" s="48"/>
      <c r="AYD33" s="48"/>
      <c r="AYE33" s="48"/>
      <c r="AYF33" s="48"/>
      <c r="AYG33" s="48"/>
      <c r="AYH33" s="48"/>
      <c r="AYI33" s="48"/>
      <c r="AYJ33" s="48"/>
      <c r="AYK33" s="48"/>
      <c r="AYL33" s="48"/>
      <c r="AYM33" s="48"/>
      <c r="AYN33" s="48"/>
      <c r="AYO33" s="48"/>
      <c r="AYP33" s="48"/>
      <c r="AYQ33" s="48"/>
      <c r="AYR33" s="48"/>
      <c r="AYS33" s="48"/>
      <c r="AYT33" s="48"/>
      <c r="AYU33" s="48"/>
      <c r="AYV33" s="48"/>
      <c r="AYW33" s="48"/>
      <c r="AYX33" s="48"/>
      <c r="AYY33" s="48"/>
      <c r="AYZ33" s="48"/>
      <c r="AZA33" s="48"/>
      <c r="AZB33" s="48"/>
      <c r="AZC33" s="48"/>
      <c r="AZD33" s="48"/>
      <c r="AZE33" s="48"/>
      <c r="AZF33" s="48"/>
      <c r="AZG33" s="48"/>
      <c r="AZH33" s="48"/>
      <c r="AZI33" s="48"/>
      <c r="AZJ33" s="48"/>
      <c r="AZK33" s="48"/>
      <c r="AZL33" s="48"/>
      <c r="AZM33" s="48"/>
      <c r="AZN33" s="48"/>
      <c r="AZO33" s="48"/>
      <c r="AZP33" s="48"/>
      <c r="AZQ33" s="48"/>
      <c r="AZR33" s="48"/>
      <c r="AZS33" s="48"/>
      <c r="AZT33" s="48"/>
      <c r="AZU33" s="48"/>
      <c r="AZV33" s="48"/>
      <c r="AZW33" s="48"/>
      <c r="AZX33" s="48"/>
      <c r="AZY33" s="48"/>
      <c r="AZZ33" s="48"/>
      <c r="BAA33" s="48"/>
      <c r="BAB33" s="48"/>
      <c r="BAC33" s="48"/>
      <c r="BAD33" s="48"/>
      <c r="BAE33" s="48"/>
      <c r="BAF33" s="48"/>
      <c r="BAG33" s="48"/>
      <c r="BAH33" s="48"/>
      <c r="BAI33" s="48"/>
      <c r="BAJ33" s="48"/>
      <c r="BAK33" s="48"/>
      <c r="BAL33" s="48"/>
      <c r="BAM33" s="48"/>
      <c r="BAN33" s="48"/>
      <c r="BAO33" s="48"/>
      <c r="BAP33" s="48"/>
      <c r="BAQ33" s="48"/>
      <c r="BAR33" s="48"/>
      <c r="BAS33" s="48"/>
      <c r="BAT33" s="48"/>
      <c r="BAU33" s="48"/>
      <c r="BAV33" s="48"/>
      <c r="BAW33" s="48"/>
      <c r="BAX33" s="48"/>
    </row>
    <row r="34" spans="1:1402" s="141" customFormat="1" ht="60" hidden="1" x14ac:dyDescent="0.25">
      <c r="A34" s="307">
        <f t="shared" si="3"/>
        <v>33</v>
      </c>
      <c r="B34" s="308" t="s">
        <v>67</v>
      </c>
      <c r="C34" s="308" t="s">
        <v>995</v>
      </c>
      <c r="D34" s="308" t="s">
        <v>357</v>
      </c>
      <c r="E34" s="308" t="s">
        <v>358</v>
      </c>
      <c r="F34" s="308" t="s">
        <v>990</v>
      </c>
      <c r="G34" s="308" t="s">
        <v>598</v>
      </c>
      <c r="H34" s="308">
        <f t="shared" ref="H34:H65" si="6">VLOOKUP(G34,Status_Score,2,FALSE)</f>
        <v>-100</v>
      </c>
      <c r="I34" s="263">
        <v>100000</v>
      </c>
      <c r="J34" s="263"/>
      <c r="K34" s="263">
        <f>Master20[[#This Row],[Initial Budget]]-Master20[[#This Row],[Previously Committed Funds]]</f>
        <v>100000</v>
      </c>
      <c r="L34" s="263"/>
      <c r="M34" s="263"/>
      <c r="N34" s="268">
        <f>Master20[[#This Row],[Design $ (Add/Deduct)]]+Master20[[#This Row],[Construction $ (Add/Ded)]]</f>
        <v>0</v>
      </c>
      <c r="O34" s="266">
        <v>100000</v>
      </c>
      <c r="P34" s="311">
        <v>2018</v>
      </c>
      <c r="Q34" s="308" t="s">
        <v>36</v>
      </c>
      <c r="R34" s="311">
        <f t="shared" si="5"/>
        <v>10</v>
      </c>
      <c r="S34" s="310">
        <v>1</v>
      </c>
      <c r="T34" s="310">
        <f t="shared" si="1"/>
        <v>3</v>
      </c>
      <c r="U34" s="310" t="s">
        <v>41</v>
      </c>
      <c r="V34" s="310">
        <f t="shared" si="2"/>
        <v>4</v>
      </c>
      <c r="W34" s="310" t="s">
        <v>30</v>
      </c>
      <c r="X34" s="310">
        <v>0</v>
      </c>
      <c r="Y34" s="310">
        <v>0</v>
      </c>
      <c r="Z34" s="310">
        <v>0</v>
      </c>
      <c r="AA34" s="310">
        <v>0</v>
      </c>
      <c r="AB34" s="310">
        <v>0</v>
      </c>
      <c r="AC34" s="310">
        <v>0</v>
      </c>
      <c r="AD34" s="310">
        <v>-3</v>
      </c>
      <c r="AE34" s="310"/>
      <c r="AF34" s="309" t="s">
        <v>29</v>
      </c>
      <c r="AG34" s="311">
        <f>VLOOKUP(Master20[[#This Row],[Elevated Priority]],Epriority,2,)</f>
        <v>0</v>
      </c>
      <c r="AH34" s="321">
        <f>IF(Master20[[#This Row],[Status]]="Active",Master20[[#This Row],[Status_Score]],IF(D34="","",R34+H34+T34+V34+AG34+AE34+Master20[[#This Row],[Risk Mitigation]]+Master20[[#This Row],[Master Plan]]+Master20[[#This Row],[Community Request]]+Master20[[#This Row],[Community need]]+Master20[[#This Row],[Offset Aging Inf.]]+Master20[[#This Row],[Energy Savings]]+Master20[[#This Row],[Gen Revenue]]-5))</f>
        <v>-100</v>
      </c>
      <c r="AI34" s="310" t="s">
        <v>715</v>
      </c>
      <c r="AJ34" s="310">
        <v>2021</v>
      </c>
      <c r="AK34" s="310">
        <v>2022</v>
      </c>
      <c r="AL34" s="310">
        <v>2021</v>
      </c>
      <c r="AM34" s="310">
        <v>2023</v>
      </c>
      <c r="AN34" s="308" t="s">
        <v>1185</v>
      </c>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8"/>
      <c r="AMH34" s="48"/>
      <c r="AMI34" s="48"/>
      <c r="AMJ34" s="48"/>
      <c r="AMK34" s="48"/>
      <c r="AML34" s="48"/>
      <c r="AMM34" s="48"/>
      <c r="AMN34" s="48"/>
      <c r="AMO34" s="48"/>
      <c r="AMP34" s="48"/>
      <c r="AMQ34" s="48"/>
      <c r="AMR34" s="48"/>
      <c r="AMS34" s="48"/>
      <c r="AMT34" s="48"/>
      <c r="AMU34" s="48"/>
      <c r="AMV34" s="48"/>
      <c r="AMW34" s="48"/>
      <c r="AMX34" s="48"/>
      <c r="AMY34" s="48"/>
      <c r="AMZ34" s="48"/>
      <c r="ANA34" s="48"/>
      <c r="ANB34" s="48"/>
      <c r="ANC34" s="48"/>
      <c r="AND34" s="48"/>
      <c r="ANE34" s="48"/>
      <c r="ANF34" s="48"/>
      <c r="ANG34" s="48"/>
      <c r="ANH34" s="48"/>
      <c r="ANI34" s="48"/>
      <c r="ANJ34" s="48"/>
      <c r="ANK34" s="48"/>
      <c r="ANL34" s="48"/>
      <c r="ANM34" s="48"/>
      <c r="ANN34" s="48"/>
      <c r="ANO34" s="48"/>
      <c r="ANP34" s="48"/>
      <c r="ANQ34" s="48"/>
      <c r="ANR34" s="48"/>
      <c r="ANS34" s="48"/>
      <c r="ANT34" s="48"/>
      <c r="ANU34" s="48"/>
      <c r="ANV34" s="48"/>
      <c r="ANW34" s="48"/>
      <c r="ANX34" s="48"/>
      <c r="ANY34" s="48"/>
      <c r="ANZ34" s="48"/>
      <c r="AOA34" s="48"/>
      <c r="AOB34" s="48"/>
      <c r="AOC34" s="48"/>
      <c r="AOD34" s="48"/>
      <c r="AOE34" s="48"/>
      <c r="AOF34" s="48"/>
      <c r="AOG34" s="48"/>
      <c r="AOH34" s="48"/>
      <c r="AOI34" s="48"/>
      <c r="AOJ34" s="48"/>
      <c r="AOK34" s="48"/>
      <c r="AOL34" s="48"/>
      <c r="AOM34" s="48"/>
      <c r="AON34" s="48"/>
      <c r="AOO34" s="48"/>
      <c r="AOP34" s="48"/>
      <c r="AOQ34" s="48"/>
      <c r="AOR34" s="48"/>
      <c r="AOS34" s="48"/>
      <c r="AOT34" s="48"/>
      <c r="AOU34" s="48"/>
      <c r="AOV34" s="48"/>
      <c r="AOW34" s="48"/>
      <c r="AOX34" s="48"/>
      <c r="AOY34" s="48"/>
      <c r="AOZ34" s="48"/>
      <c r="APA34" s="48"/>
      <c r="APB34" s="48"/>
      <c r="APC34" s="48"/>
      <c r="APD34" s="48"/>
      <c r="APE34" s="48"/>
      <c r="APF34" s="48"/>
      <c r="APG34" s="48"/>
      <c r="APH34" s="48"/>
      <c r="API34" s="48"/>
      <c r="APJ34" s="48"/>
      <c r="APK34" s="48"/>
      <c r="APL34" s="48"/>
      <c r="APM34" s="48"/>
      <c r="APN34" s="48"/>
      <c r="APO34" s="48"/>
      <c r="APP34" s="48"/>
      <c r="APQ34" s="48"/>
      <c r="APR34" s="48"/>
      <c r="APS34" s="48"/>
      <c r="APT34" s="48"/>
      <c r="APU34" s="48"/>
      <c r="APV34" s="48"/>
      <c r="APW34" s="48"/>
      <c r="APX34" s="48"/>
      <c r="APY34" s="48"/>
      <c r="APZ34" s="48"/>
      <c r="AQA34" s="48"/>
      <c r="AQB34" s="48"/>
      <c r="AQC34" s="48"/>
      <c r="AQD34" s="48"/>
      <c r="AQE34" s="48"/>
      <c r="AQF34" s="48"/>
      <c r="AQG34" s="48"/>
      <c r="AQH34" s="48"/>
      <c r="AQI34" s="48"/>
      <c r="AQJ34" s="48"/>
      <c r="AQK34" s="48"/>
      <c r="AQL34" s="48"/>
      <c r="AQM34" s="48"/>
      <c r="AQN34" s="48"/>
      <c r="AQO34" s="48"/>
      <c r="AQP34" s="48"/>
      <c r="AQQ34" s="48"/>
      <c r="AQR34" s="48"/>
      <c r="AQS34" s="48"/>
      <c r="AQT34" s="48"/>
      <c r="AQU34" s="48"/>
      <c r="AQV34" s="48"/>
      <c r="AQW34" s="48"/>
      <c r="AQX34" s="48"/>
      <c r="AQY34" s="48"/>
      <c r="AQZ34" s="48"/>
      <c r="ARA34" s="48"/>
      <c r="ARB34" s="48"/>
      <c r="ARC34" s="48"/>
      <c r="ARD34" s="48"/>
      <c r="ARE34" s="48"/>
      <c r="ARF34" s="48"/>
      <c r="ARG34" s="48"/>
      <c r="ARH34" s="48"/>
      <c r="ARI34" s="48"/>
      <c r="ARJ34" s="48"/>
      <c r="ARK34" s="48"/>
      <c r="ARL34" s="48"/>
      <c r="ARM34" s="48"/>
      <c r="ARN34" s="48"/>
      <c r="ARO34" s="48"/>
      <c r="ARP34" s="48"/>
      <c r="ARQ34" s="48"/>
      <c r="ARR34" s="48"/>
      <c r="ARS34" s="48"/>
      <c r="ART34" s="48"/>
      <c r="ARU34" s="48"/>
      <c r="ARV34" s="48"/>
      <c r="ARW34" s="48"/>
      <c r="ARX34" s="48"/>
      <c r="ARY34" s="48"/>
      <c r="ARZ34" s="48"/>
      <c r="ASA34" s="48"/>
      <c r="ASB34" s="48"/>
      <c r="ASC34" s="48"/>
      <c r="ASD34" s="48"/>
      <c r="ASE34" s="48"/>
      <c r="ASF34" s="48"/>
      <c r="ASG34" s="48"/>
      <c r="ASH34" s="48"/>
      <c r="ASI34" s="48"/>
      <c r="ASJ34" s="48"/>
      <c r="ASK34" s="48"/>
      <c r="ASL34" s="48"/>
      <c r="ASM34" s="48"/>
      <c r="ASN34" s="48"/>
      <c r="ASO34" s="48"/>
      <c r="ASP34" s="48"/>
      <c r="ASQ34" s="48"/>
      <c r="ASR34" s="48"/>
      <c r="ASS34" s="48"/>
      <c r="AST34" s="48"/>
      <c r="ASU34" s="48"/>
      <c r="ASV34" s="48"/>
      <c r="ASW34" s="48"/>
      <c r="ASX34" s="48"/>
      <c r="ASY34" s="48"/>
      <c r="ASZ34" s="48"/>
      <c r="ATA34" s="48"/>
      <c r="ATB34" s="48"/>
      <c r="ATC34" s="48"/>
      <c r="ATD34" s="48"/>
      <c r="ATE34" s="48"/>
      <c r="ATF34" s="48"/>
      <c r="ATG34" s="48"/>
      <c r="ATH34" s="48"/>
      <c r="ATI34" s="48"/>
      <c r="ATJ34" s="48"/>
      <c r="ATK34" s="48"/>
      <c r="ATL34" s="48"/>
      <c r="ATM34" s="48"/>
      <c r="ATN34" s="48"/>
      <c r="ATO34" s="48"/>
      <c r="ATP34" s="48"/>
      <c r="ATQ34" s="48"/>
      <c r="ATR34" s="48"/>
      <c r="ATS34" s="48"/>
      <c r="ATT34" s="48"/>
      <c r="ATU34" s="48"/>
      <c r="ATV34" s="48"/>
      <c r="ATW34" s="48"/>
      <c r="ATX34" s="48"/>
      <c r="ATY34" s="48"/>
      <c r="ATZ34" s="48"/>
      <c r="AUA34" s="48"/>
      <c r="AUB34" s="48"/>
      <c r="AUC34" s="48"/>
      <c r="AUD34" s="48"/>
      <c r="AUE34" s="48"/>
      <c r="AUF34" s="48"/>
      <c r="AUG34" s="48"/>
      <c r="AUH34" s="48"/>
      <c r="AUI34" s="48"/>
      <c r="AUJ34" s="48"/>
      <c r="AUK34" s="48"/>
      <c r="AUL34" s="48"/>
      <c r="AUM34" s="48"/>
      <c r="AUN34" s="48"/>
      <c r="AUO34" s="48"/>
      <c r="AUP34" s="48"/>
      <c r="AUQ34" s="48"/>
      <c r="AUR34" s="48"/>
      <c r="AUS34" s="48"/>
      <c r="AUT34" s="48"/>
      <c r="AUU34" s="48"/>
      <c r="AUV34" s="48"/>
      <c r="AUW34" s="48"/>
      <c r="AUX34" s="48"/>
      <c r="AUY34" s="48"/>
      <c r="AUZ34" s="48"/>
      <c r="AVA34" s="48"/>
      <c r="AVB34" s="48"/>
      <c r="AVC34" s="48"/>
      <c r="AVD34" s="48"/>
      <c r="AVE34" s="48"/>
      <c r="AVF34" s="48"/>
      <c r="AVG34" s="48"/>
      <c r="AVH34" s="48"/>
      <c r="AVI34" s="48"/>
      <c r="AVJ34" s="48"/>
      <c r="AVK34" s="48"/>
      <c r="AVL34" s="48"/>
      <c r="AVM34" s="48"/>
      <c r="AVN34" s="48"/>
      <c r="AVO34" s="48"/>
      <c r="AVP34" s="48"/>
      <c r="AVQ34" s="48"/>
      <c r="AVR34" s="48"/>
      <c r="AVS34" s="48"/>
      <c r="AVT34" s="48"/>
      <c r="AVU34" s="48"/>
      <c r="AVV34" s="48"/>
      <c r="AVW34" s="48"/>
      <c r="AVX34" s="48"/>
      <c r="AVY34" s="48"/>
      <c r="AVZ34" s="48"/>
      <c r="AWA34" s="48"/>
      <c r="AWB34" s="48"/>
      <c r="AWC34" s="48"/>
      <c r="AWD34" s="48"/>
      <c r="AWE34" s="48"/>
      <c r="AWF34" s="48"/>
      <c r="AWG34" s="48"/>
      <c r="AWH34" s="48"/>
      <c r="AWI34" s="48"/>
      <c r="AWJ34" s="48"/>
      <c r="AWK34" s="48"/>
      <c r="AWL34" s="48"/>
      <c r="AWM34" s="48"/>
      <c r="AWN34" s="48"/>
      <c r="AWO34" s="48"/>
      <c r="AWP34" s="48"/>
      <c r="AWQ34" s="48"/>
      <c r="AWR34" s="48"/>
      <c r="AWS34" s="48"/>
      <c r="AWT34" s="48"/>
      <c r="AWU34" s="48"/>
      <c r="AWV34" s="48"/>
      <c r="AWW34" s="48"/>
      <c r="AWX34" s="48"/>
      <c r="AWY34" s="48"/>
      <c r="AWZ34" s="48"/>
      <c r="AXA34" s="48"/>
      <c r="AXB34" s="48"/>
      <c r="AXC34" s="48"/>
      <c r="AXD34" s="48"/>
      <c r="AXE34" s="48"/>
      <c r="AXF34" s="48"/>
      <c r="AXG34" s="48"/>
      <c r="AXH34" s="48"/>
      <c r="AXI34" s="48"/>
      <c r="AXJ34" s="48"/>
      <c r="AXK34" s="48"/>
      <c r="AXL34" s="48"/>
      <c r="AXM34" s="48"/>
      <c r="AXN34" s="48"/>
      <c r="AXO34" s="48"/>
      <c r="AXP34" s="48"/>
      <c r="AXQ34" s="48"/>
      <c r="AXR34" s="48"/>
      <c r="AXS34" s="48"/>
      <c r="AXT34" s="48"/>
      <c r="AXU34" s="48"/>
      <c r="AXV34" s="48"/>
      <c r="AXW34" s="48"/>
      <c r="AXX34" s="48"/>
      <c r="AXY34" s="48"/>
      <c r="AXZ34" s="48"/>
      <c r="AYA34" s="48"/>
      <c r="AYB34" s="48"/>
      <c r="AYC34" s="48"/>
      <c r="AYD34" s="48"/>
      <c r="AYE34" s="48"/>
      <c r="AYF34" s="48"/>
      <c r="AYG34" s="48"/>
      <c r="AYH34" s="48"/>
      <c r="AYI34" s="48"/>
      <c r="AYJ34" s="48"/>
      <c r="AYK34" s="48"/>
      <c r="AYL34" s="48"/>
      <c r="AYM34" s="48"/>
      <c r="AYN34" s="48"/>
      <c r="AYO34" s="48"/>
      <c r="AYP34" s="48"/>
      <c r="AYQ34" s="48"/>
      <c r="AYR34" s="48"/>
      <c r="AYS34" s="48"/>
      <c r="AYT34" s="48"/>
      <c r="AYU34" s="48"/>
      <c r="AYV34" s="48"/>
      <c r="AYW34" s="48"/>
      <c r="AYX34" s="48"/>
      <c r="AYY34" s="48"/>
      <c r="AYZ34" s="48"/>
      <c r="AZA34" s="48"/>
      <c r="AZB34" s="48"/>
      <c r="AZC34" s="48"/>
      <c r="AZD34" s="48"/>
      <c r="AZE34" s="48"/>
      <c r="AZF34" s="48"/>
      <c r="AZG34" s="48"/>
      <c r="AZH34" s="48"/>
      <c r="AZI34" s="48"/>
      <c r="AZJ34" s="48"/>
      <c r="AZK34" s="48"/>
      <c r="AZL34" s="48"/>
      <c r="AZM34" s="48"/>
      <c r="AZN34" s="48"/>
      <c r="AZO34" s="48"/>
      <c r="AZP34" s="48"/>
      <c r="AZQ34" s="48"/>
      <c r="AZR34" s="48"/>
      <c r="AZS34" s="48"/>
      <c r="AZT34" s="48"/>
      <c r="AZU34" s="48"/>
      <c r="AZV34" s="48"/>
      <c r="AZW34" s="48"/>
      <c r="AZX34" s="48"/>
      <c r="AZY34" s="48"/>
      <c r="AZZ34" s="48"/>
      <c r="BAA34" s="48"/>
      <c r="BAB34" s="48"/>
      <c r="BAC34" s="48"/>
      <c r="BAD34" s="48"/>
      <c r="BAE34" s="48"/>
      <c r="BAF34" s="48"/>
      <c r="BAG34" s="48"/>
      <c r="BAH34" s="48"/>
      <c r="BAI34" s="48"/>
      <c r="BAJ34" s="48"/>
      <c r="BAK34" s="48"/>
      <c r="BAL34" s="48"/>
      <c r="BAM34" s="48"/>
      <c r="BAN34" s="48"/>
      <c r="BAO34" s="48"/>
      <c r="BAP34" s="48"/>
      <c r="BAQ34" s="48"/>
      <c r="BAR34" s="48"/>
      <c r="BAS34" s="48"/>
      <c r="BAT34" s="48"/>
      <c r="BAU34" s="48"/>
      <c r="BAV34" s="48"/>
      <c r="BAW34" s="48"/>
      <c r="BAX34" s="48"/>
    </row>
    <row r="35" spans="1:1402" s="141" customFormat="1" ht="45" hidden="1" x14ac:dyDescent="0.25">
      <c r="A35" s="307">
        <f t="shared" si="3"/>
        <v>34</v>
      </c>
      <c r="B35" s="308" t="s">
        <v>1211</v>
      </c>
      <c r="C35" s="308" t="s">
        <v>1201</v>
      </c>
      <c r="D35" s="308" t="s">
        <v>122</v>
      </c>
      <c r="E35" s="308" t="s">
        <v>132</v>
      </c>
      <c r="F35" s="308" t="s">
        <v>817</v>
      </c>
      <c r="G35" s="308" t="s">
        <v>598</v>
      </c>
      <c r="H35" s="308">
        <f t="shared" si="6"/>
        <v>-100</v>
      </c>
      <c r="I35" s="263">
        <v>249010</v>
      </c>
      <c r="J35" s="263"/>
      <c r="K35" s="263">
        <f>Master20[[#This Row],[Initial Budget]]-Master20[[#This Row],[Previously Committed Funds]]</f>
        <v>249010</v>
      </c>
      <c r="L35" s="263"/>
      <c r="M35" s="263"/>
      <c r="N35" s="268">
        <f>Master20[[#This Row],[Design $ (Add/Deduct)]]+Master20[[#This Row],[Construction $ (Add/Ded)]]</f>
        <v>0</v>
      </c>
      <c r="O35" s="266">
        <v>250000</v>
      </c>
      <c r="P35" s="311">
        <v>2018</v>
      </c>
      <c r="Q35" s="308" t="s">
        <v>830</v>
      </c>
      <c r="R35" s="311">
        <f t="shared" si="5"/>
        <v>10</v>
      </c>
      <c r="S35" s="310">
        <v>1</v>
      </c>
      <c r="T35" s="310">
        <f t="shared" si="1"/>
        <v>3</v>
      </c>
      <c r="U35" s="310" t="s">
        <v>33</v>
      </c>
      <c r="V35" s="310">
        <f t="shared" si="2"/>
        <v>1</v>
      </c>
      <c r="W35" s="310" t="s">
        <v>30</v>
      </c>
      <c r="X35" s="310">
        <v>0</v>
      </c>
      <c r="Y35" s="310">
        <v>0</v>
      </c>
      <c r="Z35" s="310">
        <v>0</v>
      </c>
      <c r="AA35" s="310">
        <v>0</v>
      </c>
      <c r="AB35" s="310">
        <v>0</v>
      </c>
      <c r="AC35" s="310">
        <v>0</v>
      </c>
      <c r="AD35" s="310">
        <v>0</v>
      </c>
      <c r="AE35" s="310"/>
      <c r="AF35" s="309" t="s">
        <v>29</v>
      </c>
      <c r="AG35" s="311">
        <f>VLOOKUP(Master20[[#This Row],[Elevated Priority]],Epriority,2,)</f>
        <v>0</v>
      </c>
      <c r="AH35" s="321">
        <f>IF(Master20[[#This Row],[Status]]="Active",Master20[[#This Row],[Status_Score]],IF(D35="","",R35+H35+T35+V35+AG35+AE35+Master20[[#This Row],[Risk Mitigation]]+Master20[[#This Row],[Master Plan]]+Master20[[#This Row],[Community Request]]+Master20[[#This Row],[Community need]]+Master20[[#This Row],[Offset Aging Inf.]]+Master20[[#This Row],[Energy Savings]]+Master20[[#This Row],[Gen Revenue]]-5))</f>
        <v>-100</v>
      </c>
      <c r="AI35" s="310" t="s">
        <v>716</v>
      </c>
      <c r="AJ35" s="310">
        <v>2021</v>
      </c>
      <c r="AK35" s="310">
        <v>2022</v>
      </c>
      <c r="AL35" s="310">
        <v>2021</v>
      </c>
      <c r="AM35" s="310">
        <v>2023</v>
      </c>
      <c r="AN35" s="308" t="s">
        <v>1151</v>
      </c>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8"/>
      <c r="NQ35" s="48"/>
      <c r="NR35" s="48"/>
      <c r="NS35" s="48"/>
      <c r="NT35" s="48"/>
      <c r="NU35" s="48"/>
      <c r="NV35" s="48"/>
      <c r="NW35" s="48"/>
      <c r="NX35" s="48"/>
      <c r="NY35" s="48"/>
      <c r="NZ35" s="48"/>
      <c r="OA35" s="48"/>
      <c r="OB35" s="48"/>
      <c r="OC35" s="48"/>
      <c r="OD35" s="48"/>
      <c r="OE35" s="48"/>
      <c r="OF35" s="48"/>
      <c r="OG35" s="48"/>
      <c r="OH35" s="48"/>
      <c r="OI35" s="48"/>
      <c r="OJ35" s="48"/>
      <c r="OK35" s="48"/>
      <c r="OL35" s="48"/>
      <c r="OM35" s="48"/>
      <c r="ON35" s="48"/>
      <c r="OO35" s="48"/>
      <c r="OP35" s="48"/>
      <c r="OQ35" s="48"/>
      <c r="OR35" s="48"/>
      <c r="OS35" s="48"/>
      <c r="OT35" s="48"/>
      <c r="OU35" s="48"/>
      <c r="OV35" s="48"/>
      <c r="OW35" s="48"/>
      <c r="OX35" s="48"/>
      <c r="OY35" s="48"/>
      <c r="OZ35" s="48"/>
      <c r="PA35" s="48"/>
      <c r="PB35" s="48"/>
      <c r="PC35" s="48"/>
      <c r="PD35" s="48"/>
      <c r="PE35" s="48"/>
      <c r="PF35" s="48"/>
      <c r="PG35" s="48"/>
      <c r="PH35" s="48"/>
      <c r="PI35" s="48"/>
      <c r="PJ35" s="48"/>
      <c r="PK35" s="48"/>
      <c r="PL35" s="48"/>
      <c r="PM35" s="48"/>
      <c r="PN35" s="48"/>
      <c r="PO35" s="48"/>
      <c r="PP35" s="48"/>
      <c r="PQ35" s="48"/>
      <c r="PR35" s="48"/>
      <c r="PS35" s="48"/>
      <c r="PT35" s="48"/>
      <c r="PU35" s="48"/>
      <c r="PV35" s="48"/>
      <c r="PW35" s="48"/>
      <c r="PX35" s="48"/>
      <c r="PY35" s="48"/>
      <c r="PZ35" s="48"/>
      <c r="QA35" s="48"/>
      <c r="QB35" s="48"/>
      <c r="QC35" s="48"/>
      <c r="QD35" s="48"/>
      <c r="QE35" s="48"/>
      <c r="QF35" s="48"/>
      <c r="QG35" s="48"/>
      <c r="QH35" s="48"/>
      <c r="QI35" s="48"/>
      <c r="QJ35" s="48"/>
      <c r="QK35" s="48"/>
      <c r="QL35" s="48"/>
      <c r="QM35" s="48"/>
      <c r="QN35" s="48"/>
      <c r="QO35" s="48"/>
      <c r="QP35" s="48"/>
      <c r="QQ35" s="48"/>
      <c r="QR35" s="48"/>
      <c r="QS35" s="48"/>
      <c r="QT35" s="48"/>
      <c r="QU35" s="48"/>
      <c r="QV35" s="48"/>
      <c r="QW35" s="48"/>
      <c r="QX35" s="48"/>
      <c r="QY35" s="48"/>
      <c r="QZ35" s="48"/>
      <c r="RA35" s="48"/>
      <c r="RB35" s="48"/>
      <c r="RC35" s="48"/>
      <c r="RD35" s="48"/>
      <c r="RE35" s="48"/>
      <c r="RF35" s="48"/>
      <c r="RG35" s="48"/>
      <c r="RH35" s="48"/>
      <c r="RI35" s="48"/>
      <c r="RJ35" s="48"/>
      <c r="RK35" s="48"/>
      <c r="RL35" s="48"/>
      <c r="RM35" s="48"/>
      <c r="RN35" s="48"/>
      <c r="RO35" s="48"/>
      <c r="RP35" s="48"/>
      <c r="RQ35" s="48"/>
      <c r="RR35" s="48"/>
      <c r="RS35" s="48"/>
      <c r="RT35" s="48"/>
      <c r="RU35" s="48"/>
      <c r="RV35" s="48"/>
      <c r="RW35" s="48"/>
      <c r="RX35" s="48"/>
      <c r="RY35" s="48"/>
      <c r="RZ35" s="48"/>
      <c r="SA35" s="48"/>
      <c r="SB35" s="48"/>
      <c r="SC35" s="48"/>
      <c r="SD35" s="48"/>
      <c r="SE35" s="48"/>
      <c r="SF35" s="48"/>
      <c r="SG35" s="48"/>
      <c r="SH35" s="48"/>
      <c r="SI35" s="48"/>
      <c r="SJ35" s="48"/>
      <c r="SK35" s="48"/>
      <c r="SL35" s="48"/>
      <c r="SM35" s="48"/>
      <c r="SN35" s="48"/>
      <c r="SO35" s="48"/>
      <c r="SP35" s="48"/>
      <c r="SQ35" s="48"/>
      <c r="SR35" s="48"/>
      <c r="SS35" s="48"/>
      <c r="ST35" s="48"/>
      <c r="SU35" s="48"/>
      <c r="SV35" s="48"/>
      <c r="SW35" s="48"/>
      <c r="SX35" s="48"/>
      <c r="SY35" s="48"/>
      <c r="SZ35" s="48"/>
      <c r="TA35" s="48"/>
      <c r="TB35" s="48"/>
      <c r="TC35" s="48"/>
      <c r="TD35" s="48"/>
      <c r="TE35" s="48"/>
      <c r="TF35" s="48"/>
      <c r="TG35" s="48"/>
      <c r="TH35" s="48"/>
      <c r="TI35" s="48"/>
      <c r="TJ35" s="48"/>
      <c r="TK35" s="48"/>
      <c r="TL35" s="48"/>
      <c r="TM35" s="48"/>
      <c r="TN35" s="48"/>
      <c r="TO35" s="48"/>
      <c r="TP35" s="48"/>
      <c r="TQ35" s="48"/>
      <c r="TR35" s="48"/>
      <c r="TS35" s="48"/>
      <c r="TT35" s="48"/>
      <c r="TU35" s="48"/>
      <c r="TV35" s="48"/>
      <c r="TW35" s="48"/>
      <c r="TX35" s="48"/>
      <c r="TY35" s="48"/>
      <c r="TZ35" s="48"/>
      <c r="UA35" s="48"/>
      <c r="UB35" s="48"/>
      <c r="UC35" s="48"/>
      <c r="UD35" s="48"/>
      <c r="UE35" s="48"/>
      <c r="UF35" s="48"/>
      <c r="UG35" s="48"/>
      <c r="UH35" s="48"/>
      <c r="UI35" s="48"/>
      <c r="UJ35" s="48"/>
      <c r="UK35" s="48"/>
      <c r="UL35" s="48"/>
      <c r="UM35" s="48"/>
      <c r="UN35" s="48"/>
      <c r="UO35" s="48"/>
      <c r="UP35" s="48"/>
      <c r="UQ35" s="48"/>
      <c r="UR35" s="48"/>
      <c r="US35" s="48"/>
      <c r="UT35" s="48"/>
      <c r="UU35" s="48"/>
      <c r="UV35" s="48"/>
      <c r="UW35" s="48"/>
      <c r="UX35" s="48"/>
      <c r="UY35" s="48"/>
      <c r="UZ35" s="48"/>
      <c r="VA35" s="48"/>
      <c r="VB35" s="48"/>
      <c r="VC35" s="48"/>
      <c r="VD35" s="48"/>
      <c r="VE35" s="48"/>
      <c r="VF35" s="48"/>
      <c r="VG35" s="48"/>
      <c r="VH35" s="48"/>
      <c r="VI35" s="48"/>
      <c r="VJ35" s="48"/>
      <c r="VK35" s="48"/>
      <c r="VL35" s="48"/>
      <c r="VM35" s="48"/>
      <c r="VN35" s="48"/>
      <c r="VO35" s="48"/>
      <c r="VP35" s="48"/>
      <c r="VQ35" s="48"/>
      <c r="VR35" s="48"/>
      <c r="VS35" s="48"/>
      <c r="VT35" s="48"/>
      <c r="VU35" s="48"/>
      <c r="VV35" s="48"/>
      <c r="VW35" s="48"/>
      <c r="VX35" s="48"/>
      <c r="VY35" s="48"/>
      <c r="VZ35" s="48"/>
      <c r="WA35" s="48"/>
      <c r="WB35" s="48"/>
      <c r="WC35" s="48"/>
      <c r="WD35" s="48"/>
      <c r="WE35" s="48"/>
      <c r="WF35" s="48"/>
      <c r="WG35" s="48"/>
      <c r="WH35" s="48"/>
      <c r="WI35" s="48"/>
      <c r="WJ35" s="48"/>
      <c r="WK35" s="48"/>
      <c r="WL35" s="48"/>
      <c r="WM35" s="48"/>
      <c r="WN35" s="48"/>
      <c r="WO35" s="48"/>
      <c r="WP35" s="48"/>
      <c r="WQ35" s="48"/>
      <c r="WR35" s="48"/>
      <c r="WS35" s="48"/>
      <c r="WT35" s="48"/>
      <c r="WU35" s="48"/>
      <c r="WV35" s="48"/>
      <c r="WW35" s="48"/>
      <c r="WX35" s="48"/>
      <c r="WY35" s="48"/>
      <c r="WZ35" s="48"/>
      <c r="XA35" s="48"/>
      <c r="XB35" s="48"/>
      <c r="XC35" s="48"/>
      <c r="XD35" s="48"/>
      <c r="XE35" s="48"/>
      <c r="XF35" s="48"/>
      <c r="XG35" s="48"/>
      <c r="XH35" s="48"/>
      <c r="XI35" s="48"/>
      <c r="XJ35" s="48"/>
      <c r="XK35" s="48"/>
      <c r="XL35" s="48"/>
      <c r="XM35" s="48"/>
      <c r="XN35" s="48"/>
      <c r="XO35" s="48"/>
      <c r="XP35" s="48"/>
      <c r="XQ35" s="48"/>
      <c r="XR35" s="48"/>
      <c r="XS35" s="48"/>
      <c r="XT35" s="48"/>
      <c r="XU35" s="48"/>
      <c r="XV35" s="48"/>
      <c r="XW35" s="48"/>
      <c r="XX35" s="48"/>
      <c r="XY35" s="48"/>
      <c r="XZ35" s="48"/>
      <c r="YA35" s="48"/>
      <c r="YB35" s="48"/>
      <c r="YC35" s="48"/>
      <c r="YD35" s="48"/>
      <c r="YE35" s="48"/>
      <c r="YF35" s="48"/>
      <c r="YG35" s="48"/>
      <c r="YH35" s="48"/>
      <c r="YI35" s="48"/>
      <c r="YJ35" s="48"/>
      <c r="YK35" s="48"/>
      <c r="YL35" s="48"/>
      <c r="YM35" s="48"/>
      <c r="YN35" s="48"/>
      <c r="YO35" s="48"/>
      <c r="YP35" s="48"/>
      <c r="YQ35" s="48"/>
      <c r="YR35" s="48"/>
      <c r="YS35" s="48"/>
      <c r="YT35" s="48"/>
      <c r="YU35" s="48"/>
      <c r="YV35" s="48"/>
      <c r="YW35" s="48"/>
      <c r="YX35" s="48"/>
      <c r="YY35" s="48"/>
      <c r="YZ35" s="48"/>
      <c r="ZA35" s="48"/>
      <c r="ZB35" s="48"/>
      <c r="ZC35" s="48"/>
      <c r="ZD35" s="48"/>
      <c r="ZE35" s="48"/>
      <c r="ZF35" s="48"/>
      <c r="ZG35" s="48"/>
      <c r="ZH35" s="48"/>
      <c r="ZI35" s="48"/>
      <c r="ZJ35" s="48"/>
      <c r="ZK35" s="48"/>
      <c r="ZL35" s="48"/>
      <c r="ZM35" s="48"/>
      <c r="ZN35" s="48"/>
      <c r="ZO35" s="48"/>
      <c r="ZP35" s="48"/>
      <c r="ZQ35" s="48"/>
      <c r="ZR35" s="48"/>
      <c r="ZS35" s="48"/>
      <c r="ZT35" s="48"/>
      <c r="ZU35" s="48"/>
      <c r="ZV35" s="48"/>
      <c r="ZW35" s="48"/>
      <c r="ZX35" s="48"/>
      <c r="ZY35" s="48"/>
      <c r="ZZ35" s="48"/>
      <c r="AAA35" s="48"/>
      <c r="AAB35" s="48"/>
      <c r="AAC35" s="48"/>
      <c r="AAD35" s="48"/>
      <c r="AAE35" s="48"/>
      <c r="AAF35" s="48"/>
      <c r="AAG35" s="48"/>
      <c r="AAH35" s="48"/>
      <c r="AAI35" s="48"/>
      <c r="AAJ35" s="48"/>
      <c r="AAK35" s="48"/>
      <c r="AAL35" s="48"/>
      <c r="AAM35" s="48"/>
      <c r="AAN35" s="48"/>
      <c r="AAO35" s="48"/>
      <c r="AAP35" s="48"/>
      <c r="AAQ35" s="48"/>
      <c r="AAR35" s="48"/>
      <c r="AAS35" s="48"/>
      <c r="AAT35" s="48"/>
      <c r="AAU35" s="48"/>
      <c r="AAV35" s="48"/>
      <c r="AAW35" s="48"/>
      <c r="AAX35" s="48"/>
      <c r="AAY35" s="48"/>
      <c r="AAZ35" s="48"/>
      <c r="ABA35" s="48"/>
      <c r="ABB35" s="48"/>
      <c r="ABC35" s="48"/>
      <c r="ABD35" s="48"/>
      <c r="ABE35" s="48"/>
      <c r="ABF35" s="48"/>
      <c r="ABG35" s="48"/>
      <c r="ABH35" s="48"/>
      <c r="ABI35" s="48"/>
      <c r="ABJ35" s="48"/>
      <c r="ABK35" s="48"/>
      <c r="ABL35" s="48"/>
      <c r="ABM35" s="48"/>
      <c r="ABN35" s="48"/>
      <c r="ABO35" s="48"/>
      <c r="ABP35" s="48"/>
      <c r="ABQ35" s="48"/>
      <c r="ABR35" s="48"/>
      <c r="ABS35" s="48"/>
      <c r="ABT35" s="48"/>
      <c r="ABU35" s="48"/>
      <c r="ABV35" s="48"/>
      <c r="ABW35" s="48"/>
      <c r="ABX35" s="48"/>
      <c r="ABY35" s="48"/>
      <c r="ABZ35" s="48"/>
      <c r="ACA35" s="48"/>
      <c r="ACB35" s="48"/>
      <c r="ACC35" s="48"/>
      <c r="ACD35" s="48"/>
      <c r="ACE35" s="48"/>
      <c r="ACF35" s="48"/>
      <c r="ACG35" s="48"/>
      <c r="ACH35" s="48"/>
      <c r="ACI35" s="48"/>
      <c r="ACJ35" s="48"/>
      <c r="ACK35" s="48"/>
      <c r="ACL35" s="48"/>
      <c r="ACM35" s="48"/>
      <c r="ACN35" s="48"/>
      <c r="ACO35" s="48"/>
      <c r="ACP35" s="48"/>
      <c r="ACQ35" s="48"/>
      <c r="ACR35" s="48"/>
      <c r="ACS35" s="48"/>
      <c r="ACT35" s="48"/>
      <c r="ACU35" s="48"/>
      <c r="ACV35" s="48"/>
      <c r="ACW35" s="48"/>
      <c r="ACX35" s="48"/>
      <c r="ACY35" s="48"/>
      <c r="ACZ35" s="48"/>
      <c r="ADA35" s="48"/>
      <c r="ADB35" s="48"/>
      <c r="ADC35" s="48"/>
      <c r="ADD35" s="48"/>
      <c r="ADE35" s="48"/>
      <c r="ADF35" s="48"/>
      <c r="ADG35" s="48"/>
      <c r="ADH35" s="48"/>
      <c r="ADI35" s="48"/>
      <c r="ADJ35" s="48"/>
      <c r="ADK35" s="48"/>
      <c r="ADL35" s="48"/>
      <c r="ADM35" s="48"/>
      <c r="ADN35" s="48"/>
      <c r="ADO35" s="48"/>
      <c r="ADP35" s="48"/>
      <c r="ADQ35" s="48"/>
      <c r="ADR35" s="48"/>
      <c r="ADS35" s="48"/>
      <c r="ADT35" s="48"/>
      <c r="ADU35" s="48"/>
      <c r="ADV35" s="48"/>
      <c r="ADW35" s="48"/>
      <c r="ADX35" s="48"/>
      <c r="ADY35" s="48"/>
      <c r="ADZ35" s="48"/>
      <c r="AEA35" s="48"/>
      <c r="AEB35" s="48"/>
      <c r="AEC35" s="48"/>
      <c r="AED35" s="48"/>
      <c r="AEE35" s="48"/>
      <c r="AEF35" s="48"/>
      <c r="AEG35" s="48"/>
      <c r="AEH35" s="48"/>
      <c r="AEI35" s="48"/>
      <c r="AEJ35" s="48"/>
      <c r="AEK35" s="48"/>
      <c r="AEL35" s="48"/>
      <c r="AEM35" s="48"/>
      <c r="AEN35" s="48"/>
      <c r="AEO35" s="48"/>
      <c r="AEP35" s="48"/>
      <c r="AEQ35" s="48"/>
      <c r="AER35" s="48"/>
      <c r="AES35" s="48"/>
      <c r="AET35" s="48"/>
      <c r="AEU35" s="48"/>
      <c r="AEV35" s="48"/>
      <c r="AEW35" s="48"/>
      <c r="AEX35" s="48"/>
      <c r="AEY35" s="48"/>
      <c r="AEZ35" s="48"/>
      <c r="AFA35" s="48"/>
      <c r="AFB35" s="48"/>
      <c r="AFC35" s="48"/>
      <c r="AFD35" s="48"/>
      <c r="AFE35" s="48"/>
      <c r="AFF35" s="48"/>
      <c r="AFG35" s="48"/>
      <c r="AFH35" s="48"/>
      <c r="AFI35" s="48"/>
      <c r="AFJ35" s="48"/>
      <c r="AFK35" s="48"/>
      <c r="AFL35" s="48"/>
      <c r="AFM35" s="48"/>
      <c r="AFN35" s="48"/>
      <c r="AFO35" s="48"/>
      <c r="AFP35" s="48"/>
      <c r="AFQ35" s="48"/>
      <c r="AFR35" s="48"/>
      <c r="AFS35" s="48"/>
      <c r="AFT35" s="48"/>
      <c r="AFU35" s="48"/>
      <c r="AFV35" s="48"/>
      <c r="AFW35" s="48"/>
      <c r="AFX35" s="48"/>
      <c r="AFY35" s="48"/>
      <c r="AFZ35" s="48"/>
      <c r="AGA35" s="48"/>
      <c r="AGB35" s="48"/>
      <c r="AGC35" s="48"/>
      <c r="AGD35" s="48"/>
      <c r="AGE35" s="48"/>
      <c r="AGF35" s="48"/>
      <c r="AGG35" s="48"/>
      <c r="AGH35" s="48"/>
      <c r="AGI35" s="48"/>
      <c r="AGJ35" s="48"/>
      <c r="AGK35" s="48"/>
      <c r="AGL35" s="48"/>
      <c r="AGM35" s="48"/>
      <c r="AGN35" s="48"/>
      <c r="AGO35" s="48"/>
      <c r="AGP35" s="48"/>
      <c r="AGQ35" s="48"/>
      <c r="AGR35" s="48"/>
      <c r="AGS35" s="48"/>
      <c r="AGT35" s="48"/>
      <c r="AGU35" s="48"/>
      <c r="AGV35" s="48"/>
      <c r="AGW35" s="48"/>
      <c r="AGX35" s="48"/>
      <c r="AGY35" s="48"/>
      <c r="AGZ35" s="48"/>
      <c r="AHA35" s="48"/>
      <c r="AHB35" s="48"/>
      <c r="AHC35" s="48"/>
      <c r="AHD35" s="48"/>
      <c r="AHE35" s="48"/>
      <c r="AHF35" s="48"/>
      <c r="AHG35" s="48"/>
      <c r="AHH35" s="48"/>
      <c r="AHI35" s="48"/>
      <c r="AHJ35" s="48"/>
      <c r="AHK35" s="48"/>
      <c r="AHL35" s="48"/>
      <c r="AHM35" s="48"/>
      <c r="AHN35" s="48"/>
      <c r="AHO35" s="48"/>
      <c r="AHP35" s="48"/>
      <c r="AHQ35" s="48"/>
      <c r="AHR35" s="48"/>
      <c r="AHS35" s="48"/>
      <c r="AHT35" s="48"/>
      <c r="AHU35" s="48"/>
      <c r="AHV35" s="48"/>
      <c r="AHW35" s="48"/>
      <c r="AHX35" s="48"/>
      <c r="AHY35" s="48"/>
      <c r="AHZ35" s="48"/>
      <c r="AIA35" s="48"/>
      <c r="AIB35" s="48"/>
      <c r="AIC35" s="48"/>
      <c r="AID35" s="48"/>
      <c r="AIE35" s="48"/>
      <c r="AIF35" s="48"/>
      <c r="AIG35" s="48"/>
      <c r="AIH35" s="48"/>
      <c r="AII35" s="48"/>
      <c r="AIJ35" s="48"/>
      <c r="AIK35" s="48"/>
      <c r="AIL35" s="48"/>
      <c r="AIM35" s="48"/>
      <c r="AIN35" s="48"/>
      <c r="AIO35" s="48"/>
      <c r="AIP35" s="48"/>
      <c r="AIQ35" s="48"/>
      <c r="AIR35" s="48"/>
      <c r="AIS35" s="48"/>
      <c r="AIT35" s="48"/>
      <c r="AIU35" s="48"/>
      <c r="AIV35" s="48"/>
      <c r="AIW35" s="48"/>
      <c r="AIX35" s="48"/>
      <c r="AIY35" s="48"/>
      <c r="AIZ35" s="48"/>
      <c r="AJA35" s="48"/>
      <c r="AJB35" s="48"/>
      <c r="AJC35" s="48"/>
      <c r="AJD35" s="48"/>
      <c r="AJE35" s="48"/>
      <c r="AJF35" s="48"/>
      <c r="AJG35" s="48"/>
      <c r="AJH35" s="48"/>
      <c r="AJI35" s="48"/>
      <c r="AJJ35" s="48"/>
      <c r="AJK35" s="48"/>
      <c r="AJL35" s="48"/>
      <c r="AJM35" s="48"/>
      <c r="AJN35" s="48"/>
      <c r="AJO35" s="48"/>
      <c r="AJP35" s="48"/>
      <c r="AJQ35" s="48"/>
      <c r="AJR35" s="48"/>
      <c r="AJS35" s="48"/>
      <c r="AJT35" s="48"/>
      <c r="AJU35" s="48"/>
      <c r="AJV35" s="48"/>
      <c r="AJW35" s="48"/>
      <c r="AJX35" s="48"/>
      <c r="AJY35" s="48"/>
      <c r="AJZ35" s="48"/>
      <c r="AKA35" s="48"/>
      <c r="AKB35" s="48"/>
      <c r="AKC35" s="48"/>
      <c r="AKD35" s="48"/>
      <c r="AKE35" s="48"/>
      <c r="AKF35" s="48"/>
      <c r="AKG35" s="48"/>
      <c r="AKH35" s="48"/>
      <c r="AKI35" s="48"/>
      <c r="AKJ35" s="48"/>
      <c r="AKK35" s="48"/>
      <c r="AKL35" s="48"/>
      <c r="AKM35" s="48"/>
      <c r="AKN35" s="48"/>
      <c r="AKO35" s="48"/>
      <c r="AKP35" s="48"/>
      <c r="AKQ35" s="48"/>
      <c r="AKR35" s="48"/>
      <c r="AKS35" s="48"/>
      <c r="AKT35" s="48"/>
      <c r="AKU35" s="48"/>
      <c r="AKV35" s="48"/>
      <c r="AKW35" s="48"/>
      <c r="AKX35" s="48"/>
      <c r="AKY35" s="48"/>
      <c r="AKZ35" s="48"/>
      <c r="ALA35" s="48"/>
      <c r="ALB35" s="48"/>
      <c r="ALC35" s="48"/>
      <c r="ALD35" s="48"/>
      <c r="ALE35" s="48"/>
      <c r="ALF35" s="48"/>
      <c r="ALG35" s="48"/>
      <c r="ALH35" s="48"/>
      <c r="ALI35" s="48"/>
      <c r="ALJ35" s="48"/>
      <c r="ALK35" s="48"/>
      <c r="ALL35" s="48"/>
      <c r="ALM35" s="48"/>
      <c r="ALN35" s="48"/>
      <c r="ALO35" s="48"/>
      <c r="ALP35" s="48"/>
      <c r="ALQ35" s="48"/>
      <c r="ALR35" s="48"/>
      <c r="ALS35" s="48"/>
      <c r="ALT35" s="48"/>
      <c r="ALU35" s="48"/>
      <c r="ALV35" s="48"/>
      <c r="ALW35" s="48"/>
      <c r="ALX35" s="48"/>
      <c r="ALY35" s="48"/>
      <c r="ALZ35" s="48"/>
      <c r="AMA35" s="48"/>
      <c r="AMB35" s="48"/>
      <c r="AMC35" s="48"/>
      <c r="AMD35" s="48"/>
      <c r="AME35" s="48"/>
      <c r="AMF35" s="48"/>
      <c r="AMG35" s="48"/>
      <c r="AMH35" s="48"/>
      <c r="AMI35" s="48"/>
      <c r="AMJ35" s="48"/>
      <c r="AMK35" s="48"/>
      <c r="AML35" s="48"/>
      <c r="AMM35" s="48"/>
      <c r="AMN35" s="48"/>
      <c r="AMO35" s="48"/>
      <c r="AMP35" s="48"/>
      <c r="AMQ35" s="48"/>
      <c r="AMR35" s="48"/>
      <c r="AMS35" s="48"/>
      <c r="AMT35" s="48"/>
      <c r="AMU35" s="48"/>
      <c r="AMV35" s="48"/>
      <c r="AMW35" s="48"/>
      <c r="AMX35" s="48"/>
      <c r="AMY35" s="48"/>
      <c r="AMZ35" s="48"/>
      <c r="ANA35" s="48"/>
      <c r="ANB35" s="48"/>
      <c r="ANC35" s="48"/>
      <c r="AND35" s="48"/>
      <c r="ANE35" s="48"/>
      <c r="ANF35" s="48"/>
      <c r="ANG35" s="48"/>
      <c r="ANH35" s="48"/>
      <c r="ANI35" s="48"/>
      <c r="ANJ35" s="48"/>
      <c r="ANK35" s="48"/>
      <c r="ANL35" s="48"/>
      <c r="ANM35" s="48"/>
      <c r="ANN35" s="48"/>
      <c r="ANO35" s="48"/>
      <c r="ANP35" s="48"/>
      <c r="ANQ35" s="48"/>
      <c r="ANR35" s="48"/>
      <c r="ANS35" s="48"/>
      <c r="ANT35" s="48"/>
      <c r="ANU35" s="48"/>
      <c r="ANV35" s="48"/>
      <c r="ANW35" s="48"/>
      <c r="ANX35" s="48"/>
      <c r="ANY35" s="48"/>
      <c r="ANZ35" s="48"/>
      <c r="AOA35" s="48"/>
      <c r="AOB35" s="48"/>
      <c r="AOC35" s="48"/>
      <c r="AOD35" s="48"/>
      <c r="AOE35" s="48"/>
      <c r="AOF35" s="48"/>
      <c r="AOG35" s="48"/>
      <c r="AOH35" s="48"/>
      <c r="AOI35" s="48"/>
      <c r="AOJ35" s="48"/>
      <c r="AOK35" s="48"/>
      <c r="AOL35" s="48"/>
      <c r="AOM35" s="48"/>
      <c r="AON35" s="48"/>
      <c r="AOO35" s="48"/>
      <c r="AOP35" s="48"/>
      <c r="AOQ35" s="48"/>
      <c r="AOR35" s="48"/>
      <c r="AOS35" s="48"/>
      <c r="AOT35" s="48"/>
      <c r="AOU35" s="48"/>
      <c r="AOV35" s="48"/>
      <c r="AOW35" s="48"/>
      <c r="AOX35" s="48"/>
      <c r="AOY35" s="48"/>
      <c r="AOZ35" s="48"/>
      <c r="APA35" s="48"/>
      <c r="APB35" s="48"/>
      <c r="APC35" s="48"/>
      <c r="APD35" s="48"/>
      <c r="APE35" s="48"/>
      <c r="APF35" s="48"/>
      <c r="APG35" s="48"/>
      <c r="APH35" s="48"/>
      <c r="API35" s="48"/>
      <c r="APJ35" s="48"/>
      <c r="APK35" s="48"/>
      <c r="APL35" s="48"/>
      <c r="APM35" s="48"/>
      <c r="APN35" s="48"/>
      <c r="APO35" s="48"/>
      <c r="APP35" s="48"/>
      <c r="APQ35" s="48"/>
      <c r="APR35" s="48"/>
      <c r="APS35" s="48"/>
      <c r="APT35" s="48"/>
      <c r="APU35" s="48"/>
      <c r="APV35" s="48"/>
      <c r="APW35" s="48"/>
      <c r="APX35" s="48"/>
      <c r="APY35" s="48"/>
      <c r="APZ35" s="48"/>
      <c r="AQA35" s="48"/>
      <c r="AQB35" s="48"/>
      <c r="AQC35" s="48"/>
      <c r="AQD35" s="48"/>
      <c r="AQE35" s="48"/>
      <c r="AQF35" s="48"/>
      <c r="AQG35" s="48"/>
      <c r="AQH35" s="48"/>
      <c r="AQI35" s="48"/>
      <c r="AQJ35" s="48"/>
      <c r="AQK35" s="48"/>
      <c r="AQL35" s="48"/>
      <c r="AQM35" s="48"/>
      <c r="AQN35" s="48"/>
      <c r="AQO35" s="48"/>
      <c r="AQP35" s="48"/>
      <c r="AQQ35" s="48"/>
      <c r="AQR35" s="48"/>
      <c r="AQS35" s="48"/>
      <c r="AQT35" s="48"/>
      <c r="AQU35" s="48"/>
      <c r="AQV35" s="48"/>
      <c r="AQW35" s="48"/>
      <c r="AQX35" s="48"/>
      <c r="AQY35" s="48"/>
      <c r="AQZ35" s="48"/>
      <c r="ARA35" s="48"/>
      <c r="ARB35" s="48"/>
      <c r="ARC35" s="48"/>
      <c r="ARD35" s="48"/>
      <c r="ARE35" s="48"/>
      <c r="ARF35" s="48"/>
      <c r="ARG35" s="48"/>
      <c r="ARH35" s="48"/>
      <c r="ARI35" s="48"/>
      <c r="ARJ35" s="48"/>
      <c r="ARK35" s="48"/>
      <c r="ARL35" s="48"/>
      <c r="ARM35" s="48"/>
      <c r="ARN35" s="48"/>
      <c r="ARO35" s="48"/>
      <c r="ARP35" s="48"/>
      <c r="ARQ35" s="48"/>
      <c r="ARR35" s="48"/>
      <c r="ARS35" s="48"/>
      <c r="ART35" s="48"/>
      <c r="ARU35" s="48"/>
      <c r="ARV35" s="48"/>
      <c r="ARW35" s="48"/>
      <c r="ARX35" s="48"/>
      <c r="ARY35" s="48"/>
      <c r="ARZ35" s="48"/>
      <c r="ASA35" s="48"/>
      <c r="ASB35" s="48"/>
      <c r="ASC35" s="48"/>
      <c r="ASD35" s="48"/>
      <c r="ASE35" s="48"/>
      <c r="ASF35" s="48"/>
      <c r="ASG35" s="48"/>
      <c r="ASH35" s="48"/>
      <c r="ASI35" s="48"/>
      <c r="ASJ35" s="48"/>
      <c r="ASK35" s="48"/>
      <c r="ASL35" s="48"/>
      <c r="ASM35" s="48"/>
      <c r="ASN35" s="48"/>
      <c r="ASO35" s="48"/>
      <c r="ASP35" s="48"/>
      <c r="ASQ35" s="48"/>
      <c r="ASR35" s="48"/>
      <c r="ASS35" s="48"/>
      <c r="AST35" s="48"/>
      <c r="ASU35" s="48"/>
      <c r="ASV35" s="48"/>
      <c r="ASW35" s="48"/>
      <c r="ASX35" s="48"/>
      <c r="ASY35" s="48"/>
      <c r="ASZ35" s="48"/>
      <c r="ATA35" s="48"/>
      <c r="ATB35" s="48"/>
      <c r="ATC35" s="48"/>
      <c r="ATD35" s="48"/>
      <c r="ATE35" s="48"/>
      <c r="ATF35" s="48"/>
      <c r="ATG35" s="48"/>
      <c r="ATH35" s="48"/>
      <c r="ATI35" s="48"/>
      <c r="ATJ35" s="48"/>
      <c r="ATK35" s="48"/>
      <c r="ATL35" s="48"/>
      <c r="ATM35" s="48"/>
      <c r="ATN35" s="48"/>
      <c r="ATO35" s="48"/>
      <c r="ATP35" s="48"/>
      <c r="ATQ35" s="48"/>
      <c r="ATR35" s="48"/>
      <c r="ATS35" s="48"/>
      <c r="ATT35" s="48"/>
      <c r="ATU35" s="48"/>
      <c r="ATV35" s="48"/>
      <c r="ATW35" s="48"/>
      <c r="ATX35" s="48"/>
      <c r="ATY35" s="48"/>
      <c r="ATZ35" s="48"/>
      <c r="AUA35" s="48"/>
      <c r="AUB35" s="48"/>
      <c r="AUC35" s="48"/>
      <c r="AUD35" s="48"/>
      <c r="AUE35" s="48"/>
      <c r="AUF35" s="48"/>
      <c r="AUG35" s="48"/>
      <c r="AUH35" s="48"/>
      <c r="AUI35" s="48"/>
      <c r="AUJ35" s="48"/>
      <c r="AUK35" s="48"/>
      <c r="AUL35" s="48"/>
      <c r="AUM35" s="48"/>
      <c r="AUN35" s="48"/>
      <c r="AUO35" s="48"/>
      <c r="AUP35" s="48"/>
      <c r="AUQ35" s="48"/>
      <c r="AUR35" s="48"/>
      <c r="AUS35" s="48"/>
      <c r="AUT35" s="48"/>
      <c r="AUU35" s="48"/>
      <c r="AUV35" s="48"/>
      <c r="AUW35" s="48"/>
      <c r="AUX35" s="48"/>
      <c r="AUY35" s="48"/>
      <c r="AUZ35" s="48"/>
      <c r="AVA35" s="48"/>
      <c r="AVB35" s="48"/>
      <c r="AVC35" s="48"/>
      <c r="AVD35" s="48"/>
      <c r="AVE35" s="48"/>
      <c r="AVF35" s="48"/>
      <c r="AVG35" s="48"/>
      <c r="AVH35" s="48"/>
      <c r="AVI35" s="48"/>
      <c r="AVJ35" s="48"/>
      <c r="AVK35" s="48"/>
      <c r="AVL35" s="48"/>
      <c r="AVM35" s="48"/>
      <c r="AVN35" s="48"/>
      <c r="AVO35" s="48"/>
      <c r="AVP35" s="48"/>
      <c r="AVQ35" s="48"/>
      <c r="AVR35" s="48"/>
      <c r="AVS35" s="48"/>
      <c r="AVT35" s="48"/>
      <c r="AVU35" s="48"/>
      <c r="AVV35" s="48"/>
      <c r="AVW35" s="48"/>
      <c r="AVX35" s="48"/>
      <c r="AVY35" s="48"/>
      <c r="AVZ35" s="48"/>
      <c r="AWA35" s="48"/>
      <c r="AWB35" s="48"/>
      <c r="AWC35" s="48"/>
      <c r="AWD35" s="48"/>
      <c r="AWE35" s="48"/>
      <c r="AWF35" s="48"/>
      <c r="AWG35" s="48"/>
      <c r="AWH35" s="48"/>
      <c r="AWI35" s="48"/>
      <c r="AWJ35" s="48"/>
      <c r="AWK35" s="48"/>
      <c r="AWL35" s="48"/>
      <c r="AWM35" s="48"/>
      <c r="AWN35" s="48"/>
      <c r="AWO35" s="48"/>
      <c r="AWP35" s="48"/>
      <c r="AWQ35" s="48"/>
      <c r="AWR35" s="48"/>
      <c r="AWS35" s="48"/>
      <c r="AWT35" s="48"/>
      <c r="AWU35" s="48"/>
      <c r="AWV35" s="48"/>
      <c r="AWW35" s="48"/>
      <c r="AWX35" s="48"/>
      <c r="AWY35" s="48"/>
      <c r="AWZ35" s="48"/>
      <c r="AXA35" s="48"/>
      <c r="AXB35" s="48"/>
      <c r="AXC35" s="48"/>
      <c r="AXD35" s="48"/>
      <c r="AXE35" s="48"/>
      <c r="AXF35" s="48"/>
      <c r="AXG35" s="48"/>
      <c r="AXH35" s="48"/>
      <c r="AXI35" s="48"/>
      <c r="AXJ35" s="48"/>
      <c r="AXK35" s="48"/>
      <c r="AXL35" s="48"/>
      <c r="AXM35" s="48"/>
      <c r="AXN35" s="48"/>
      <c r="AXO35" s="48"/>
      <c r="AXP35" s="48"/>
      <c r="AXQ35" s="48"/>
      <c r="AXR35" s="48"/>
      <c r="AXS35" s="48"/>
      <c r="AXT35" s="48"/>
      <c r="AXU35" s="48"/>
      <c r="AXV35" s="48"/>
      <c r="AXW35" s="48"/>
      <c r="AXX35" s="48"/>
      <c r="AXY35" s="48"/>
      <c r="AXZ35" s="48"/>
      <c r="AYA35" s="48"/>
      <c r="AYB35" s="48"/>
      <c r="AYC35" s="48"/>
      <c r="AYD35" s="48"/>
      <c r="AYE35" s="48"/>
      <c r="AYF35" s="48"/>
      <c r="AYG35" s="48"/>
      <c r="AYH35" s="48"/>
      <c r="AYI35" s="48"/>
      <c r="AYJ35" s="48"/>
      <c r="AYK35" s="48"/>
      <c r="AYL35" s="48"/>
      <c r="AYM35" s="48"/>
      <c r="AYN35" s="48"/>
      <c r="AYO35" s="48"/>
      <c r="AYP35" s="48"/>
      <c r="AYQ35" s="48"/>
      <c r="AYR35" s="48"/>
      <c r="AYS35" s="48"/>
      <c r="AYT35" s="48"/>
      <c r="AYU35" s="48"/>
      <c r="AYV35" s="48"/>
      <c r="AYW35" s="48"/>
      <c r="AYX35" s="48"/>
      <c r="AYY35" s="48"/>
      <c r="AYZ35" s="48"/>
      <c r="AZA35" s="48"/>
      <c r="AZB35" s="48"/>
      <c r="AZC35" s="48"/>
      <c r="AZD35" s="48"/>
      <c r="AZE35" s="48"/>
      <c r="AZF35" s="48"/>
      <c r="AZG35" s="48"/>
      <c r="AZH35" s="48"/>
      <c r="AZI35" s="48"/>
      <c r="AZJ35" s="48"/>
      <c r="AZK35" s="48"/>
      <c r="AZL35" s="48"/>
      <c r="AZM35" s="48"/>
      <c r="AZN35" s="48"/>
      <c r="AZO35" s="48"/>
      <c r="AZP35" s="48"/>
      <c r="AZQ35" s="48"/>
      <c r="AZR35" s="48"/>
      <c r="AZS35" s="48"/>
      <c r="AZT35" s="48"/>
      <c r="AZU35" s="48"/>
      <c r="AZV35" s="48"/>
      <c r="AZW35" s="48"/>
      <c r="AZX35" s="48"/>
      <c r="AZY35" s="48"/>
      <c r="AZZ35" s="48"/>
      <c r="BAA35" s="48"/>
      <c r="BAB35" s="48"/>
      <c r="BAC35" s="48"/>
      <c r="BAD35" s="48"/>
      <c r="BAE35" s="48"/>
      <c r="BAF35" s="48"/>
      <c r="BAG35" s="48"/>
      <c r="BAH35" s="48"/>
      <c r="BAI35" s="48"/>
      <c r="BAJ35" s="48"/>
      <c r="BAK35" s="48"/>
      <c r="BAL35" s="48"/>
      <c r="BAM35" s="48"/>
      <c r="BAN35" s="48"/>
      <c r="BAO35" s="48"/>
      <c r="BAP35" s="48"/>
      <c r="BAQ35" s="48"/>
      <c r="BAR35" s="48"/>
      <c r="BAS35" s="48"/>
      <c r="BAT35" s="48"/>
      <c r="BAU35" s="48"/>
      <c r="BAV35" s="48"/>
      <c r="BAW35" s="48"/>
      <c r="BAX35" s="48"/>
    </row>
    <row r="36" spans="1:1402" s="141" customFormat="1" ht="45" hidden="1" x14ac:dyDescent="0.25">
      <c r="A36" s="307">
        <f t="shared" si="3"/>
        <v>35</v>
      </c>
      <c r="B36" s="308" t="s">
        <v>94</v>
      </c>
      <c r="C36" s="308" t="s">
        <v>1045</v>
      </c>
      <c r="D36" s="308" t="s">
        <v>726</v>
      </c>
      <c r="E36" s="308" t="s">
        <v>727</v>
      </c>
      <c r="F36" s="308" t="s">
        <v>728</v>
      </c>
      <c r="G36" s="308" t="s">
        <v>598</v>
      </c>
      <c r="H36" s="272">
        <f t="shared" si="6"/>
        <v>-100</v>
      </c>
      <c r="I36" s="263">
        <v>1353185</v>
      </c>
      <c r="J36" s="263"/>
      <c r="K36" s="263">
        <f>Master20[[#This Row],[Initial Budget]]-Master20[[#This Row],[Previously Committed Funds]]</f>
        <v>1353185</v>
      </c>
      <c r="L36" s="263"/>
      <c r="M36" s="263"/>
      <c r="N36" s="268">
        <f>Master20[[#This Row],[Design $ (Add/Deduct)]]+Master20[[#This Row],[Construction $ (Add/Ded)]]</f>
        <v>0</v>
      </c>
      <c r="O36" s="263">
        <f>Master20[[#This Row],[Total Add]]+Master20[[#This Row],[Current Available Balance]]+Master20[[#This Row],[Previously Committed Funds]]</f>
        <v>1353185</v>
      </c>
      <c r="P36" s="311">
        <v>2018</v>
      </c>
      <c r="Q36" s="308" t="s">
        <v>46</v>
      </c>
      <c r="R36" s="311"/>
      <c r="S36" s="310">
        <v>1</v>
      </c>
      <c r="T36" s="310"/>
      <c r="U36" s="310" t="s">
        <v>41</v>
      </c>
      <c r="V36" s="310"/>
      <c r="W36" s="310" t="s">
        <v>34</v>
      </c>
      <c r="X36" s="310">
        <v>0</v>
      </c>
      <c r="Y36" s="302">
        <v>0</v>
      </c>
      <c r="Z36" s="310">
        <v>0</v>
      </c>
      <c r="AA36" s="310">
        <v>0</v>
      </c>
      <c r="AB36" s="302">
        <v>0</v>
      </c>
      <c r="AC36" s="302">
        <v>0</v>
      </c>
      <c r="AD36" s="302">
        <v>0</v>
      </c>
      <c r="AE36" s="302"/>
      <c r="AF36" s="309" t="s">
        <v>29</v>
      </c>
      <c r="AG36" s="311">
        <f>VLOOKUP(Master20[[#This Row],[Elevated Priority]],Epriority,2,)</f>
        <v>0</v>
      </c>
      <c r="AH36" s="321">
        <f>IF(Master20[[#This Row],[Status]]="Active",Master20[[#This Row],[Status_Score]],IF(D36="","",R36+H36+T36+V36+AG36+AE36+Master20[[#This Row],[Risk Mitigation]]+Master20[[#This Row],[Master Plan]]+Master20[[#This Row],[Community Request]]+Master20[[#This Row],[Community need]]+Master20[[#This Row],[Offset Aging Inf.]]+Master20[[#This Row],[Energy Savings]]+Master20[[#This Row],[Gen Revenue]]-5))</f>
        <v>-100</v>
      </c>
      <c r="AI36" s="310" t="s">
        <v>717</v>
      </c>
      <c r="AJ36" s="310">
        <v>2020</v>
      </c>
      <c r="AK36" s="310">
        <v>2022</v>
      </c>
      <c r="AL36" s="310">
        <v>2020</v>
      </c>
      <c r="AM36" s="310">
        <v>2023</v>
      </c>
      <c r="AN36" s="308" t="s">
        <v>729</v>
      </c>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c r="PM36" s="48"/>
      <c r="PN36" s="48"/>
      <c r="PO36" s="48"/>
      <c r="PP36" s="48"/>
      <c r="PQ36" s="48"/>
      <c r="PR36" s="48"/>
      <c r="PS36" s="48"/>
      <c r="PT36" s="48"/>
      <c r="PU36" s="48"/>
      <c r="PV36" s="48"/>
      <c r="PW36" s="48"/>
      <c r="PX36" s="48"/>
      <c r="PY36" s="48"/>
      <c r="PZ36" s="48"/>
      <c r="QA36" s="48"/>
      <c r="QB36" s="48"/>
      <c r="QC36" s="48"/>
      <c r="QD36" s="48"/>
      <c r="QE36" s="48"/>
      <c r="QF36" s="48"/>
      <c r="QG36" s="48"/>
      <c r="QH36" s="48"/>
      <c r="QI36" s="48"/>
      <c r="QJ36" s="48"/>
      <c r="QK36" s="48"/>
      <c r="QL36" s="48"/>
      <c r="QM36" s="48"/>
      <c r="QN36" s="48"/>
      <c r="QO36" s="48"/>
      <c r="QP36" s="48"/>
      <c r="QQ36" s="48"/>
      <c r="QR36" s="48"/>
      <c r="QS36" s="48"/>
      <c r="QT36" s="48"/>
      <c r="QU36" s="48"/>
      <c r="QV36" s="48"/>
      <c r="QW36" s="48"/>
      <c r="QX36" s="48"/>
      <c r="QY36" s="48"/>
      <c r="QZ36" s="48"/>
      <c r="RA36" s="48"/>
      <c r="RB36" s="48"/>
      <c r="RC36" s="48"/>
      <c r="RD36" s="48"/>
      <c r="RE36" s="48"/>
      <c r="RF36" s="48"/>
      <c r="RG36" s="48"/>
      <c r="RH36" s="48"/>
      <c r="RI36" s="48"/>
      <c r="RJ36" s="48"/>
      <c r="RK36" s="48"/>
      <c r="RL36" s="48"/>
      <c r="RM36" s="48"/>
      <c r="RN36" s="48"/>
      <c r="RO36" s="48"/>
      <c r="RP36" s="48"/>
      <c r="RQ36" s="48"/>
      <c r="RR36" s="48"/>
      <c r="RS36" s="48"/>
      <c r="RT36" s="48"/>
      <c r="RU36" s="48"/>
      <c r="RV36" s="48"/>
      <c r="RW36" s="48"/>
      <c r="RX36" s="48"/>
      <c r="RY36" s="48"/>
      <c r="RZ36" s="48"/>
      <c r="SA36" s="48"/>
      <c r="SB36" s="48"/>
      <c r="SC36" s="48"/>
      <c r="SD36" s="48"/>
      <c r="SE36" s="48"/>
      <c r="SF36" s="48"/>
      <c r="SG36" s="48"/>
      <c r="SH36" s="48"/>
      <c r="SI36" s="48"/>
      <c r="SJ36" s="48"/>
      <c r="SK36" s="48"/>
      <c r="SL36" s="48"/>
      <c r="SM36" s="48"/>
      <c r="SN36" s="48"/>
      <c r="SO36" s="48"/>
      <c r="SP36" s="48"/>
      <c r="SQ36" s="48"/>
      <c r="SR36" s="48"/>
      <c r="SS36" s="48"/>
      <c r="ST36" s="48"/>
      <c r="SU36" s="48"/>
      <c r="SV36" s="48"/>
      <c r="SW36" s="48"/>
      <c r="SX36" s="48"/>
      <c r="SY36" s="48"/>
      <c r="SZ36" s="48"/>
      <c r="TA36" s="48"/>
      <c r="TB36" s="48"/>
      <c r="TC36" s="48"/>
      <c r="TD36" s="48"/>
      <c r="TE36" s="48"/>
      <c r="TF36" s="48"/>
      <c r="TG36" s="48"/>
      <c r="TH36" s="48"/>
      <c r="TI36" s="48"/>
      <c r="TJ36" s="48"/>
      <c r="TK36" s="48"/>
      <c r="TL36" s="48"/>
      <c r="TM36" s="48"/>
      <c r="TN36" s="48"/>
      <c r="TO36" s="48"/>
      <c r="TP36" s="48"/>
      <c r="TQ36" s="48"/>
      <c r="TR36" s="48"/>
      <c r="TS36" s="48"/>
      <c r="TT36" s="48"/>
      <c r="TU36" s="48"/>
      <c r="TV36" s="48"/>
      <c r="TW36" s="48"/>
      <c r="TX36" s="48"/>
      <c r="TY36" s="48"/>
      <c r="TZ36" s="48"/>
      <c r="UA36" s="48"/>
      <c r="UB36" s="48"/>
      <c r="UC36" s="48"/>
      <c r="UD36" s="48"/>
      <c r="UE36" s="48"/>
      <c r="UF36" s="48"/>
      <c r="UG36" s="48"/>
      <c r="UH36" s="48"/>
      <c r="UI36" s="48"/>
      <c r="UJ36" s="48"/>
      <c r="UK36" s="48"/>
      <c r="UL36" s="48"/>
      <c r="UM36" s="48"/>
      <c r="UN36" s="48"/>
      <c r="UO36" s="48"/>
      <c r="UP36" s="48"/>
      <c r="UQ36" s="48"/>
      <c r="UR36" s="48"/>
      <c r="US36" s="48"/>
      <c r="UT36" s="48"/>
      <c r="UU36" s="48"/>
      <c r="UV36" s="48"/>
      <c r="UW36" s="48"/>
      <c r="UX36" s="48"/>
      <c r="UY36" s="48"/>
      <c r="UZ36" s="48"/>
      <c r="VA36" s="48"/>
      <c r="VB36" s="48"/>
      <c r="VC36" s="48"/>
      <c r="VD36" s="48"/>
      <c r="VE36" s="48"/>
      <c r="VF36" s="48"/>
      <c r="VG36" s="48"/>
      <c r="VH36" s="48"/>
      <c r="VI36" s="48"/>
      <c r="VJ36" s="48"/>
      <c r="VK36" s="48"/>
      <c r="VL36" s="48"/>
      <c r="VM36" s="48"/>
      <c r="VN36" s="48"/>
      <c r="VO36" s="48"/>
      <c r="VP36" s="48"/>
      <c r="VQ36" s="48"/>
      <c r="VR36" s="48"/>
      <c r="VS36" s="48"/>
      <c r="VT36" s="48"/>
      <c r="VU36" s="48"/>
      <c r="VV36" s="48"/>
      <c r="VW36" s="48"/>
      <c r="VX36" s="48"/>
      <c r="VY36" s="48"/>
      <c r="VZ36" s="48"/>
      <c r="WA36" s="48"/>
      <c r="WB36" s="48"/>
      <c r="WC36" s="48"/>
      <c r="WD36" s="48"/>
      <c r="WE36" s="48"/>
      <c r="WF36" s="48"/>
      <c r="WG36" s="48"/>
      <c r="WH36" s="48"/>
      <c r="WI36" s="48"/>
      <c r="WJ36" s="48"/>
      <c r="WK36" s="48"/>
      <c r="WL36" s="48"/>
      <c r="WM36" s="48"/>
      <c r="WN36" s="48"/>
      <c r="WO36" s="48"/>
      <c r="WP36" s="48"/>
      <c r="WQ36" s="48"/>
      <c r="WR36" s="48"/>
      <c r="WS36" s="48"/>
      <c r="WT36" s="48"/>
      <c r="WU36" s="48"/>
      <c r="WV36" s="48"/>
      <c r="WW36" s="48"/>
      <c r="WX36" s="48"/>
      <c r="WY36" s="48"/>
      <c r="WZ36" s="48"/>
      <c r="XA36" s="48"/>
      <c r="XB36" s="48"/>
      <c r="XC36" s="48"/>
      <c r="XD36" s="48"/>
      <c r="XE36" s="48"/>
      <c r="XF36" s="48"/>
      <c r="XG36" s="48"/>
      <c r="XH36" s="48"/>
      <c r="XI36" s="48"/>
      <c r="XJ36" s="48"/>
      <c r="XK36" s="48"/>
      <c r="XL36" s="48"/>
      <c r="XM36" s="48"/>
      <c r="XN36" s="48"/>
      <c r="XO36" s="48"/>
      <c r="XP36" s="48"/>
      <c r="XQ36" s="48"/>
      <c r="XR36" s="48"/>
      <c r="XS36" s="48"/>
      <c r="XT36" s="48"/>
      <c r="XU36" s="48"/>
      <c r="XV36" s="48"/>
      <c r="XW36" s="48"/>
      <c r="XX36" s="48"/>
      <c r="XY36" s="48"/>
      <c r="XZ36" s="48"/>
      <c r="YA36" s="48"/>
      <c r="YB36" s="48"/>
      <c r="YC36" s="48"/>
      <c r="YD36" s="48"/>
      <c r="YE36" s="48"/>
      <c r="YF36" s="48"/>
      <c r="YG36" s="48"/>
      <c r="YH36" s="48"/>
      <c r="YI36" s="48"/>
      <c r="YJ36" s="48"/>
      <c r="YK36" s="48"/>
      <c r="YL36" s="48"/>
      <c r="YM36" s="48"/>
      <c r="YN36" s="48"/>
      <c r="YO36" s="48"/>
      <c r="YP36" s="48"/>
      <c r="YQ36" s="48"/>
      <c r="YR36" s="48"/>
      <c r="YS36" s="48"/>
      <c r="YT36" s="48"/>
      <c r="YU36" s="48"/>
      <c r="YV36" s="48"/>
      <c r="YW36" s="48"/>
      <c r="YX36" s="48"/>
      <c r="YY36" s="48"/>
      <c r="YZ36" s="48"/>
      <c r="ZA36" s="48"/>
      <c r="ZB36" s="48"/>
      <c r="ZC36" s="48"/>
      <c r="ZD36" s="48"/>
      <c r="ZE36" s="48"/>
      <c r="ZF36" s="48"/>
      <c r="ZG36" s="48"/>
      <c r="ZH36" s="48"/>
      <c r="ZI36" s="48"/>
      <c r="ZJ36" s="48"/>
      <c r="ZK36" s="48"/>
      <c r="ZL36" s="48"/>
      <c r="ZM36" s="48"/>
      <c r="ZN36" s="48"/>
      <c r="ZO36" s="48"/>
      <c r="ZP36" s="48"/>
      <c r="ZQ36" s="48"/>
      <c r="ZR36" s="48"/>
      <c r="ZS36" s="48"/>
      <c r="ZT36" s="48"/>
      <c r="ZU36" s="48"/>
      <c r="ZV36" s="48"/>
      <c r="ZW36" s="48"/>
      <c r="ZX36" s="48"/>
      <c r="ZY36" s="48"/>
      <c r="ZZ36" s="48"/>
      <c r="AAA36" s="48"/>
      <c r="AAB36" s="48"/>
      <c r="AAC36" s="48"/>
      <c r="AAD36" s="48"/>
      <c r="AAE36" s="48"/>
      <c r="AAF36" s="48"/>
      <c r="AAG36" s="48"/>
      <c r="AAH36" s="48"/>
      <c r="AAI36" s="48"/>
      <c r="AAJ36" s="48"/>
      <c r="AAK36" s="48"/>
      <c r="AAL36" s="48"/>
      <c r="AAM36" s="48"/>
      <c r="AAN36" s="48"/>
      <c r="AAO36" s="48"/>
      <c r="AAP36" s="48"/>
      <c r="AAQ36" s="48"/>
      <c r="AAR36" s="48"/>
      <c r="AAS36" s="48"/>
      <c r="AAT36" s="48"/>
      <c r="AAU36" s="48"/>
      <c r="AAV36" s="48"/>
      <c r="AAW36" s="48"/>
      <c r="AAX36" s="48"/>
      <c r="AAY36" s="48"/>
      <c r="AAZ36" s="48"/>
      <c r="ABA36" s="48"/>
      <c r="ABB36" s="48"/>
      <c r="ABC36" s="48"/>
      <c r="ABD36" s="48"/>
      <c r="ABE36" s="48"/>
      <c r="ABF36" s="48"/>
      <c r="ABG36" s="48"/>
      <c r="ABH36" s="48"/>
      <c r="ABI36" s="48"/>
      <c r="ABJ36" s="48"/>
      <c r="ABK36" s="48"/>
      <c r="ABL36" s="48"/>
      <c r="ABM36" s="48"/>
      <c r="ABN36" s="48"/>
      <c r="ABO36" s="48"/>
      <c r="ABP36" s="48"/>
      <c r="ABQ36" s="48"/>
      <c r="ABR36" s="48"/>
      <c r="ABS36" s="48"/>
      <c r="ABT36" s="48"/>
      <c r="ABU36" s="48"/>
      <c r="ABV36" s="48"/>
      <c r="ABW36" s="48"/>
      <c r="ABX36" s="48"/>
      <c r="ABY36" s="48"/>
      <c r="ABZ36" s="48"/>
      <c r="ACA36" s="48"/>
      <c r="ACB36" s="48"/>
      <c r="ACC36" s="48"/>
      <c r="ACD36" s="48"/>
      <c r="ACE36" s="48"/>
      <c r="ACF36" s="48"/>
      <c r="ACG36" s="48"/>
      <c r="ACH36" s="48"/>
      <c r="ACI36" s="48"/>
      <c r="ACJ36" s="48"/>
      <c r="ACK36" s="48"/>
      <c r="ACL36" s="48"/>
      <c r="ACM36" s="48"/>
      <c r="ACN36" s="48"/>
      <c r="ACO36" s="48"/>
      <c r="ACP36" s="48"/>
      <c r="ACQ36" s="48"/>
      <c r="ACR36" s="48"/>
      <c r="ACS36" s="48"/>
      <c r="ACT36" s="48"/>
      <c r="ACU36" s="48"/>
      <c r="ACV36" s="48"/>
      <c r="ACW36" s="48"/>
      <c r="ACX36" s="48"/>
      <c r="ACY36" s="48"/>
      <c r="ACZ36" s="48"/>
      <c r="ADA36" s="48"/>
      <c r="ADB36" s="48"/>
      <c r="ADC36" s="48"/>
      <c r="ADD36" s="48"/>
      <c r="ADE36" s="48"/>
      <c r="ADF36" s="48"/>
      <c r="ADG36" s="48"/>
      <c r="ADH36" s="48"/>
      <c r="ADI36" s="48"/>
      <c r="ADJ36" s="48"/>
      <c r="ADK36" s="48"/>
      <c r="ADL36" s="48"/>
      <c r="ADM36" s="48"/>
      <c r="ADN36" s="48"/>
      <c r="ADO36" s="48"/>
      <c r="ADP36" s="48"/>
      <c r="ADQ36" s="48"/>
      <c r="ADR36" s="48"/>
      <c r="ADS36" s="48"/>
      <c r="ADT36" s="48"/>
      <c r="ADU36" s="48"/>
      <c r="ADV36" s="48"/>
      <c r="ADW36" s="48"/>
      <c r="ADX36" s="48"/>
      <c r="ADY36" s="48"/>
      <c r="ADZ36" s="48"/>
      <c r="AEA36" s="48"/>
      <c r="AEB36" s="48"/>
      <c r="AEC36" s="48"/>
      <c r="AED36" s="48"/>
      <c r="AEE36" s="48"/>
      <c r="AEF36" s="48"/>
      <c r="AEG36" s="48"/>
      <c r="AEH36" s="48"/>
      <c r="AEI36" s="48"/>
      <c r="AEJ36" s="48"/>
      <c r="AEK36" s="48"/>
      <c r="AEL36" s="48"/>
      <c r="AEM36" s="48"/>
      <c r="AEN36" s="48"/>
      <c r="AEO36" s="48"/>
      <c r="AEP36" s="48"/>
      <c r="AEQ36" s="48"/>
      <c r="AER36" s="48"/>
      <c r="AES36" s="48"/>
      <c r="AET36" s="48"/>
      <c r="AEU36" s="48"/>
      <c r="AEV36" s="48"/>
      <c r="AEW36" s="48"/>
      <c r="AEX36" s="48"/>
      <c r="AEY36" s="48"/>
      <c r="AEZ36" s="48"/>
      <c r="AFA36" s="48"/>
      <c r="AFB36" s="48"/>
      <c r="AFC36" s="48"/>
      <c r="AFD36" s="48"/>
      <c r="AFE36" s="48"/>
      <c r="AFF36" s="48"/>
      <c r="AFG36" s="48"/>
      <c r="AFH36" s="48"/>
      <c r="AFI36" s="48"/>
      <c r="AFJ36" s="48"/>
      <c r="AFK36" s="48"/>
      <c r="AFL36" s="48"/>
      <c r="AFM36" s="48"/>
      <c r="AFN36" s="48"/>
      <c r="AFO36" s="48"/>
      <c r="AFP36" s="48"/>
      <c r="AFQ36" s="48"/>
      <c r="AFR36" s="48"/>
      <c r="AFS36" s="48"/>
      <c r="AFT36" s="48"/>
      <c r="AFU36" s="48"/>
      <c r="AFV36" s="48"/>
      <c r="AFW36" s="48"/>
      <c r="AFX36" s="48"/>
      <c r="AFY36" s="48"/>
      <c r="AFZ36" s="48"/>
      <c r="AGA36" s="48"/>
      <c r="AGB36" s="48"/>
      <c r="AGC36" s="48"/>
      <c r="AGD36" s="48"/>
      <c r="AGE36" s="48"/>
      <c r="AGF36" s="48"/>
      <c r="AGG36" s="48"/>
      <c r="AGH36" s="48"/>
      <c r="AGI36" s="48"/>
      <c r="AGJ36" s="48"/>
      <c r="AGK36" s="48"/>
      <c r="AGL36" s="48"/>
      <c r="AGM36" s="48"/>
      <c r="AGN36" s="48"/>
      <c r="AGO36" s="48"/>
      <c r="AGP36" s="48"/>
      <c r="AGQ36" s="48"/>
      <c r="AGR36" s="48"/>
      <c r="AGS36" s="48"/>
      <c r="AGT36" s="48"/>
      <c r="AGU36" s="48"/>
      <c r="AGV36" s="48"/>
      <c r="AGW36" s="48"/>
      <c r="AGX36" s="48"/>
      <c r="AGY36" s="48"/>
      <c r="AGZ36" s="48"/>
      <c r="AHA36" s="48"/>
      <c r="AHB36" s="48"/>
      <c r="AHC36" s="48"/>
      <c r="AHD36" s="48"/>
      <c r="AHE36" s="48"/>
      <c r="AHF36" s="48"/>
      <c r="AHG36" s="48"/>
      <c r="AHH36" s="48"/>
      <c r="AHI36" s="48"/>
      <c r="AHJ36" s="48"/>
      <c r="AHK36" s="48"/>
      <c r="AHL36" s="48"/>
      <c r="AHM36" s="48"/>
      <c r="AHN36" s="48"/>
      <c r="AHO36" s="48"/>
      <c r="AHP36" s="48"/>
      <c r="AHQ36" s="48"/>
      <c r="AHR36" s="48"/>
      <c r="AHS36" s="48"/>
      <c r="AHT36" s="48"/>
      <c r="AHU36" s="48"/>
      <c r="AHV36" s="48"/>
      <c r="AHW36" s="48"/>
      <c r="AHX36" s="48"/>
      <c r="AHY36" s="48"/>
      <c r="AHZ36" s="48"/>
      <c r="AIA36" s="48"/>
      <c r="AIB36" s="48"/>
      <c r="AIC36" s="48"/>
      <c r="AID36" s="48"/>
      <c r="AIE36" s="48"/>
      <c r="AIF36" s="48"/>
      <c r="AIG36" s="48"/>
      <c r="AIH36" s="48"/>
      <c r="AII36" s="48"/>
      <c r="AIJ36" s="48"/>
      <c r="AIK36" s="48"/>
      <c r="AIL36" s="48"/>
      <c r="AIM36" s="48"/>
      <c r="AIN36" s="48"/>
      <c r="AIO36" s="48"/>
      <c r="AIP36" s="48"/>
      <c r="AIQ36" s="48"/>
      <c r="AIR36" s="48"/>
      <c r="AIS36" s="48"/>
      <c r="AIT36" s="48"/>
      <c r="AIU36" s="48"/>
      <c r="AIV36" s="48"/>
      <c r="AIW36" s="48"/>
      <c r="AIX36" s="48"/>
      <c r="AIY36" s="48"/>
      <c r="AIZ36" s="48"/>
      <c r="AJA36" s="48"/>
      <c r="AJB36" s="48"/>
      <c r="AJC36" s="48"/>
      <c r="AJD36" s="48"/>
      <c r="AJE36" s="48"/>
      <c r="AJF36" s="48"/>
      <c r="AJG36" s="48"/>
      <c r="AJH36" s="48"/>
      <c r="AJI36" s="48"/>
      <c r="AJJ36" s="48"/>
      <c r="AJK36" s="48"/>
      <c r="AJL36" s="48"/>
      <c r="AJM36" s="48"/>
      <c r="AJN36" s="48"/>
      <c r="AJO36" s="48"/>
      <c r="AJP36" s="48"/>
      <c r="AJQ36" s="48"/>
      <c r="AJR36" s="48"/>
      <c r="AJS36" s="48"/>
      <c r="AJT36" s="48"/>
      <c r="AJU36" s="48"/>
      <c r="AJV36" s="48"/>
      <c r="AJW36" s="48"/>
      <c r="AJX36" s="48"/>
      <c r="AJY36" s="48"/>
      <c r="AJZ36" s="48"/>
      <c r="AKA36" s="48"/>
      <c r="AKB36" s="48"/>
      <c r="AKC36" s="48"/>
      <c r="AKD36" s="48"/>
      <c r="AKE36" s="48"/>
      <c r="AKF36" s="48"/>
      <c r="AKG36" s="48"/>
      <c r="AKH36" s="48"/>
      <c r="AKI36" s="48"/>
      <c r="AKJ36" s="48"/>
      <c r="AKK36" s="48"/>
      <c r="AKL36" s="48"/>
      <c r="AKM36" s="48"/>
      <c r="AKN36" s="48"/>
      <c r="AKO36" s="48"/>
      <c r="AKP36" s="48"/>
      <c r="AKQ36" s="48"/>
      <c r="AKR36" s="48"/>
      <c r="AKS36" s="48"/>
      <c r="AKT36" s="48"/>
      <c r="AKU36" s="48"/>
      <c r="AKV36" s="48"/>
      <c r="AKW36" s="48"/>
      <c r="AKX36" s="48"/>
      <c r="AKY36" s="48"/>
      <c r="AKZ36" s="48"/>
      <c r="ALA36" s="48"/>
      <c r="ALB36" s="48"/>
      <c r="ALC36" s="48"/>
      <c r="ALD36" s="48"/>
      <c r="ALE36" s="48"/>
      <c r="ALF36" s="48"/>
      <c r="ALG36" s="48"/>
      <c r="ALH36" s="48"/>
      <c r="ALI36" s="48"/>
      <c r="ALJ36" s="48"/>
      <c r="ALK36" s="48"/>
      <c r="ALL36" s="48"/>
      <c r="ALM36" s="48"/>
      <c r="ALN36" s="48"/>
      <c r="ALO36" s="48"/>
      <c r="ALP36" s="48"/>
      <c r="ALQ36" s="48"/>
      <c r="ALR36" s="48"/>
      <c r="ALS36" s="48"/>
      <c r="ALT36" s="48"/>
      <c r="ALU36" s="48"/>
      <c r="ALV36" s="48"/>
      <c r="ALW36" s="48"/>
      <c r="ALX36" s="48"/>
      <c r="ALY36" s="48"/>
      <c r="ALZ36" s="48"/>
      <c r="AMA36" s="48"/>
      <c r="AMB36" s="48"/>
      <c r="AMC36" s="48"/>
      <c r="AMD36" s="48"/>
      <c r="AME36" s="48"/>
      <c r="AMF36" s="48"/>
      <c r="AMG36" s="48"/>
      <c r="AMH36" s="48"/>
      <c r="AMI36" s="48"/>
      <c r="AMJ36" s="48"/>
      <c r="AMK36" s="48"/>
      <c r="AML36" s="48"/>
      <c r="AMM36" s="48"/>
      <c r="AMN36" s="48"/>
      <c r="AMO36" s="48"/>
      <c r="AMP36" s="48"/>
      <c r="AMQ36" s="48"/>
      <c r="AMR36" s="48"/>
      <c r="AMS36" s="48"/>
      <c r="AMT36" s="48"/>
      <c r="AMU36" s="48"/>
      <c r="AMV36" s="48"/>
      <c r="AMW36" s="48"/>
      <c r="AMX36" s="48"/>
      <c r="AMY36" s="48"/>
      <c r="AMZ36" s="48"/>
      <c r="ANA36" s="48"/>
      <c r="ANB36" s="48"/>
      <c r="ANC36" s="48"/>
      <c r="AND36" s="48"/>
      <c r="ANE36" s="48"/>
      <c r="ANF36" s="48"/>
      <c r="ANG36" s="48"/>
      <c r="ANH36" s="48"/>
      <c r="ANI36" s="48"/>
      <c r="ANJ36" s="48"/>
      <c r="ANK36" s="48"/>
      <c r="ANL36" s="48"/>
      <c r="ANM36" s="48"/>
      <c r="ANN36" s="48"/>
      <c r="ANO36" s="48"/>
      <c r="ANP36" s="48"/>
      <c r="ANQ36" s="48"/>
      <c r="ANR36" s="48"/>
      <c r="ANS36" s="48"/>
      <c r="ANT36" s="48"/>
      <c r="ANU36" s="48"/>
      <c r="ANV36" s="48"/>
      <c r="ANW36" s="48"/>
      <c r="ANX36" s="48"/>
      <c r="ANY36" s="48"/>
      <c r="ANZ36" s="48"/>
      <c r="AOA36" s="48"/>
      <c r="AOB36" s="48"/>
      <c r="AOC36" s="48"/>
      <c r="AOD36" s="48"/>
      <c r="AOE36" s="48"/>
      <c r="AOF36" s="48"/>
      <c r="AOG36" s="48"/>
      <c r="AOH36" s="48"/>
      <c r="AOI36" s="48"/>
      <c r="AOJ36" s="48"/>
      <c r="AOK36" s="48"/>
      <c r="AOL36" s="48"/>
      <c r="AOM36" s="48"/>
      <c r="AON36" s="48"/>
      <c r="AOO36" s="48"/>
      <c r="AOP36" s="48"/>
      <c r="AOQ36" s="48"/>
      <c r="AOR36" s="48"/>
      <c r="AOS36" s="48"/>
      <c r="AOT36" s="48"/>
      <c r="AOU36" s="48"/>
      <c r="AOV36" s="48"/>
      <c r="AOW36" s="48"/>
      <c r="AOX36" s="48"/>
      <c r="AOY36" s="48"/>
      <c r="AOZ36" s="48"/>
      <c r="APA36" s="48"/>
      <c r="APB36" s="48"/>
      <c r="APC36" s="48"/>
      <c r="APD36" s="48"/>
      <c r="APE36" s="48"/>
      <c r="APF36" s="48"/>
      <c r="APG36" s="48"/>
      <c r="APH36" s="48"/>
      <c r="API36" s="48"/>
      <c r="APJ36" s="48"/>
      <c r="APK36" s="48"/>
      <c r="APL36" s="48"/>
      <c r="APM36" s="48"/>
      <c r="APN36" s="48"/>
      <c r="APO36" s="48"/>
      <c r="APP36" s="48"/>
      <c r="APQ36" s="48"/>
      <c r="APR36" s="48"/>
      <c r="APS36" s="48"/>
      <c r="APT36" s="48"/>
      <c r="APU36" s="48"/>
      <c r="APV36" s="48"/>
      <c r="APW36" s="48"/>
      <c r="APX36" s="48"/>
      <c r="APY36" s="48"/>
      <c r="APZ36" s="48"/>
      <c r="AQA36" s="48"/>
      <c r="AQB36" s="48"/>
      <c r="AQC36" s="48"/>
      <c r="AQD36" s="48"/>
      <c r="AQE36" s="48"/>
      <c r="AQF36" s="48"/>
      <c r="AQG36" s="48"/>
      <c r="AQH36" s="48"/>
      <c r="AQI36" s="48"/>
      <c r="AQJ36" s="48"/>
      <c r="AQK36" s="48"/>
      <c r="AQL36" s="48"/>
      <c r="AQM36" s="48"/>
      <c r="AQN36" s="48"/>
      <c r="AQO36" s="48"/>
      <c r="AQP36" s="48"/>
      <c r="AQQ36" s="48"/>
      <c r="AQR36" s="48"/>
      <c r="AQS36" s="48"/>
      <c r="AQT36" s="48"/>
      <c r="AQU36" s="48"/>
      <c r="AQV36" s="48"/>
      <c r="AQW36" s="48"/>
      <c r="AQX36" s="48"/>
      <c r="AQY36" s="48"/>
      <c r="AQZ36" s="48"/>
      <c r="ARA36" s="48"/>
      <c r="ARB36" s="48"/>
      <c r="ARC36" s="48"/>
      <c r="ARD36" s="48"/>
      <c r="ARE36" s="48"/>
      <c r="ARF36" s="48"/>
      <c r="ARG36" s="48"/>
      <c r="ARH36" s="48"/>
      <c r="ARI36" s="48"/>
      <c r="ARJ36" s="48"/>
      <c r="ARK36" s="48"/>
      <c r="ARL36" s="48"/>
      <c r="ARM36" s="48"/>
      <c r="ARN36" s="48"/>
      <c r="ARO36" s="48"/>
      <c r="ARP36" s="48"/>
      <c r="ARQ36" s="48"/>
      <c r="ARR36" s="48"/>
      <c r="ARS36" s="48"/>
      <c r="ART36" s="48"/>
      <c r="ARU36" s="48"/>
      <c r="ARV36" s="48"/>
      <c r="ARW36" s="48"/>
      <c r="ARX36" s="48"/>
      <c r="ARY36" s="48"/>
      <c r="ARZ36" s="48"/>
      <c r="ASA36" s="48"/>
      <c r="ASB36" s="48"/>
      <c r="ASC36" s="48"/>
      <c r="ASD36" s="48"/>
      <c r="ASE36" s="48"/>
      <c r="ASF36" s="48"/>
      <c r="ASG36" s="48"/>
      <c r="ASH36" s="48"/>
      <c r="ASI36" s="48"/>
      <c r="ASJ36" s="48"/>
      <c r="ASK36" s="48"/>
      <c r="ASL36" s="48"/>
      <c r="ASM36" s="48"/>
      <c r="ASN36" s="48"/>
      <c r="ASO36" s="48"/>
      <c r="ASP36" s="48"/>
      <c r="ASQ36" s="48"/>
      <c r="ASR36" s="48"/>
      <c r="ASS36" s="48"/>
      <c r="AST36" s="48"/>
      <c r="ASU36" s="48"/>
      <c r="ASV36" s="48"/>
      <c r="ASW36" s="48"/>
      <c r="ASX36" s="48"/>
      <c r="ASY36" s="48"/>
      <c r="ASZ36" s="48"/>
      <c r="ATA36" s="48"/>
      <c r="ATB36" s="48"/>
      <c r="ATC36" s="48"/>
      <c r="ATD36" s="48"/>
      <c r="ATE36" s="48"/>
      <c r="ATF36" s="48"/>
      <c r="ATG36" s="48"/>
      <c r="ATH36" s="48"/>
      <c r="ATI36" s="48"/>
      <c r="ATJ36" s="48"/>
      <c r="ATK36" s="48"/>
      <c r="ATL36" s="48"/>
      <c r="ATM36" s="48"/>
      <c r="ATN36" s="48"/>
      <c r="ATO36" s="48"/>
      <c r="ATP36" s="48"/>
      <c r="ATQ36" s="48"/>
      <c r="ATR36" s="48"/>
      <c r="ATS36" s="48"/>
      <c r="ATT36" s="48"/>
      <c r="ATU36" s="48"/>
      <c r="ATV36" s="48"/>
      <c r="ATW36" s="48"/>
      <c r="ATX36" s="48"/>
      <c r="ATY36" s="48"/>
      <c r="ATZ36" s="48"/>
      <c r="AUA36" s="48"/>
      <c r="AUB36" s="48"/>
      <c r="AUC36" s="48"/>
      <c r="AUD36" s="48"/>
      <c r="AUE36" s="48"/>
      <c r="AUF36" s="48"/>
      <c r="AUG36" s="48"/>
      <c r="AUH36" s="48"/>
      <c r="AUI36" s="48"/>
      <c r="AUJ36" s="48"/>
      <c r="AUK36" s="48"/>
      <c r="AUL36" s="48"/>
      <c r="AUM36" s="48"/>
      <c r="AUN36" s="48"/>
      <c r="AUO36" s="48"/>
      <c r="AUP36" s="48"/>
      <c r="AUQ36" s="48"/>
      <c r="AUR36" s="48"/>
      <c r="AUS36" s="48"/>
      <c r="AUT36" s="48"/>
      <c r="AUU36" s="48"/>
      <c r="AUV36" s="48"/>
      <c r="AUW36" s="48"/>
      <c r="AUX36" s="48"/>
      <c r="AUY36" s="48"/>
      <c r="AUZ36" s="48"/>
      <c r="AVA36" s="48"/>
      <c r="AVB36" s="48"/>
      <c r="AVC36" s="48"/>
      <c r="AVD36" s="48"/>
      <c r="AVE36" s="48"/>
      <c r="AVF36" s="48"/>
      <c r="AVG36" s="48"/>
      <c r="AVH36" s="48"/>
      <c r="AVI36" s="48"/>
      <c r="AVJ36" s="48"/>
      <c r="AVK36" s="48"/>
      <c r="AVL36" s="48"/>
      <c r="AVM36" s="48"/>
      <c r="AVN36" s="48"/>
      <c r="AVO36" s="48"/>
      <c r="AVP36" s="48"/>
      <c r="AVQ36" s="48"/>
      <c r="AVR36" s="48"/>
      <c r="AVS36" s="48"/>
      <c r="AVT36" s="48"/>
      <c r="AVU36" s="48"/>
      <c r="AVV36" s="48"/>
      <c r="AVW36" s="48"/>
      <c r="AVX36" s="48"/>
      <c r="AVY36" s="48"/>
      <c r="AVZ36" s="48"/>
      <c r="AWA36" s="48"/>
      <c r="AWB36" s="48"/>
      <c r="AWC36" s="48"/>
      <c r="AWD36" s="48"/>
      <c r="AWE36" s="48"/>
      <c r="AWF36" s="48"/>
      <c r="AWG36" s="48"/>
      <c r="AWH36" s="48"/>
      <c r="AWI36" s="48"/>
      <c r="AWJ36" s="48"/>
      <c r="AWK36" s="48"/>
      <c r="AWL36" s="48"/>
      <c r="AWM36" s="48"/>
      <c r="AWN36" s="48"/>
      <c r="AWO36" s="48"/>
      <c r="AWP36" s="48"/>
      <c r="AWQ36" s="48"/>
      <c r="AWR36" s="48"/>
      <c r="AWS36" s="48"/>
      <c r="AWT36" s="48"/>
      <c r="AWU36" s="48"/>
      <c r="AWV36" s="48"/>
      <c r="AWW36" s="48"/>
      <c r="AWX36" s="48"/>
      <c r="AWY36" s="48"/>
      <c r="AWZ36" s="48"/>
      <c r="AXA36" s="48"/>
      <c r="AXB36" s="48"/>
      <c r="AXC36" s="48"/>
      <c r="AXD36" s="48"/>
      <c r="AXE36" s="48"/>
      <c r="AXF36" s="48"/>
      <c r="AXG36" s="48"/>
      <c r="AXH36" s="48"/>
      <c r="AXI36" s="48"/>
      <c r="AXJ36" s="48"/>
      <c r="AXK36" s="48"/>
      <c r="AXL36" s="48"/>
      <c r="AXM36" s="48"/>
      <c r="AXN36" s="48"/>
      <c r="AXO36" s="48"/>
      <c r="AXP36" s="48"/>
      <c r="AXQ36" s="48"/>
      <c r="AXR36" s="48"/>
      <c r="AXS36" s="48"/>
      <c r="AXT36" s="48"/>
      <c r="AXU36" s="48"/>
      <c r="AXV36" s="48"/>
      <c r="AXW36" s="48"/>
      <c r="AXX36" s="48"/>
      <c r="AXY36" s="48"/>
      <c r="AXZ36" s="48"/>
      <c r="AYA36" s="48"/>
      <c r="AYB36" s="48"/>
      <c r="AYC36" s="48"/>
      <c r="AYD36" s="48"/>
      <c r="AYE36" s="48"/>
      <c r="AYF36" s="48"/>
      <c r="AYG36" s="48"/>
      <c r="AYH36" s="48"/>
      <c r="AYI36" s="48"/>
      <c r="AYJ36" s="48"/>
      <c r="AYK36" s="48"/>
      <c r="AYL36" s="48"/>
      <c r="AYM36" s="48"/>
      <c r="AYN36" s="48"/>
      <c r="AYO36" s="48"/>
      <c r="AYP36" s="48"/>
      <c r="AYQ36" s="48"/>
      <c r="AYR36" s="48"/>
      <c r="AYS36" s="48"/>
      <c r="AYT36" s="48"/>
      <c r="AYU36" s="48"/>
      <c r="AYV36" s="48"/>
      <c r="AYW36" s="48"/>
      <c r="AYX36" s="48"/>
      <c r="AYY36" s="48"/>
      <c r="AYZ36" s="48"/>
      <c r="AZA36" s="48"/>
      <c r="AZB36" s="48"/>
      <c r="AZC36" s="48"/>
      <c r="AZD36" s="48"/>
      <c r="AZE36" s="48"/>
      <c r="AZF36" s="48"/>
      <c r="AZG36" s="48"/>
      <c r="AZH36" s="48"/>
      <c r="AZI36" s="48"/>
      <c r="AZJ36" s="48"/>
      <c r="AZK36" s="48"/>
      <c r="AZL36" s="48"/>
      <c r="AZM36" s="48"/>
      <c r="AZN36" s="48"/>
      <c r="AZO36" s="48"/>
      <c r="AZP36" s="48"/>
      <c r="AZQ36" s="48"/>
      <c r="AZR36" s="48"/>
      <c r="AZS36" s="48"/>
      <c r="AZT36" s="48"/>
      <c r="AZU36" s="48"/>
      <c r="AZV36" s="48"/>
      <c r="AZW36" s="48"/>
      <c r="AZX36" s="48"/>
      <c r="AZY36" s="48"/>
      <c r="AZZ36" s="48"/>
      <c r="BAA36" s="48"/>
      <c r="BAB36" s="48"/>
      <c r="BAC36" s="48"/>
      <c r="BAD36" s="48"/>
      <c r="BAE36" s="48"/>
      <c r="BAF36" s="48"/>
      <c r="BAG36" s="48"/>
      <c r="BAH36" s="48"/>
      <c r="BAI36" s="48"/>
      <c r="BAJ36" s="48"/>
      <c r="BAK36" s="48"/>
      <c r="BAL36" s="48"/>
      <c r="BAM36" s="48"/>
      <c r="BAN36" s="48"/>
      <c r="BAO36" s="48"/>
      <c r="BAP36" s="48"/>
      <c r="BAQ36" s="48"/>
      <c r="BAR36" s="48"/>
      <c r="BAS36" s="48"/>
      <c r="BAT36" s="48"/>
      <c r="BAU36" s="48"/>
      <c r="BAV36" s="48"/>
      <c r="BAW36" s="48"/>
      <c r="BAX36" s="48"/>
    </row>
    <row r="37" spans="1:1402" s="141" customFormat="1" ht="45" hidden="1" x14ac:dyDescent="0.25">
      <c r="A37" s="307">
        <f t="shared" si="3"/>
        <v>36</v>
      </c>
      <c r="B37" s="308" t="s">
        <v>1212</v>
      </c>
      <c r="C37" s="308" t="s">
        <v>1201</v>
      </c>
      <c r="D37" s="358" t="s">
        <v>1088</v>
      </c>
      <c r="E37" s="308" t="s">
        <v>1112</v>
      </c>
      <c r="F37" s="308" t="s">
        <v>1113</v>
      </c>
      <c r="G37" s="308" t="s">
        <v>598</v>
      </c>
      <c r="H37" s="272">
        <f t="shared" si="6"/>
        <v>-100</v>
      </c>
      <c r="I37" s="263"/>
      <c r="J37" s="263"/>
      <c r="K37" s="263">
        <f>Master20[[#This Row],[Initial Budget]]-Master20[[#This Row],[Previously Committed Funds]]</f>
        <v>0</v>
      </c>
      <c r="L37" s="263">
        <v>175000</v>
      </c>
      <c r="M37" s="263">
        <v>750000</v>
      </c>
      <c r="N37" s="268">
        <f>Master20[[#This Row],[Design $ (Add/Deduct)]]+Master20[[#This Row],[Construction $ (Add/Ded)]]</f>
        <v>925000</v>
      </c>
      <c r="O37" s="266">
        <v>925000</v>
      </c>
      <c r="P37" s="311">
        <v>2022</v>
      </c>
      <c r="Q37" s="308" t="s">
        <v>46</v>
      </c>
      <c r="R37" s="311">
        <f t="shared" ref="R37:R75" si="7">VLOOKUP(Q37,Importance,2,FALSE)</f>
        <v>50</v>
      </c>
      <c r="S37" s="310">
        <v>2</v>
      </c>
      <c r="T37" s="310">
        <f t="shared" ref="T37:T68" si="8">VLOOKUP(S37,Department,2,FALSE)</f>
        <v>6</v>
      </c>
      <c r="U37" s="310" t="s">
        <v>41</v>
      </c>
      <c r="V37" s="310">
        <f t="shared" ref="V37:V43" si="9">VLOOKUP(U37,Urgency,2,FALSE)</f>
        <v>4</v>
      </c>
      <c r="W37" s="310" t="s">
        <v>34</v>
      </c>
      <c r="X37" s="310">
        <v>-3</v>
      </c>
      <c r="Y37" s="310">
        <v>0</v>
      </c>
      <c r="Z37" s="310">
        <v>0</v>
      </c>
      <c r="AA37" s="310">
        <v>-3</v>
      </c>
      <c r="AB37" s="310">
        <v>-2</v>
      </c>
      <c r="AC37" s="310">
        <v>-7</v>
      </c>
      <c r="AD37" s="310">
        <v>0</v>
      </c>
      <c r="AE37" s="310"/>
      <c r="AF37" s="309" t="s">
        <v>35</v>
      </c>
      <c r="AG37" s="311">
        <f>VLOOKUP(Master20[[#This Row],[Elevated Priority]],Epriority,2,)</f>
        <v>-25</v>
      </c>
      <c r="AH37" s="321">
        <f>IF(Master20[[#This Row],[Status]]="Active",Master20[[#This Row],[Status_Score]],IF(D37="","",R37+H37+T37+V37+AG37+AE37+Master20[[#This Row],[Risk Mitigation]]+Master20[[#This Row],[Master Plan]]+Master20[[#This Row],[Community Request]]+Master20[[#This Row],[Community need]]+Master20[[#This Row],[Offset Aging Inf.]]+Master20[[#This Row],[Energy Savings]]+Master20[[#This Row],[Gen Revenue]]-5))</f>
        <v>-100</v>
      </c>
      <c r="AI37" s="310"/>
      <c r="AJ37" s="310"/>
      <c r="AK37" s="310"/>
      <c r="AL37" s="310">
        <v>2022</v>
      </c>
      <c r="AM37" s="310">
        <v>2023</v>
      </c>
      <c r="AN37" s="308" t="s">
        <v>1186</v>
      </c>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c r="UN37" s="48"/>
      <c r="UO37" s="48"/>
      <c r="UP37" s="48"/>
      <c r="UQ37" s="48"/>
      <c r="UR37" s="48"/>
      <c r="US37" s="48"/>
      <c r="UT37" s="48"/>
      <c r="UU37" s="48"/>
      <c r="UV37" s="48"/>
      <c r="UW37" s="48"/>
      <c r="UX37" s="48"/>
      <c r="UY37" s="48"/>
      <c r="UZ37" s="48"/>
      <c r="VA37" s="48"/>
      <c r="VB37" s="48"/>
      <c r="VC37" s="48"/>
      <c r="VD37" s="48"/>
      <c r="VE37" s="48"/>
      <c r="VF37" s="48"/>
      <c r="VG37" s="48"/>
      <c r="VH37" s="48"/>
      <c r="VI37" s="48"/>
      <c r="VJ37" s="48"/>
      <c r="VK37" s="48"/>
      <c r="VL37" s="48"/>
      <c r="VM37" s="48"/>
      <c r="VN37" s="48"/>
      <c r="VO37" s="48"/>
      <c r="VP37" s="48"/>
      <c r="VQ37" s="48"/>
      <c r="VR37" s="48"/>
      <c r="VS37" s="48"/>
      <c r="VT37" s="48"/>
      <c r="VU37" s="48"/>
      <c r="VV37" s="48"/>
      <c r="VW37" s="48"/>
      <c r="VX37" s="48"/>
      <c r="VY37" s="48"/>
      <c r="VZ37" s="48"/>
      <c r="WA37" s="48"/>
      <c r="WB37" s="48"/>
      <c r="WC37" s="48"/>
      <c r="WD37" s="48"/>
      <c r="WE37" s="48"/>
      <c r="WF37" s="48"/>
      <c r="WG37" s="48"/>
      <c r="WH37" s="48"/>
      <c r="WI37" s="48"/>
      <c r="WJ37" s="48"/>
      <c r="WK37" s="48"/>
      <c r="WL37" s="48"/>
      <c r="WM37" s="48"/>
      <c r="WN37" s="48"/>
      <c r="WO37" s="48"/>
      <c r="WP37" s="48"/>
      <c r="WQ37" s="48"/>
      <c r="WR37" s="48"/>
      <c r="WS37" s="48"/>
      <c r="WT37" s="48"/>
      <c r="WU37" s="48"/>
      <c r="WV37" s="48"/>
      <c r="WW37" s="48"/>
      <c r="WX37" s="48"/>
      <c r="WY37" s="48"/>
      <c r="WZ37" s="48"/>
      <c r="XA37" s="48"/>
      <c r="XB37" s="48"/>
      <c r="XC37" s="48"/>
      <c r="XD37" s="48"/>
      <c r="XE37" s="48"/>
      <c r="XF37" s="48"/>
      <c r="XG37" s="48"/>
      <c r="XH37" s="48"/>
      <c r="XI37" s="48"/>
      <c r="XJ37" s="48"/>
      <c r="XK37" s="48"/>
      <c r="XL37" s="48"/>
      <c r="XM37" s="48"/>
      <c r="XN37" s="48"/>
      <c r="XO37" s="48"/>
      <c r="XP37" s="48"/>
      <c r="XQ37" s="48"/>
      <c r="XR37" s="48"/>
      <c r="XS37" s="48"/>
      <c r="XT37" s="48"/>
      <c r="XU37" s="48"/>
      <c r="XV37" s="48"/>
      <c r="XW37" s="48"/>
      <c r="XX37" s="48"/>
      <c r="XY37" s="48"/>
      <c r="XZ37" s="48"/>
      <c r="YA37" s="48"/>
      <c r="YB37" s="48"/>
      <c r="YC37" s="48"/>
      <c r="YD37" s="48"/>
      <c r="YE37" s="48"/>
      <c r="YF37" s="48"/>
      <c r="YG37" s="48"/>
      <c r="YH37" s="48"/>
      <c r="YI37" s="48"/>
      <c r="YJ37" s="48"/>
      <c r="YK37" s="48"/>
      <c r="YL37" s="48"/>
      <c r="YM37" s="48"/>
      <c r="YN37" s="48"/>
      <c r="YO37" s="48"/>
      <c r="YP37" s="48"/>
      <c r="YQ37" s="48"/>
      <c r="YR37" s="48"/>
      <c r="YS37" s="48"/>
      <c r="YT37" s="48"/>
      <c r="YU37" s="48"/>
      <c r="YV37" s="48"/>
      <c r="YW37" s="48"/>
      <c r="YX37" s="48"/>
      <c r="YY37" s="48"/>
      <c r="YZ37" s="48"/>
      <c r="ZA37" s="48"/>
      <c r="ZB37" s="48"/>
      <c r="ZC37" s="48"/>
      <c r="ZD37" s="48"/>
      <c r="ZE37" s="48"/>
      <c r="ZF37" s="48"/>
      <c r="ZG37" s="48"/>
      <c r="ZH37" s="48"/>
      <c r="ZI37" s="48"/>
      <c r="ZJ37" s="48"/>
      <c r="ZK37" s="48"/>
      <c r="ZL37" s="48"/>
      <c r="ZM37" s="48"/>
      <c r="ZN37" s="48"/>
      <c r="ZO37" s="48"/>
      <c r="ZP37" s="48"/>
      <c r="ZQ37" s="48"/>
      <c r="ZR37" s="48"/>
      <c r="ZS37" s="48"/>
      <c r="ZT37" s="48"/>
      <c r="ZU37" s="48"/>
      <c r="ZV37" s="48"/>
      <c r="ZW37" s="48"/>
      <c r="ZX37" s="48"/>
      <c r="ZY37" s="48"/>
      <c r="ZZ37" s="48"/>
      <c r="AAA37" s="48"/>
      <c r="AAB37" s="48"/>
      <c r="AAC37" s="48"/>
      <c r="AAD37" s="48"/>
      <c r="AAE37" s="48"/>
      <c r="AAF37" s="48"/>
      <c r="AAG37" s="48"/>
      <c r="AAH37" s="48"/>
      <c r="AAI37" s="48"/>
      <c r="AAJ37" s="48"/>
      <c r="AAK37" s="48"/>
      <c r="AAL37" s="48"/>
      <c r="AAM37" s="48"/>
      <c r="AAN37" s="48"/>
      <c r="AAO37" s="48"/>
      <c r="AAP37" s="48"/>
      <c r="AAQ37" s="48"/>
      <c r="AAR37" s="48"/>
      <c r="AAS37" s="48"/>
      <c r="AAT37" s="48"/>
      <c r="AAU37" s="48"/>
      <c r="AAV37" s="48"/>
      <c r="AAW37" s="48"/>
      <c r="AAX37" s="48"/>
      <c r="AAY37" s="48"/>
      <c r="AAZ37" s="48"/>
      <c r="ABA37" s="48"/>
      <c r="ABB37" s="48"/>
      <c r="ABC37" s="48"/>
      <c r="ABD37" s="48"/>
      <c r="ABE37" s="48"/>
      <c r="ABF37" s="48"/>
      <c r="ABG37" s="48"/>
      <c r="ABH37" s="48"/>
      <c r="ABI37" s="48"/>
      <c r="ABJ37" s="48"/>
      <c r="ABK37" s="48"/>
      <c r="ABL37" s="48"/>
      <c r="ABM37" s="48"/>
      <c r="ABN37" s="48"/>
      <c r="ABO37" s="48"/>
      <c r="ABP37" s="48"/>
      <c r="ABQ37" s="48"/>
      <c r="ABR37" s="48"/>
      <c r="ABS37" s="48"/>
      <c r="ABT37" s="48"/>
      <c r="ABU37" s="48"/>
      <c r="ABV37" s="48"/>
      <c r="ABW37" s="48"/>
      <c r="ABX37" s="48"/>
      <c r="ABY37" s="48"/>
      <c r="ABZ37" s="48"/>
      <c r="ACA37" s="48"/>
      <c r="ACB37" s="48"/>
      <c r="ACC37" s="48"/>
      <c r="ACD37" s="48"/>
      <c r="ACE37" s="48"/>
      <c r="ACF37" s="48"/>
      <c r="ACG37" s="48"/>
      <c r="ACH37" s="48"/>
      <c r="ACI37" s="48"/>
      <c r="ACJ37" s="48"/>
      <c r="ACK37" s="48"/>
      <c r="ACL37" s="48"/>
      <c r="ACM37" s="48"/>
      <c r="ACN37" s="48"/>
      <c r="ACO37" s="48"/>
      <c r="ACP37" s="48"/>
      <c r="ACQ37" s="48"/>
      <c r="ACR37" s="48"/>
      <c r="ACS37" s="48"/>
      <c r="ACT37" s="48"/>
      <c r="ACU37" s="48"/>
      <c r="ACV37" s="48"/>
      <c r="ACW37" s="48"/>
      <c r="ACX37" s="48"/>
      <c r="ACY37" s="48"/>
      <c r="ACZ37" s="48"/>
      <c r="ADA37" s="48"/>
      <c r="ADB37" s="48"/>
      <c r="ADC37" s="48"/>
      <c r="ADD37" s="48"/>
      <c r="ADE37" s="48"/>
      <c r="ADF37" s="48"/>
      <c r="ADG37" s="48"/>
      <c r="ADH37" s="48"/>
      <c r="ADI37" s="48"/>
      <c r="ADJ37" s="48"/>
      <c r="ADK37" s="48"/>
      <c r="ADL37" s="48"/>
      <c r="ADM37" s="48"/>
      <c r="ADN37" s="48"/>
      <c r="ADO37" s="48"/>
      <c r="ADP37" s="48"/>
      <c r="ADQ37" s="48"/>
      <c r="ADR37" s="48"/>
      <c r="ADS37" s="48"/>
      <c r="ADT37" s="48"/>
      <c r="ADU37" s="48"/>
      <c r="ADV37" s="48"/>
      <c r="ADW37" s="48"/>
      <c r="ADX37" s="48"/>
      <c r="ADY37" s="48"/>
      <c r="ADZ37" s="48"/>
      <c r="AEA37" s="48"/>
      <c r="AEB37" s="48"/>
      <c r="AEC37" s="48"/>
      <c r="AED37" s="48"/>
      <c r="AEE37" s="48"/>
      <c r="AEF37" s="48"/>
      <c r="AEG37" s="48"/>
      <c r="AEH37" s="48"/>
      <c r="AEI37" s="48"/>
      <c r="AEJ37" s="48"/>
      <c r="AEK37" s="48"/>
      <c r="AEL37" s="48"/>
      <c r="AEM37" s="48"/>
      <c r="AEN37" s="48"/>
      <c r="AEO37" s="48"/>
      <c r="AEP37" s="48"/>
      <c r="AEQ37" s="48"/>
      <c r="AER37" s="48"/>
      <c r="AES37" s="48"/>
      <c r="AET37" s="48"/>
      <c r="AEU37" s="48"/>
      <c r="AEV37" s="48"/>
      <c r="AEW37" s="48"/>
      <c r="AEX37" s="48"/>
      <c r="AEY37" s="48"/>
      <c r="AEZ37" s="48"/>
      <c r="AFA37" s="48"/>
      <c r="AFB37" s="48"/>
      <c r="AFC37" s="48"/>
      <c r="AFD37" s="48"/>
      <c r="AFE37" s="48"/>
      <c r="AFF37" s="48"/>
      <c r="AFG37" s="48"/>
      <c r="AFH37" s="48"/>
      <c r="AFI37" s="48"/>
      <c r="AFJ37" s="48"/>
      <c r="AFK37" s="48"/>
      <c r="AFL37" s="48"/>
      <c r="AFM37" s="48"/>
      <c r="AFN37" s="48"/>
      <c r="AFO37" s="48"/>
      <c r="AFP37" s="48"/>
      <c r="AFQ37" s="48"/>
      <c r="AFR37" s="48"/>
      <c r="AFS37" s="48"/>
      <c r="AFT37" s="48"/>
      <c r="AFU37" s="48"/>
      <c r="AFV37" s="48"/>
      <c r="AFW37" s="48"/>
      <c r="AFX37" s="48"/>
      <c r="AFY37" s="48"/>
      <c r="AFZ37" s="48"/>
      <c r="AGA37" s="48"/>
      <c r="AGB37" s="48"/>
      <c r="AGC37" s="48"/>
      <c r="AGD37" s="48"/>
      <c r="AGE37" s="48"/>
      <c r="AGF37" s="48"/>
      <c r="AGG37" s="48"/>
      <c r="AGH37" s="48"/>
      <c r="AGI37" s="48"/>
      <c r="AGJ37" s="48"/>
      <c r="AGK37" s="48"/>
      <c r="AGL37" s="48"/>
      <c r="AGM37" s="48"/>
      <c r="AGN37" s="48"/>
      <c r="AGO37" s="48"/>
      <c r="AGP37" s="48"/>
      <c r="AGQ37" s="48"/>
      <c r="AGR37" s="48"/>
      <c r="AGS37" s="48"/>
      <c r="AGT37" s="48"/>
      <c r="AGU37" s="48"/>
      <c r="AGV37" s="48"/>
      <c r="AGW37" s="48"/>
      <c r="AGX37" s="48"/>
      <c r="AGY37" s="48"/>
      <c r="AGZ37" s="48"/>
      <c r="AHA37" s="48"/>
      <c r="AHB37" s="48"/>
      <c r="AHC37" s="48"/>
      <c r="AHD37" s="48"/>
      <c r="AHE37" s="48"/>
      <c r="AHF37" s="48"/>
      <c r="AHG37" s="48"/>
      <c r="AHH37" s="48"/>
      <c r="AHI37" s="48"/>
      <c r="AHJ37" s="48"/>
      <c r="AHK37" s="48"/>
      <c r="AHL37" s="48"/>
      <c r="AHM37" s="48"/>
      <c r="AHN37" s="48"/>
      <c r="AHO37" s="48"/>
      <c r="AHP37" s="48"/>
      <c r="AHQ37" s="48"/>
      <c r="AHR37" s="48"/>
      <c r="AHS37" s="48"/>
      <c r="AHT37" s="48"/>
      <c r="AHU37" s="48"/>
      <c r="AHV37" s="48"/>
      <c r="AHW37" s="48"/>
      <c r="AHX37" s="48"/>
      <c r="AHY37" s="48"/>
      <c r="AHZ37" s="48"/>
      <c r="AIA37" s="48"/>
      <c r="AIB37" s="48"/>
      <c r="AIC37" s="48"/>
      <c r="AID37" s="48"/>
      <c r="AIE37" s="48"/>
      <c r="AIF37" s="48"/>
      <c r="AIG37" s="48"/>
      <c r="AIH37" s="48"/>
      <c r="AII37" s="48"/>
      <c r="AIJ37" s="48"/>
      <c r="AIK37" s="48"/>
      <c r="AIL37" s="48"/>
      <c r="AIM37" s="48"/>
      <c r="AIN37" s="48"/>
      <c r="AIO37" s="48"/>
      <c r="AIP37" s="48"/>
      <c r="AIQ37" s="48"/>
      <c r="AIR37" s="48"/>
      <c r="AIS37" s="48"/>
      <c r="AIT37" s="48"/>
      <c r="AIU37" s="48"/>
      <c r="AIV37" s="48"/>
      <c r="AIW37" s="48"/>
      <c r="AIX37" s="48"/>
      <c r="AIY37" s="48"/>
      <c r="AIZ37" s="48"/>
      <c r="AJA37" s="48"/>
      <c r="AJB37" s="48"/>
      <c r="AJC37" s="48"/>
      <c r="AJD37" s="48"/>
      <c r="AJE37" s="48"/>
      <c r="AJF37" s="48"/>
      <c r="AJG37" s="48"/>
      <c r="AJH37" s="48"/>
      <c r="AJI37" s="48"/>
      <c r="AJJ37" s="48"/>
      <c r="AJK37" s="48"/>
      <c r="AJL37" s="48"/>
      <c r="AJM37" s="48"/>
      <c r="AJN37" s="48"/>
      <c r="AJO37" s="48"/>
      <c r="AJP37" s="48"/>
      <c r="AJQ37" s="48"/>
      <c r="AJR37" s="48"/>
      <c r="AJS37" s="48"/>
      <c r="AJT37" s="48"/>
      <c r="AJU37" s="48"/>
      <c r="AJV37" s="48"/>
      <c r="AJW37" s="48"/>
      <c r="AJX37" s="48"/>
      <c r="AJY37" s="48"/>
      <c r="AJZ37" s="48"/>
      <c r="AKA37" s="48"/>
      <c r="AKB37" s="48"/>
      <c r="AKC37" s="48"/>
      <c r="AKD37" s="48"/>
      <c r="AKE37" s="48"/>
      <c r="AKF37" s="48"/>
      <c r="AKG37" s="48"/>
      <c r="AKH37" s="48"/>
      <c r="AKI37" s="48"/>
      <c r="AKJ37" s="48"/>
      <c r="AKK37" s="48"/>
      <c r="AKL37" s="48"/>
      <c r="AKM37" s="48"/>
      <c r="AKN37" s="48"/>
      <c r="AKO37" s="48"/>
      <c r="AKP37" s="48"/>
      <c r="AKQ37" s="48"/>
      <c r="AKR37" s="48"/>
      <c r="AKS37" s="48"/>
      <c r="AKT37" s="48"/>
      <c r="AKU37" s="48"/>
      <c r="AKV37" s="48"/>
      <c r="AKW37" s="48"/>
      <c r="AKX37" s="48"/>
      <c r="AKY37" s="48"/>
      <c r="AKZ37" s="48"/>
      <c r="ALA37" s="48"/>
      <c r="ALB37" s="48"/>
      <c r="ALC37" s="48"/>
      <c r="ALD37" s="48"/>
      <c r="ALE37" s="48"/>
      <c r="ALF37" s="48"/>
      <c r="ALG37" s="48"/>
      <c r="ALH37" s="48"/>
      <c r="ALI37" s="48"/>
      <c r="ALJ37" s="48"/>
      <c r="ALK37" s="48"/>
      <c r="ALL37" s="48"/>
      <c r="ALM37" s="48"/>
      <c r="ALN37" s="48"/>
      <c r="ALO37" s="48"/>
      <c r="ALP37" s="48"/>
      <c r="ALQ37" s="48"/>
      <c r="ALR37" s="48"/>
      <c r="ALS37" s="48"/>
      <c r="ALT37" s="48"/>
      <c r="ALU37" s="48"/>
      <c r="ALV37" s="48"/>
      <c r="ALW37" s="48"/>
      <c r="ALX37" s="48"/>
      <c r="ALY37" s="48"/>
      <c r="ALZ37" s="48"/>
      <c r="AMA37" s="48"/>
      <c r="AMB37" s="48"/>
      <c r="AMC37" s="48"/>
      <c r="AMD37" s="48"/>
      <c r="AME37" s="48"/>
      <c r="AMF37" s="48"/>
      <c r="AMG37" s="48"/>
      <c r="AMH37" s="48"/>
      <c r="AMI37" s="48"/>
      <c r="AMJ37" s="48"/>
      <c r="AMK37" s="48"/>
      <c r="AML37" s="48"/>
      <c r="AMM37" s="48"/>
      <c r="AMN37" s="48"/>
      <c r="AMO37" s="48"/>
      <c r="AMP37" s="48"/>
      <c r="AMQ37" s="48"/>
      <c r="AMR37" s="48"/>
      <c r="AMS37" s="48"/>
      <c r="AMT37" s="48"/>
      <c r="AMU37" s="48"/>
      <c r="AMV37" s="48"/>
      <c r="AMW37" s="48"/>
      <c r="AMX37" s="48"/>
      <c r="AMY37" s="48"/>
      <c r="AMZ37" s="48"/>
      <c r="ANA37" s="48"/>
      <c r="ANB37" s="48"/>
      <c r="ANC37" s="48"/>
      <c r="AND37" s="48"/>
      <c r="ANE37" s="48"/>
      <c r="ANF37" s="48"/>
      <c r="ANG37" s="48"/>
      <c r="ANH37" s="48"/>
      <c r="ANI37" s="48"/>
      <c r="ANJ37" s="48"/>
      <c r="ANK37" s="48"/>
      <c r="ANL37" s="48"/>
      <c r="ANM37" s="48"/>
      <c r="ANN37" s="48"/>
      <c r="ANO37" s="48"/>
      <c r="ANP37" s="48"/>
      <c r="ANQ37" s="48"/>
      <c r="ANR37" s="48"/>
      <c r="ANS37" s="48"/>
      <c r="ANT37" s="48"/>
      <c r="ANU37" s="48"/>
      <c r="ANV37" s="48"/>
      <c r="ANW37" s="48"/>
      <c r="ANX37" s="48"/>
      <c r="ANY37" s="48"/>
      <c r="ANZ37" s="48"/>
      <c r="AOA37" s="48"/>
      <c r="AOB37" s="48"/>
      <c r="AOC37" s="48"/>
      <c r="AOD37" s="48"/>
      <c r="AOE37" s="48"/>
      <c r="AOF37" s="48"/>
      <c r="AOG37" s="48"/>
      <c r="AOH37" s="48"/>
      <c r="AOI37" s="48"/>
      <c r="AOJ37" s="48"/>
      <c r="AOK37" s="48"/>
      <c r="AOL37" s="48"/>
      <c r="AOM37" s="48"/>
      <c r="AON37" s="48"/>
      <c r="AOO37" s="48"/>
      <c r="AOP37" s="48"/>
      <c r="AOQ37" s="48"/>
      <c r="AOR37" s="48"/>
      <c r="AOS37" s="48"/>
      <c r="AOT37" s="48"/>
      <c r="AOU37" s="48"/>
      <c r="AOV37" s="48"/>
      <c r="AOW37" s="48"/>
      <c r="AOX37" s="48"/>
      <c r="AOY37" s="48"/>
      <c r="AOZ37" s="48"/>
      <c r="APA37" s="48"/>
      <c r="APB37" s="48"/>
      <c r="APC37" s="48"/>
      <c r="APD37" s="48"/>
      <c r="APE37" s="48"/>
      <c r="APF37" s="48"/>
      <c r="APG37" s="48"/>
      <c r="APH37" s="48"/>
      <c r="API37" s="48"/>
      <c r="APJ37" s="48"/>
      <c r="APK37" s="48"/>
      <c r="APL37" s="48"/>
      <c r="APM37" s="48"/>
      <c r="APN37" s="48"/>
      <c r="APO37" s="48"/>
      <c r="APP37" s="48"/>
      <c r="APQ37" s="48"/>
      <c r="APR37" s="48"/>
      <c r="APS37" s="48"/>
      <c r="APT37" s="48"/>
      <c r="APU37" s="48"/>
      <c r="APV37" s="48"/>
      <c r="APW37" s="48"/>
      <c r="APX37" s="48"/>
      <c r="APY37" s="48"/>
      <c r="APZ37" s="48"/>
      <c r="AQA37" s="48"/>
      <c r="AQB37" s="48"/>
      <c r="AQC37" s="48"/>
      <c r="AQD37" s="48"/>
      <c r="AQE37" s="48"/>
      <c r="AQF37" s="48"/>
      <c r="AQG37" s="48"/>
      <c r="AQH37" s="48"/>
      <c r="AQI37" s="48"/>
      <c r="AQJ37" s="48"/>
      <c r="AQK37" s="48"/>
      <c r="AQL37" s="48"/>
      <c r="AQM37" s="48"/>
      <c r="AQN37" s="48"/>
      <c r="AQO37" s="48"/>
      <c r="AQP37" s="48"/>
      <c r="AQQ37" s="48"/>
      <c r="AQR37" s="48"/>
      <c r="AQS37" s="48"/>
      <c r="AQT37" s="48"/>
      <c r="AQU37" s="48"/>
      <c r="AQV37" s="48"/>
      <c r="AQW37" s="48"/>
      <c r="AQX37" s="48"/>
      <c r="AQY37" s="48"/>
      <c r="AQZ37" s="48"/>
      <c r="ARA37" s="48"/>
      <c r="ARB37" s="48"/>
      <c r="ARC37" s="48"/>
      <c r="ARD37" s="48"/>
      <c r="ARE37" s="48"/>
      <c r="ARF37" s="48"/>
      <c r="ARG37" s="48"/>
      <c r="ARH37" s="48"/>
      <c r="ARI37" s="48"/>
      <c r="ARJ37" s="48"/>
      <c r="ARK37" s="48"/>
      <c r="ARL37" s="48"/>
      <c r="ARM37" s="48"/>
      <c r="ARN37" s="48"/>
      <c r="ARO37" s="48"/>
      <c r="ARP37" s="48"/>
      <c r="ARQ37" s="48"/>
      <c r="ARR37" s="48"/>
      <c r="ARS37" s="48"/>
      <c r="ART37" s="48"/>
      <c r="ARU37" s="48"/>
      <c r="ARV37" s="48"/>
      <c r="ARW37" s="48"/>
      <c r="ARX37" s="48"/>
      <c r="ARY37" s="48"/>
      <c r="ARZ37" s="48"/>
      <c r="ASA37" s="48"/>
      <c r="ASB37" s="48"/>
      <c r="ASC37" s="48"/>
      <c r="ASD37" s="48"/>
      <c r="ASE37" s="48"/>
      <c r="ASF37" s="48"/>
      <c r="ASG37" s="48"/>
      <c r="ASH37" s="48"/>
      <c r="ASI37" s="48"/>
      <c r="ASJ37" s="48"/>
      <c r="ASK37" s="48"/>
      <c r="ASL37" s="48"/>
      <c r="ASM37" s="48"/>
      <c r="ASN37" s="48"/>
      <c r="ASO37" s="48"/>
      <c r="ASP37" s="48"/>
      <c r="ASQ37" s="48"/>
      <c r="ASR37" s="48"/>
      <c r="ASS37" s="48"/>
      <c r="AST37" s="48"/>
      <c r="ASU37" s="48"/>
      <c r="ASV37" s="48"/>
      <c r="ASW37" s="48"/>
      <c r="ASX37" s="48"/>
      <c r="ASY37" s="48"/>
      <c r="ASZ37" s="48"/>
      <c r="ATA37" s="48"/>
      <c r="ATB37" s="48"/>
      <c r="ATC37" s="48"/>
      <c r="ATD37" s="48"/>
      <c r="ATE37" s="48"/>
      <c r="ATF37" s="48"/>
      <c r="ATG37" s="48"/>
      <c r="ATH37" s="48"/>
      <c r="ATI37" s="48"/>
      <c r="ATJ37" s="48"/>
      <c r="ATK37" s="48"/>
      <c r="ATL37" s="48"/>
      <c r="ATM37" s="48"/>
      <c r="ATN37" s="48"/>
      <c r="ATO37" s="48"/>
      <c r="ATP37" s="48"/>
      <c r="ATQ37" s="48"/>
      <c r="ATR37" s="48"/>
      <c r="ATS37" s="48"/>
      <c r="ATT37" s="48"/>
      <c r="ATU37" s="48"/>
      <c r="ATV37" s="48"/>
      <c r="ATW37" s="48"/>
      <c r="ATX37" s="48"/>
      <c r="ATY37" s="48"/>
      <c r="ATZ37" s="48"/>
      <c r="AUA37" s="48"/>
      <c r="AUB37" s="48"/>
      <c r="AUC37" s="48"/>
      <c r="AUD37" s="48"/>
      <c r="AUE37" s="48"/>
      <c r="AUF37" s="48"/>
      <c r="AUG37" s="48"/>
      <c r="AUH37" s="48"/>
      <c r="AUI37" s="48"/>
      <c r="AUJ37" s="48"/>
      <c r="AUK37" s="48"/>
      <c r="AUL37" s="48"/>
      <c r="AUM37" s="48"/>
      <c r="AUN37" s="48"/>
      <c r="AUO37" s="48"/>
      <c r="AUP37" s="48"/>
      <c r="AUQ37" s="48"/>
      <c r="AUR37" s="48"/>
      <c r="AUS37" s="48"/>
      <c r="AUT37" s="48"/>
      <c r="AUU37" s="48"/>
      <c r="AUV37" s="48"/>
      <c r="AUW37" s="48"/>
      <c r="AUX37" s="48"/>
      <c r="AUY37" s="48"/>
      <c r="AUZ37" s="48"/>
      <c r="AVA37" s="48"/>
      <c r="AVB37" s="48"/>
      <c r="AVC37" s="48"/>
      <c r="AVD37" s="48"/>
      <c r="AVE37" s="48"/>
      <c r="AVF37" s="48"/>
      <c r="AVG37" s="48"/>
      <c r="AVH37" s="48"/>
      <c r="AVI37" s="48"/>
      <c r="AVJ37" s="48"/>
      <c r="AVK37" s="48"/>
      <c r="AVL37" s="48"/>
      <c r="AVM37" s="48"/>
      <c r="AVN37" s="48"/>
      <c r="AVO37" s="48"/>
      <c r="AVP37" s="48"/>
      <c r="AVQ37" s="48"/>
      <c r="AVR37" s="48"/>
      <c r="AVS37" s="48"/>
      <c r="AVT37" s="48"/>
      <c r="AVU37" s="48"/>
      <c r="AVV37" s="48"/>
      <c r="AVW37" s="48"/>
      <c r="AVX37" s="48"/>
      <c r="AVY37" s="48"/>
      <c r="AVZ37" s="48"/>
      <c r="AWA37" s="48"/>
      <c r="AWB37" s="48"/>
      <c r="AWC37" s="48"/>
      <c r="AWD37" s="48"/>
      <c r="AWE37" s="48"/>
      <c r="AWF37" s="48"/>
      <c r="AWG37" s="48"/>
      <c r="AWH37" s="48"/>
      <c r="AWI37" s="48"/>
      <c r="AWJ37" s="48"/>
      <c r="AWK37" s="48"/>
      <c r="AWL37" s="48"/>
      <c r="AWM37" s="48"/>
      <c r="AWN37" s="48"/>
      <c r="AWO37" s="48"/>
      <c r="AWP37" s="48"/>
      <c r="AWQ37" s="48"/>
      <c r="AWR37" s="48"/>
      <c r="AWS37" s="48"/>
      <c r="AWT37" s="48"/>
      <c r="AWU37" s="48"/>
      <c r="AWV37" s="48"/>
      <c r="AWW37" s="48"/>
      <c r="AWX37" s="48"/>
      <c r="AWY37" s="48"/>
      <c r="AWZ37" s="48"/>
      <c r="AXA37" s="48"/>
      <c r="AXB37" s="48"/>
      <c r="AXC37" s="48"/>
      <c r="AXD37" s="48"/>
      <c r="AXE37" s="48"/>
      <c r="AXF37" s="48"/>
      <c r="AXG37" s="48"/>
      <c r="AXH37" s="48"/>
      <c r="AXI37" s="48"/>
      <c r="AXJ37" s="48"/>
      <c r="AXK37" s="48"/>
      <c r="AXL37" s="48"/>
      <c r="AXM37" s="48"/>
      <c r="AXN37" s="48"/>
      <c r="AXO37" s="48"/>
      <c r="AXP37" s="48"/>
      <c r="AXQ37" s="48"/>
      <c r="AXR37" s="48"/>
      <c r="AXS37" s="48"/>
      <c r="AXT37" s="48"/>
      <c r="AXU37" s="48"/>
      <c r="AXV37" s="48"/>
      <c r="AXW37" s="48"/>
      <c r="AXX37" s="48"/>
      <c r="AXY37" s="48"/>
      <c r="AXZ37" s="48"/>
      <c r="AYA37" s="48"/>
      <c r="AYB37" s="48"/>
      <c r="AYC37" s="48"/>
      <c r="AYD37" s="48"/>
      <c r="AYE37" s="48"/>
      <c r="AYF37" s="48"/>
      <c r="AYG37" s="48"/>
      <c r="AYH37" s="48"/>
      <c r="AYI37" s="48"/>
      <c r="AYJ37" s="48"/>
      <c r="AYK37" s="48"/>
      <c r="AYL37" s="48"/>
      <c r="AYM37" s="48"/>
      <c r="AYN37" s="48"/>
      <c r="AYO37" s="48"/>
      <c r="AYP37" s="48"/>
      <c r="AYQ37" s="48"/>
      <c r="AYR37" s="48"/>
      <c r="AYS37" s="48"/>
      <c r="AYT37" s="48"/>
      <c r="AYU37" s="48"/>
      <c r="AYV37" s="48"/>
      <c r="AYW37" s="48"/>
      <c r="AYX37" s="48"/>
      <c r="AYY37" s="48"/>
      <c r="AYZ37" s="48"/>
      <c r="AZA37" s="48"/>
      <c r="AZB37" s="48"/>
      <c r="AZC37" s="48"/>
      <c r="AZD37" s="48"/>
      <c r="AZE37" s="48"/>
      <c r="AZF37" s="48"/>
      <c r="AZG37" s="48"/>
      <c r="AZH37" s="48"/>
      <c r="AZI37" s="48"/>
      <c r="AZJ37" s="48"/>
      <c r="AZK37" s="48"/>
      <c r="AZL37" s="48"/>
      <c r="AZM37" s="48"/>
      <c r="AZN37" s="48"/>
      <c r="AZO37" s="48"/>
      <c r="AZP37" s="48"/>
      <c r="AZQ37" s="48"/>
      <c r="AZR37" s="48"/>
      <c r="AZS37" s="48"/>
      <c r="AZT37" s="48"/>
      <c r="AZU37" s="48"/>
      <c r="AZV37" s="48"/>
      <c r="AZW37" s="48"/>
      <c r="AZX37" s="48"/>
      <c r="AZY37" s="48"/>
      <c r="AZZ37" s="48"/>
      <c r="BAA37" s="48"/>
      <c r="BAB37" s="48"/>
      <c r="BAC37" s="48"/>
      <c r="BAD37" s="48"/>
      <c r="BAE37" s="48"/>
      <c r="BAF37" s="48"/>
      <c r="BAG37" s="48"/>
      <c r="BAH37" s="48"/>
      <c r="BAI37" s="48"/>
      <c r="BAJ37" s="48"/>
      <c r="BAK37" s="48"/>
      <c r="BAL37" s="48"/>
      <c r="BAM37" s="48"/>
      <c r="BAN37" s="48"/>
      <c r="BAO37" s="48"/>
      <c r="BAP37" s="48"/>
      <c r="BAQ37" s="48"/>
      <c r="BAR37" s="48"/>
      <c r="BAS37" s="48"/>
      <c r="BAT37" s="48"/>
      <c r="BAU37" s="48"/>
      <c r="BAV37" s="48"/>
      <c r="BAW37" s="48"/>
      <c r="BAX37" s="48"/>
    </row>
    <row r="38" spans="1:1402" ht="45" hidden="1" x14ac:dyDescent="0.25">
      <c r="A38" s="307">
        <f t="shared" si="3"/>
        <v>37</v>
      </c>
      <c r="B38" s="308" t="s">
        <v>94</v>
      </c>
      <c r="C38" s="308" t="s">
        <v>1045</v>
      </c>
      <c r="D38" s="308" t="s">
        <v>1014</v>
      </c>
      <c r="E38" s="308" t="s">
        <v>1015</v>
      </c>
      <c r="F38" s="263" t="s">
        <v>1016</v>
      </c>
      <c r="G38" s="308" t="s">
        <v>598</v>
      </c>
      <c r="H38" s="272">
        <f t="shared" si="6"/>
        <v>-100</v>
      </c>
      <c r="I38" s="263"/>
      <c r="J38" s="263"/>
      <c r="K38" s="263">
        <f>Master20[[#This Row],[Initial Budget]]-Master20[[#This Row],[Previously Committed Funds]]</f>
        <v>0</v>
      </c>
      <c r="L38" s="263"/>
      <c r="M38" s="263"/>
      <c r="N38" s="268">
        <f>Master20[[#This Row],[Design $ (Add/Deduct)]]+Master20[[#This Row],[Construction $ (Add/Ded)]]</f>
        <v>0</v>
      </c>
      <c r="O38" s="266">
        <v>12500000</v>
      </c>
      <c r="P38" s="311">
        <v>2019</v>
      </c>
      <c r="Q38" s="308" t="s">
        <v>36</v>
      </c>
      <c r="R38" s="311">
        <f t="shared" si="7"/>
        <v>10</v>
      </c>
      <c r="S38" s="309">
        <v>2</v>
      </c>
      <c r="T38" s="310">
        <f t="shared" si="8"/>
        <v>6</v>
      </c>
      <c r="U38" s="309" t="s">
        <v>41</v>
      </c>
      <c r="V38" s="310">
        <f t="shared" si="9"/>
        <v>4</v>
      </c>
      <c r="W38" s="310" t="s">
        <v>30</v>
      </c>
      <c r="X38" s="310">
        <v>0</v>
      </c>
      <c r="Y38" s="310">
        <v>-1</v>
      </c>
      <c r="Z38" s="310">
        <v>-3</v>
      </c>
      <c r="AA38" s="310">
        <v>0</v>
      </c>
      <c r="AB38" s="310">
        <v>-2</v>
      </c>
      <c r="AC38" s="310">
        <v>-5</v>
      </c>
      <c r="AD38" s="310">
        <v>-1</v>
      </c>
      <c r="AE38" s="310"/>
      <c r="AF38" s="309" t="s">
        <v>29</v>
      </c>
      <c r="AG38" s="311">
        <f>VLOOKUP(Master20[[#This Row],[Elevated Priority]],Epriority,2,)</f>
        <v>0</v>
      </c>
      <c r="AH38" s="321">
        <f>IF(Master20[[#This Row],[Status]]="Active",Master20[[#This Row],[Status_Score]],IF(D38="","",R38+H38+T38+V38+AG38+AE38+Master20[[#This Row],[Risk Mitigation]]+Master20[[#This Row],[Master Plan]]+Master20[[#This Row],[Community Request]]+Master20[[#This Row],[Community need]]+Master20[[#This Row],[Offset Aging Inf.]]+Master20[[#This Row],[Energy Savings]]+Master20[[#This Row],[Gen Revenue]]-5))</f>
        <v>-100</v>
      </c>
      <c r="AI38" s="310" t="s">
        <v>716</v>
      </c>
      <c r="AJ38" s="310">
        <v>2021</v>
      </c>
      <c r="AK38" s="310">
        <v>2023</v>
      </c>
      <c r="AL38" s="310">
        <v>2021</v>
      </c>
      <c r="AM38" s="310">
        <v>2024</v>
      </c>
      <c r="AN38" s="308" t="s">
        <v>1187</v>
      </c>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48"/>
      <c r="NW38" s="48"/>
      <c r="NX38" s="48"/>
      <c r="NY38" s="48"/>
      <c r="NZ38" s="48"/>
      <c r="OA38" s="48"/>
      <c r="OB38" s="48"/>
      <c r="OC38" s="48"/>
      <c r="OD38" s="48"/>
      <c r="OE38" s="48"/>
      <c r="OF38" s="48"/>
      <c r="OG38" s="48"/>
      <c r="OH38" s="48"/>
      <c r="OI38" s="48"/>
      <c r="OJ38" s="48"/>
      <c r="OK38" s="48"/>
      <c r="OL38" s="48"/>
      <c r="OM38" s="48"/>
      <c r="ON38" s="48"/>
      <c r="OO38" s="48"/>
      <c r="OP38" s="48"/>
      <c r="OQ38" s="48"/>
      <c r="OR38" s="48"/>
      <c r="OS38" s="48"/>
      <c r="OT38" s="48"/>
      <c r="OU38" s="48"/>
      <c r="OV38" s="48"/>
      <c r="OW38" s="48"/>
      <c r="OX38" s="48"/>
      <c r="OY38" s="48"/>
      <c r="OZ38" s="48"/>
      <c r="PA38" s="48"/>
      <c r="PB38" s="48"/>
      <c r="PC38" s="48"/>
      <c r="PD38" s="48"/>
      <c r="PE38" s="48"/>
      <c r="PF38" s="48"/>
      <c r="PG38" s="48"/>
      <c r="PH38" s="48"/>
      <c r="PI38" s="48"/>
      <c r="PJ38" s="48"/>
      <c r="PK38" s="48"/>
      <c r="PL38" s="48"/>
      <c r="PM38" s="48"/>
      <c r="PN38" s="48"/>
      <c r="PO38" s="48"/>
      <c r="PP38" s="48"/>
      <c r="PQ38" s="48"/>
      <c r="PR38" s="48"/>
      <c r="PS38" s="48"/>
      <c r="PT38" s="48"/>
      <c r="PU38" s="48"/>
      <c r="PV38" s="48"/>
      <c r="PW38" s="48"/>
      <c r="PX38" s="48"/>
      <c r="PY38" s="48"/>
      <c r="PZ38" s="48"/>
      <c r="QA38" s="48"/>
      <c r="QB38" s="48"/>
      <c r="QC38" s="48"/>
      <c r="QD38" s="48"/>
      <c r="QE38" s="48"/>
      <c r="QF38" s="48"/>
      <c r="QG38" s="48"/>
      <c r="QH38" s="48"/>
      <c r="QI38" s="48"/>
      <c r="QJ38" s="48"/>
      <c r="QK38" s="48"/>
      <c r="QL38" s="48"/>
      <c r="QM38" s="48"/>
      <c r="QN38" s="48"/>
      <c r="QO38" s="48"/>
      <c r="QP38" s="48"/>
      <c r="QQ38" s="48"/>
      <c r="QR38" s="48"/>
      <c r="QS38" s="48"/>
      <c r="QT38" s="48"/>
      <c r="QU38" s="48"/>
      <c r="QV38" s="48"/>
      <c r="QW38" s="48"/>
      <c r="QX38" s="48"/>
      <c r="QY38" s="48"/>
      <c r="QZ38" s="48"/>
      <c r="RA38" s="48"/>
      <c r="RB38" s="48"/>
      <c r="RC38" s="48"/>
      <c r="RD38" s="48"/>
      <c r="RE38" s="48"/>
      <c r="RF38" s="48"/>
      <c r="RG38" s="48"/>
      <c r="RH38" s="48"/>
      <c r="RI38" s="48"/>
      <c r="RJ38" s="48"/>
      <c r="RK38" s="48"/>
      <c r="RL38" s="48"/>
      <c r="RM38" s="48"/>
      <c r="RN38" s="48"/>
      <c r="RO38" s="48"/>
      <c r="RP38" s="48"/>
      <c r="RQ38" s="48"/>
      <c r="RR38" s="48"/>
      <c r="RS38" s="48"/>
      <c r="RT38" s="48"/>
      <c r="RU38" s="48"/>
      <c r="RV38" s="48"/>
      <c r="RW38" s="48"/>
      <c r="RX38" s="48"/>
      <c r="RY38" s="48"/>
      <c r="RZ38" s="48"/>
      <c r="SA38" s="48"/>
      <c r="SB38" s="48"/>
      <c r="SC38" s="48"/>
      <c r="SD38" s="48"/>
      <c r="SE38" s="48"/>
      <c r="SF38" s="48"/>
      <c r="SG38" s="48"/>
      <c r="SH38" s="48"/>
      <c r="SI38" s="48"/>
      <c r="SJ38" s="48"/>
      <c r="SK38" s="48"/>
      <c r="SL38" s="48"/>
      <c r="SM38" s="48"/>
      <c r="SN38" s="48"/>
      <c r="SO38" s="48"/>
      <c r="SP38" s="48"/>
      <c r="SQ38" s="48"/>
      <c r="SR38" s="48"/>
      <c r="SS38" s="48"/>
      <c r="ST38" s="48"/>
      <c r="SU38" s="48"/>
      <c r="SV38" s="48"/>
      <c r="SW38" s="48"/>
      <c r="SX38" s="48"/>
      <c r="SY38" s="48"/>
      <c r="SZ38" s="48"/>
      <c r="TA38" s="48"/>
      <c r="TB38" s="48"/>
      <c r="TC38" s="48"/>
      <c r="TD38" s="48"/>
      <c r="TE38" s="48"/>
      <c r="TF38" s="48"/>
      <c r="TG38" s="48"/>
      <c r="TH38" s="48"/>
      <c r="TI38" s="48"/>
      <c r="TJ38" s="48"/>
      <c r="TK38" s="48"/>
      <c r="TL38" s="48"/>
      <c r="TM38" s="48"/>
      <c r="TN38" s="48"/>
      <c r="TO38" s="48"/>
      <c r="TP38" s="48"/>
      <c r="TQ38" s="48"/>
      <c r="TR38" s="48"/>
      <c r="TS38" s="48"/>
      <c r="TT38" s="48"/>
      <c r="TU38" s="48"/>
      <c r="TV38" s="48"/>
      <c r="TW38" s="48"/>
      <c r="TX38" s="48"/>
      <c r="TY38" s="48"/>
      <c r="TZ38" s="48"/>
      <c r="UA38" s="48"/>
      <c r="UB38" s="48"/>
      <c r="UC38" s="48"/>
      <c r="UD38" s="48"/>
      <c r="UE38" s="48"/>
      <c r="UF38" s="48"/>
      <c r="UG38" s="48"/>
      <c r="UH38" s="48"/>
      <c r="UI38" s="48"/>
      <c r="UJ38" s="48"/>
      <c r="UK38" s="48"/>
      <c r="UL38" s="48"/>
      <c r="UM38" s="48"/>
      <c r="UN38" s="48"/>
      <c r="UO38" s="48"/>
      <c r="UP38" s="48"/>
      <c r="UQ38" s="48"/>
      <c r="UR38" s="48"/>
      <c r="US38" s="48"/>
      <c r="UT38" s="48"/>
      <c r="UU38" s="48"/>
      <c r="UV38" s="48"/>
      <c r="UW38" s="48"/>
      <c r="UX38" s="48"/>
      <c r="UY38" s="48"/>
      <c r="UZ38" s="48"/>
      <c r="VA38" s="48"/>
      <c r="VB38" s="48"/>
      <c r="VC38" s="48"/>
      <c r="VD38" s="48"/>
      <c r="VE38" s="48"/>
      <c r="VF38" s="48"/>
      <c r="VG38" s="48"/>
      <c r="VH38" s="48"/>
      <c r="VI38" s="48"/>
      <c r="VJ38" s="48"/>
      <c r="VK38" s="48"/>
      <c r="VL38" s="48"/>
      <c r="VM38" s="48"/>
      <c r="VN38" s="48"/>
      <c r="VO38" s="48"/>
      <c r="VP38" s="48"/>
      <c r="VQ38" s="48"/>
      <c r="VR38" s="48"/>
      <c r="VS38" s="48"/>
      <c r="VT38" s="48"/>
      <c r="VU38" s="48"/>
      <c r="VV38" s="48"/>
      <c r="VW38" s="48"/>
      <c r="VX38" s="48"/>
      <c r="VY38" s="48"/>
      <c r="VZ38" s="48"/>
      <c r="WA38" s="48"/>
      <c r="WB38" s="48"/>
      <c r="WC38" s="48"/>
      <c r="WD38" s="48"/>
      <c r="WE38" s="48"/>
      <c r="WF38" s="48"/>
      <c r="WG38" s="48"/>
      <c r="WH38" s="48"/>
      <c r="WI38" s="48"/>
      <c r="WJ38" s="48"/>
      <c r="WK38" s="48"/>
      <c r="WL38" s="48"/>
      <c r="WM38" s="48"/>
      <c r="WN38" s="48"/>
      <c r="WO38" s="48"/>
      <c r="WP38" s="48"/>
      <c r="WQ38" s="48"/>
      <c r="WR38" s="48"/>
      <c r="WS38" s="48"/>
      <c r="WT38" s="48"/>
      <c r="WU38" s="48"/>
      <c r="WV38" s="48"/>
      <c r="WW38" s="48"/>
      <c r="WX38" s="48"/>
      <c r="WY38" s="48"/>
      <c r="WZ38" s="48"/>
      <c r="XA38" s="48"/>
      <c r="XB38" s="48"/>
      <c r="XC38" s="48"/>
      <c r="XD38" s="48"/>
      <c r="XE38" s="48"/>
      <c r="XF38" s="48"/>
      <c r="XG38" s="48"/>
      <c r="XH38" s="48"/>
      <c r="XI38" s="48"/>
      <c r="XJ38" s="48"/>
      <c r="XK38" s="48"/>
      <c r="XL38" s="48"/>
      <c r="XM38" s="48"/>
      <c r="XN38" s="48"/>
      <c r="XO38" s="48"/>
      <c r="XP38" s="48"/>
      <c r="XQ38" s="48"/>
      <c r="XR38" s="48"/>
      <c r="XS38" s="48"/>
      <c r="XT38" s="48"/>
      <c r="XU38" s="48"/>
      <c r="XV38" s="48"/>
      <c r="XW38" s="48"/>
      <c r="XX38" s="48"/>
      <c r="XY38" s="48"/>
      <c r="XZ38" s="48"/>
      <c r="YA38" s="48"/>
      <c r="YB38" s="48"/>
      <c r="YC38" s="48"/>
      <c r="YD38" s="48"/>
      <c r="YE38" s="48"/>
      <c r="YF38" s="48"/>
      <c r="YG38" s="48"/>
      <c r="YH38" s="48"/>
      <c r="YI38" s="48"/>
      <c r="YJ38" s="48"/>
      <c r="YK38" s="48"/>
      <c r="YL38" s="48"/>
      <c r="YM38" s="48"/>
      <c r="YN38" s="48"/>
      <c r="YO38" s="48"/>
      <c r="YP38" s="48"/>
      <c r="YQ38" s="48"/>
      <c r="YR38" s="48"/>
      <c r="YS38" s="48"/>
      <c r="YT38" s="48"/>
      <c r="YU38" s="48"/>
      <c r="YV38" s="48"/>
      <c r="YW38" s="48"/>
      <c r="YX38" s="48"/>
      <c r="YY38" s="48"/>
      <c r="YZ38" s="48"/>
      <c r="ZA38" s="48"/>
      <c r="ZB38" s="48"/>
      <c r="ZC38" s="48"/>
      <c r="ZD38" s="48"/>
      <c r="ZE38" s="48"/>
      <c r="ZF38" s="48"/>
      <c r="ZG38" s="48"/>
      <c r="ZH38" s="48"/>
      <c r="ZI38" s="48"/>
      <c r="ZJ38" s="48"/>
      <c r="ZK38" s="48"/>
      <c r="ZL38" s="48"/>
      <c r="ZM38" s="48"/>
      <c r="ZN38" s="48"/>
      <c r="ZO38" s="48"/>
      <c r="ZP38" s="48"/>
      <c r="ZQ38" s="48"/>
      <c r="ZR38" s="48"/>
      <c r="ZS38" s="48"/>
      <c r="ZT38" s="48"/>
      <c r="ZU38" s="48"/>
      <c r="ZV38" s="48"/>
      <c r="ZW38" s="48"/>
      <c r="ZX38" s="48"/>
      <c r="ZY38" s="48"/>
      <c r="ZZ38" s="48"/>
      <c r="AAA38" s="48"/>
      <c r="AAB38" s="48"/>
      <c r="AAC38" s="48"/>
      <c r="AAD38" s="48"/>
      <c r="AAE38" s="48"/>
      <c r="AAF38" s="48"/>
      <c r="AAG38" s="48"/>
      <c r="AAH38" s="48"/>
      <c r="AAI38" s="48"/>
      <c r="AAJ38" s="48"/>
      <c r="AAK38" s="48"/>
      <c r="AAL38" s="48"/>
      <c r="AAM38" s="48"/>
      <c r="AAN38" s="48"/>
      <c r="AAO38" s="48"/>
      <c r="AAP38" s="48"/>
      <c r="AAQ38" s="48"/>
      <c r="AAR38" s="48"/>
      <c r="AAS38" s="48"/>
      <c r="AAT38" s="48"/>
      <c r="AAU38" s="48"/>
      <c r="AAV38" s="48"/>
      <c r="AAW38" s="48"/>
      <c r="AAX38" s="48"/>
      <c r="AAY38" s="48"/>
      <c r="AAZ38" s="48"/>
      <c r="ABA38" s="48"/>
      <c r="ABB38" s="48"/>
      <c r="ABC38" s="48"/>
      <c r="ABD38" s="48"/>
      <c r="ABE38" s="48"/>
      <c r="ABF38" s="48"/>
      <c r="ABG38" s="48"/>
      <c r="ABH38" s="48"/>
      <c r="ABI38" s="48"/>
      <c r="ABJ38" s="48"/>
      <c r="ABK38" s="48"/>
      <c r="ABL38" s="48"/>
      <c r="ABM38" s="48"/>
      <c r="ABN38" s="48"/>
      <c r="ABO38" s="48"/>
      <c r="ABP38" s="48"/>
      <c r="ABQ38" s="48"/>
      <c r="ABR38" s="48"/>
      <c r="ABS38" s="48"/>
      <c r="ABT38" s="48"/>
      <c r="ABU38" s="48"/>
      <c r="ABV38" s="48"/>
      <c r="ABW38" s="48"/>
      <c r="ABX38" s="48"/>
      <c r="ABY38" s="48"/>
      <c r="ABZ38" s="48"/>
      <c r="ACA38" s="48"/>
      <c r="ACB38" s="48"/>
      <c r="ACC38" s="48"/>
      <c r="ACD38" s="48"/>
      <c r="ACE38" s="48"/>
      <c r="ACF38" s="48"/>
      <c r="ACG38" s="48"/>
      <c r="ACH38" s="48"/>
      <c r="ACI38" s="48"/>
      <c r="ACJ38" s="48"/>
      <c r="ACK38" s="48"/>
      <c r="ACL38" s="48"/>
      <c r="ACM38" s="48"/>
      <c r="ACN38" s="48"/>
      <c r="ACO38" s="48"/>
      <c r="ACP38" s="48"/>
      <c r="ACQ38" s="48"/>
      <c r="ACR38" s="48"/>
      <c r="ACS38" s="48"/>
      <c r="ACT38" s="48"/>
      <c r="ACU38" s="48"/>
      <c r="ACV38" s="48"/>
      <c r="ACW38" s="48"/>
      <c r="ACX38" s="48"/>
      <c r="ACY38" s="48"/>
      <c r="ACZ38" s="48"/>
      <c r="ADA38" s="48"/>
      <c r="ADB38" s="48"/>
      <c r="ADC38" s="48"/>
      <c r="ADD38" s="48"/>
      <c r="ADE38" s="48"/>
      <c r="ADF38" s="48"/>
      <c r="ADG38" s="48"/>
      <c r="ADH38" s="48"/>
      <c r="ADI38" s="48"/>
      <c r="ADJ38" s="48"/>
      <c r="ADK38" s="48"/>
      <c r="ADL38" s="48"/>
      <c r="ADM38" s="48"/>
      <c r="ADN38" s="48"/>
      <c r="ADO38" s="48"/>
      <c r="ADP38" s="48"/>
      <c r="ADQ38" s="48"/>
      <c r="ADR38" s="48"/>
      <c r="ADS38" s="48"/>
      <c r="ADT38" s="48"/>
      <c r="ADU38" s="48"/>
      <c r="ADV38" s="48"/>
      <c r="ADW38" s="48"/>
      <c r="ADX38" s="48"/>
      <c r="ADY38" s="48"/>
      <c r="ADZ38" s="48"/>
      <c r="AEA38" s="48"/>
      <c r="AEB38" s="48"/>
      <c r="AEC38" s="48"/>
      <c r="AED38" s="48"/>
      <c r="AEE38" s="48"/>
      <c r="AEF38" s="48"/>
      <c r="AEG38" s="48"/>
      <c r="AEH38" s="48"/>
      <c r="AEI38" s="48"/>
      <c r="AEJ38" s="48"/>
      <c r="AEK38" s="48"/>
      <c r="AEL38" s="48"/>
      <c r="AEM38" s="48"/>
      <c r="AEN38" s="48"/>
      <c r="AEO38" s="48"/>
      <c r="AEP38" s="48"/>
      <c r="AEQ38" s="48"/>
      <c r="AER38" s="48"/>
      <c r="AES38" s="48"/>
      <c r="AET38" s="48"/>
      <c r="AEU38" s="48"/>
      <c r="AEV38" s="48"/>
      <c r="AEW38" s="48"/>
      <c r="AEX38" s="48"/>
      <c r="AEY38" s="48"/>
      <c r="AEZ38" s="48"/>
      <c r="AFA38" s="48"/>
      <c r="AFB38" s="48"/>
      <c r="AFC38" s="48"/>
      <c r="AFD38" s="48"/>
      <c r="AFE38" s="48"/>
      <c r="AFF38" s="48"/>
      <c r="AFG38" s="48"/>
      <c r="AFH38" s="48"/>
      <c r="AFI38" s="48"/>
      <c r="AFJ38" s="48"/>
      <c r="AFK38" s="48"/>
      <c r="AFL38" s="48"/>
      <c r="AFM38" s="48"/>
      <c r="AFN38" s="48"/>
      <c r="AFO38" s="48"/>
      <c r="AFP38" s="48"/>
      <c r="AFQ38" s="48"/>
      <c r="AFR38" s="48"/>
      <c r="AFS38" s="48"/>
      <c r="AFT38" s="48"/>
      <c r="AFU38" s="48"/>
      <c r="AFV38" s="48"/>
      <c r="AFW38" s="48"/>
      <c r="AFX38" s="48"/>
      <c r="AFY38" s="48"/>
      <c r="AFZ38" s="48"/>
      <c r="AGA38" s="48"/>
      <c r="AGB38" s="48"/>
      <c r="AGC38" s="48"/>
      <c r="AGD38" s="48"/>
      <c r="AGE38" s="48"/>
      <c r="AGF38" s="48"/>
      <c r="AGG38" s="48"/>
      <c r="AGH38" s="48"/>
      <c r="AGI38" s="48"/>
      <c r="AGJ38" s="48"/>
      <c r="AGK38" s="48"/>
      <c r="AGL38" s="48"/>
      <c r="AGM38" s="48"/>
      <c r="AGN38" s="48"/>
      <c r="AGO38" s="48"/>
      <c r="AGP38" s="48"/>
      <c r="AGQ38" s="48"/>
      <c r="AGR38" s="48"/>
      <c r="AGS38" s="48"/>
      <c r="AGT38" s="48"/>
      <c r="AGU38" s="48"/>
      <c r="AGV38" s="48"/>
      <c r="AGW38" s="48"/>
      <c r="AGX38" s="48"/>
      <c r="AGY38" s="48"/>
      <c r="AGZ38" s="48"/>
      <c r="AHA38" s="48"/>
      <c r="AHB38" s="48"/>
      <c r="AHC38" s="48"/>
      <c r="AHD38" s="48"/>
      <c r="AHE38" s="48"/>
      <c r="AHF38" s="48"/>
      <c r="AHG38" s="48"/>
      <c r="AHH38" s="48"/>
      <c r="AHI38" s="48"/>
      <c r="AHJ38" s="48"/>
      <c r="AHK38" s="48"/>
      <c r="AHL38" s="48"/>
      <c r="AHM38" s="48"/>
      <c r="AHN38" s="48"/>
      <c r="AHO38" s="48"/>
      <c r="AHP38" s="48"/>
      <c r="AHQ38" s="48"/>
      <c r="AHR38" s="48"/>
      <c r="AHS38" s="48"/>
      <c r="AHT38" s="48"/>
      <c r="AHU38" s="48"/>
      <c r="AHV38" s="48"/>
      <c r="AHW38" s="48"/>
      <c r="AHX38" s="48"/>
      <c r="AHY38" s="48"/>
      <c r="AHZ38" s="48"/>
      <c r="AIA38" s="48"/>
      <c r="AIB38" s="48"/>
      <c r="AIC38" s="48"/>
      <c r="AID38" s="48"/>
      <c r="AIE38" s="48"/>
      <c r="AIF38" s="48"/>
      <c r="AIG38" s="48"/>
      <c r="AIH38" s="48"/>
      <c r="AII38" s="48"/>
      <c r="AIJ38" s="48"/>
      <c r="AIK38" s="48"/>
      <c r="AIL38" s="48"/>
      <c r="AIM38" s="48"/>
      <c r="AIN38" s="48"/>
      <c r="AIO38" s="48"/>
      <c r="AIP38" s="48"/>
      <c r="AIQ38" s="48"/>
      <c r="AIR38" s="48"/>
      <c r="AIS38" s="48"/>
      <c r="AIT38" s="48"/>
      <c r="AIU38" s="48"/>
      <c r="AIV38" s="48"/>
      <c r="AIW38" s="48"/>
      <c r="AIX38" s="48"/>
      <c r="AIY38" s="48"/>
      <c r="AIZ38" s="48"/>
      <c r="AJA38" s="48"/>
      <c r="AJB38" s="48"/>
      <c r="AJC38" s="48"/>
      <c r="AJD38" s="48"/>
      <c r="AJE38" s="48"/>
      <c r="AJF38" s="48"/>
      <c r="AJG38" s="48"/>
      <c r="AJH38" s="48"/>
      <c r="AJI38" s="48"/>
      <c r="AJJ38" s="48"/>
      <c r="AJK38" s="48"/>
      <c r="AJL38" s="48"/>
      <c r="AJM38" s="48"/>
      <c r="AJN38" s="48"/>
      <c r="AJO38" s="48"/>
      <c r="AJP38" s="48"/>
      <c r="AJQ38" s="48"/>
      <c r="AJR38" s="48"/>
      <c r="AJS38" s="48"/>
      <c r="AJT38" s="48"/>
      <c r="AJU38" s="48"/>
      <c r="AJV38" s="48"/>
      <c r="AJW38" s="48"/>
      <c r="AJX38" s="48"/>
      <c r="AJY38" s="48"/>
      <c r="AJZ38" s="48"/>
      <c r="AKA38" s="48"/>
      <c r="AKB38" s="48"/>
      <c r="AKC38" s="48"/>
      <c r="AKD38" s="48"/>
      <c r="AKE38" s="48"/>
      <c r="AKF38" s="48"/>
      <c r="AKG38" s="48"/>
      <c r="AKH38" s="48"/>
      <c r="AKI38" s="48"/>
      <c r="AKJ38" s="48"/>
      <c r="AKK38" s="48"/>
      <c r="AKL38" s="48"/>
      <c r="AKM38" s="48"/>
      <c r="AKN38" s="48"/>
      <c r="AKO38" s="48"/>
      <c r="AKP38" s="48"/>
      <c r="AKQ38" s="48"/>
      <c r="AKR38" s="48"/>
      <c r="AKS38" s="48"/>
      <c r="AKT38" s="48"/>
      <c r="AKU38" s="48"/>
      <c r="AKV38" s="48"/>
      <c r="AKW38" s="48"/>
      <c r="AKX38" s="48"/>
      <c r="AKY38" s="48"/>
      <c r="AKZ38" s="48"/>
      <c r="ALA38" s="48"/>
      <c r="ALB38" s="48"/>
      <c r="ALC38" s="48"/>
      <c r="ALD38" s="48"/>
      <c r="ALE38" s="48"/>
      <c r="ALF38" s="48"/>
      <c r="ALG38" s="48"/>
      <c r="ALH38" s="48"/>
      <c r="ALI38" s="48"/>
      <c r="ALJ38" s="48"/>
      <c r="ALK38" s="48"/>
      <c r="ALL38" s="48"/>
      <c r="ALM38" s="48"/>
      <c r="ALN38" s="48"/>
      <c r="ALO38" s="48"/>
      <c r="ALP38" s="48"/>
      <c r="ALQ38" s="48"/>
      <c r="ALR38" s="48"/>
      <c r="ALS38" s="48"/>
      <c r="ALT38" s="48"/>
      <c r="ALU38" s="48"/>
      <c r="ALV38" s="48"/>
      <c r="ALW38" s="48"/>
      <c r="ALX38" s="48"/>
      <c r="ALY38" s="48"/>
      <c r="ALZ38" s="48"/>
      <c r="AMA38" s="48"/>
      <c r="AMB38" s="48"/>
      <c r="AMC38" s="48"/>
      <c r="AMD38" s="48"/>
      <c r="AME38" s="48"/>
      <c r="AMF38" s="48"/>
      <c r="AMG38" s="48"/>
      <c r="AMH38" s="48"/>
      <c r="AMI38" s="48"/>
      <c r="AMJ38" s="48"/>
      <c r="AMK38" s="48"/>
      <c r="AML38" s="48"/>
      <c r="AMM38" s="48"/>
      <c r="AMN38" s="48"/>
      <c r="AMO38" s="48"/>
      <c r="AMP38" s="48"/>
      <c r="AMQ38" s="48"/>
      <c r="AMR38" s="48"/>
      <c r="AMS38" s="48"/>
      <c r="AMT38" s="48"/>
      <c r="AMU38" s="48"/>
      <c r="AMV38" s="48"/>
      <c r="AMW38" s="48"/>
      <c r="AMX38" s="48"/>
      <c r="AMY38" s="48"/>
      <c r="AMZ38" s="48"/>
      <c r="ANA38" s="48"/>
      <c r="ANB38" s="48"/>
      <c r="ANC38" s="48"/>
      <c r="AND38" s="48"/>
      <c r="ANE38" s="48"/>
      <c r="ANF38" s="48"/>
      <c r="ANG38" s="48"/>
      <c r="ANH38" s="48"/>
      <c r="ANI38" s="48"/>
      <c r="ANJ38" s="48"/>
      <c r="ANK38" s="48"/>
      <c r="ANL38" s="48"/>
      <c r="ANM38" s="48"/>
      <c r="ANN38" s="48"/>
      <c r="ANO38" s="48"/>
      <c r="ANP38" s="48"/>
      <c r="ANQ38" s="48"/>
      <c r="ANR38" s="48"/>
      <c r="ANS38" s="48"/>
      <c r="ANT38" s="48"/>
      <c r="ANU38" s="48"/>
      <c r="ANV38" s="48"/>
      <c r="ANW38" s="48"/>
      <c r="ANX38" s="48"/>
      <c r="ANY38" s="48"/>
      <c r="ANZ38" s="48"/>
      <c r="AOA38" s="48"/>
      <c r="AOB38" s="48"/>
      <c r="AOC38" s="48"/>
      <c r="AOD38" s="48"/>
      <c r="AOE38" s="48"/>
      <c r="AOF38" s="48"/>
      <c r="AOG38" s="48"/>
      <c r="AOH38" s="48"/>
      <c r="AOI38" s="48"/>
      <c r="AOJ38" s="48"/>
      <c r="AOK38" s="48"/>
      <c r="AOL38" s="48"/>
      <c r="AOM38" s="48"/>
      <c r="AON38" s="48"/>
      <c r="AOO38" s="48"/>
      <c r="AOP38" s="48"/>
      <c r="AOQ38" s="48"/>
      <c r="AOR38" s="48"/>
      <c r="AOS38" s="48"/>
      <c r="AOT38" s="48"/>
      <c r="AOU38" s="48"/>
      <c r="AOV38" s="48"/>
      <c r="AOW38" s="48"/>
      <c r="AOX38" s="48"/>
      <c r="AOY38" s="48"/>
      <c r="AOZ38" s="48"/>
      <c r="APA38" s="48"/>
      <c r="APB38" s="48"/>
      <c r="APC38" s="48"/>
      <c r="APD38" s="48"/>
      <c r="APE38" s="48"/>
      <c r="APF38" s="48"/>
      <c r="APG38" s="48"/>
      <c r="APH38" s="48"/>
      <c r="API38" s="48"/>
      <c r="APJ38" s="48"/>
      <c r="APK38" s="48"/>
      <c r="APL38" s="48"/>
      <c r="APM38" s="48"/>
      <c r="APN38" s="48"/>
      <c r="APO38" s="48"/>
      <c r="APP38" s="48"/>
      <c r="APQ38" s="48"/>
      <c r="APR38" s="48"/>
      <c r="APS38" s="48"/>
      <c r="APT38" s="48"/>
      <c r="APU38" s="48"/>
      <c r="APV38" s="48"/>
      <c r="APW38" s="48"/>
      <c r="APX38" s="48"/>
      <c r="APY38" s="48"/>
      <c r="APZ38" s="48"/>
      <c r="AQA38" s="48"/>
      <c r="AQB38" s="48"/>
      <c r="AQC38" s="48"/>
      <c r="AQD38" s="48"/>
      <c r="AQE38" s="48"/>
      <c r="AQF38" s="48"/>
      <c r="AQG38" s="48"/>
      <c r="AQH38" s="48"/>
      <c r="AQI38" s="48"/>
      <c r="AQJ38" s="48"/>
      <c r="AQK38" s="48"/>
      <c r="AQL38" s="48"/>
      <c r="AQM38" s="48"/>
      <c r="AQN38" s="48"/>
      <c r="AQO38" s="48"/>
      <c r="AQP38" s="48"/>
      <c r="AQQ38" s="48"/>
      <c r="AQR38" s="48"/>
      <c r="AQS38" s="48"/>
      <c r="AQT38" s="48"/>
      <c r="AQU38" s="48"/>
      <c r="AQV38" s="48"/>
      <c r="AQW38" s="48"/>
      <c r="AQX38" s="48"/>
      <c r="AQY38" s="48"/>
      <c r="AQZ38" s="48"/>
      <c r="ARA38" s="48"/>
      <c r="ARB38" s="48"/>
      <c r="ARC38" s="48"/>
      <c r="ARD38" s="48"/>
      <c r="ARE38" s="48"/>
      <c r="ARF38" s="48"/>
      <c r="ARG38" s="48"/>
      <c r="ARH38" s="48"/>
      <c r="ARI38" s="48"/>
      <c r="ARJ38" s="48"/>
      <c r="ARK38" s="48"/>
      <c r="ARL38" s="48"/>
      <c r="ARM38" s="48"/>
      <c r="ARN38" s="48"/>
      <c r="ARO38" s="48"/>
      <c r="ARP38" s="48"/>
      <c r="ARQ38" s="48"/>
      <c r="ARR38" s="48"/>
      <c r="ARS38" s="48"/>
      <c r="ART38" s="48"/>
      <c r="ARU38" s="48"/>
      <c r="ARV38" s="48"/>
      <c r="ARW38" s="48"/>
      <c r="ARX38" s="48"/>
      <c r="ARY38" s="48"/>
      <c r="ARZ38" s="48"/>
      <c r="ASA38" s="48"/>
      <c r="ASB38" s="48"/>
      <c r="ASC38" s="48"/>
      <c r="ASD38" s="48"/>
      <c r="ASE38" s="48"/>
      <c r="ASF38" s="48"/>
      <c r="ASG38" s="48"/>
      <c r="ASH38" s="48"/>
      <c r="ASI38" s="48"/>
      <c r="ASJ38" s="48"/>
      <c r="ASK38" s="48"/>
      <c r="ASL38" s="48"/>
      <c r="ASM38" s="48"/>
      <c r="ASN38" s="48"/>
      <c r="ASO38" s="48"/>
      <c r="ASP38" s="48"/>
      <c r="ASQ38" s="48"/>
      <c r="ASR38" s="48"/>
      <c r="ASS38" s="48"/>
      <c r="AST38" s="48"/>
      <c r="ASU38" s="48"/>
      <c r="ASV38" s="48"/>
      <c r="ASW38" s="48"/>
      <c r="ASX38" s="48"/>
      <c r="ASY38" s="48"/>
      <c r="ASZ38" s="48"/>
      <c r="ATA38" s="48"/>
      <c r="ATB38" s="48"/>
      <c r="ATC38" s="48"/>
      <c r="ATD38" s="48"/>
      <c r="ATE38" s="48"/>
      <c r="ATF38" s="48"/>
      <c r="ATG38" s="48"/>
      <c r="ATH38" s="48"/>
      <c r="ATI38" s="48"/>
      <c r="ATJ38" s="48"/>
      <c r="ATK38" s="48"/>
      <c r="ATL38" s="48"/>
      <c r="ATM38" s="48"/>
      <c r="ATN38" s="48"/>
      <c r="ATO38" s="48"/>
      <c r="ATP38" s="48"/>
      <c r="ATQ38" s="48"/>
      <c r="ATR38" s="48"/>
      <c r="ATS38" s="48"/>
      <c r="ATT38" s="48"/>
      <c r="ATU38" s="48"/>
      <c r="ATV38" s="48"/>
      <c r="ATW38" s="48"/>
      <c r="ATX38" s="48"/>
      <c r="ATY38" s="48"/>
      <c r="ATZ38" s="48"/>
      <c r="AUA38" s="48"/>
      <c r="AUB38" s="48"/>
      <c r="AUC38" s="48"/>
      <c r="AUD38" s="48"/>
      <c r="AUE38" s="48"/>
      <c r="AUF38" s="48"/>
      <c r="AUG38" s="48"/>
      <c r="AUH38" s="48"/>
      <c r="AUI38" s="48"/>
      <c r="AUJ38" s="48"/>
      <c r="AUK38" s="48"/>
      <c r="AUL38" s="48"/>
      <c r="AUM38" s="48"/>
      <c r="AUN38" s="48"/>
      <c r="AUO38" s="48"/>
      <c r="AUP38" s="48"/>
      <c r="AUQ38" s="48"/>
      <c r="AUR38" s="48"/>
      <c r="AUS38" s="48"/>
      <c r="AUT38" s="48"/>
      <c r="AUU38" s="48"/>
      <c r="AUV38" s="48"/>
      <c r="AUW38" s="48"/>
      <c r="AUX38" s="48"/>
      <c r="AUY38" s="48"/>
      <c r="AUZ38" s="48"/>
      <c r="AVA38" s="48"/>
      <c r="AVB38" s="48"/>
      <c r="AVC38" s="48"/>
      <c r="AVD38" s="48"/>
      <c r="AVE38" s="48"/>
      <c r="AVF38" s="48"/>
      <c r="AVG38" s="48"/>
      <c r="AVH38" s="48"/>
      <c r="AVI38" s="48"/>
      <c r="AVJ38" s="48"/>
      <c r="AVK38" s="48"/>
      <c r="AVL38" s="48"/>
      <c r="AVM38" s="48"/>
      <c r="AVN38" s="48"/>
      <c r="AVO38" s="48"/>
      <c r="AVP38" s="48"/>
      <c r="AVQ38" s="48"/>
      <c r="AVR38" s="48"/>
      <c r="AVS38" s="48"/>
      <c r="AVT38" s="48"/>
      <c r="AVU38" s="48"/>
      <c r="AVV38" s="48"/>
      <c r="AVW38" s="48"/>
      <c r="AVX38" s="48"/>
      <c r="AVY38" s="48"/>
      <c r="AVZ38" s="48"/>
      <c r="AWA38" s="48"/>
      <c r="AWB38" s="48"/>
      <c r="AWC38" s="48"/>
      <c r="AWD38" s="48"/>
      <c r="AWE38" s="48"/>
      <c r="AWF38" s="48"/>
      <c r="AWG38" s="48"/>
      <c r="AWH38" s="48"/>
      <c r="AWI38" s="48"/>
      <c r="AWJ38" s="48"/>
      <c r="AWK38" s="48"/>
      <c r="AWL38" s="48"/>
      <c r="AWM38" s="48"/>
      <c r="AWN38" s="48"/>
      <c r="AWO38" s="48"/>
      <c r="AWP38" s="48"/>
      <c r="AWQ38" s="48"/>
      <c r="AWR38" s="48"/>
      <c r="AWS38" s="48"/>
      <c r="AWT38" s="48"/>
      <c r="AWU38" s="48"/>
      <c r="AWV38" s="48"/>
      <c r="AWW38" s="48"/>
      <c r="AWX38" s="48"/>
      <c r="AWY38" s="48"/>
      <c r="AWZ38" s="48"/>
      <c r="AXA38" s="48"/>
      <c r="AXB38" s="48"/>
      <c r="AXC38" s="48"/>
      <c r="AXD38" s="48"/>
      <c r="AXE38" s="48"/>
      <c r="AXF38" s="48"/>
      <c r="AXG38" s="48"/>
      <c r="AXH38" s="48"/>
      <c r="AXI38" s="48"/>
      <c r="AXJ38" s="48"/>
      <c r="AXK38" s="48"/>
      <c r="AXL38" s="48"/>
      <c r="AXM38" s="48"/>
      <c r="AXN38" s="48"/>
      <c r="AXO38" s="48"/>
      <c r="AXP38" s="48"/>
      <c r="AXQ38" s="48"/>
      <c r="AXR38" s="48"/>
      <c r="AXS38" s="48"/>
      <c r="AXT38" s="48"/>
      <c r="AXU38" s="48"/>
      <c r="AXV38" s="48"/>
      <c r="AXW38" s="48"/>
      <c r="AXX38" s="48"/>
      <c r="AXY38" s="48"/>
      <c r="AXZ38" s="48"/>
      <c r="AYA38" s="48"/>
      <c r="AYB38" s="48"/>
      <c r="AYC38" s="48"/>
      <c r="AYD38" s="48"/>
      <c r="AYE38" s="48"/>
      <c r="AYF38" s="48"/>
      <c r="AYG38" s="48"/>
      <c r="AYH38" s="48"/>
      <c r="AYI38" s="48"/>
      <c r="AYJ38" s="48"/>
      <c r="AYK38" s="48"/>
      <c r="AYL38" s="48"/>
      <c r="AYM38" s="48"/>
      <c r="AYN38" s="48"/>
      <c r="AYO38" s="48"/>
      <c r="AYP38" s="48"/>
      <c r="AYQ38" s="48"/>
      <c r="AYR38" s="48"/>
      <c r="AYS38" s="48"/>
      <c r="AYT38" s="48"/>
      <c r="AYU38" s="48"/>
      <c r="AYV38" s="48"/>
      <c r="AYW38" s="48"/>
      <c r="AYX38" s="48"/>
      <c r="AYY38" s="48"/>
      <c r="AYZ38" s="48"/>
      <c r="AZA38" s="48"/>
      <c r="AZB38" s="48"/>
      <c r="AZC38" s="48"/>
      <c r="AZD38" s="48"/>
      <c r="AZE38" s="48"/>
      <c r="AZF38" s="48"/>
      <c r="AZG38" s="48"/>
      <c r="AZH38" s="48"/>
      <c r="AZI38" s="48"/>
      <c r="AZJ38" s="48"/>
      <c r="AZK38" s="48"/>
      <c r="AZL38" s="48"/>
      <c r="AZM38" s="48"/>
      <c r="AZN38" s="48"/>
      <c r="AZO38" s="48"/>
      <c r="AZP38" s="48"/>
      <c r="AZQ38" s="48"/>
      <c r="AZR38" s="48"/>
      <c r="AZS38" s="48"/>
      <c r="AZT38" s="48"/>
      <c r="AZU38" s="48"/>
      <c r="AZV38" s="48"/>
      <c r="AZW38" s="48"/>
      <c r="AZX38" s="48"/>
      <c r="AZY38" s="48"/>
      <c r="AZZ38" s="48"/>
      <c r="BAA38" s="48"/>
      <c r="BAB38" s="48"/>
      <c r="BAC38" s="48"/>
      <c r="BAD38" s="48"/>
      <c r="BAE38" s="48"/>
      <c r="BAF38" s="48"/>
      <c r="BAG38" s="48"/>
      <c r="BAH38" s="48"/>
      <c r="BAI38" s="48"/>
      <c r="BAJ38" s="48"/>
      <c r="BAK38" s="48"/>
      <c r="BAL38" s="48"/>
      <c r="BAM38" s="48"/>
      <c r="BAN38" s="48"/>
      <c r="BAO38" s="48"/>
      <c r="BAP38" s="48"/>
      <c r="BAQ38" s="48"/>
      <c r="BAR38" s="48"/>
      <c r="BAS38" s="48"/>
      <c r="BAT38" s="48"/>
      <c r="BAU38" s="48"/>
      <c r="BAV38" s="48"/>
      <c r="BAW38" s="48"/>
      <c r="BAX38" s="48"/>
    </row>
    <row r="39" spans="1:1402" ht="45" hidden="1" x14ac:dyDescent="0.25">
      <c r="A39" s="307">
        <f t="shared" si="3"/>
        <v>38</v>
      </c>
      <c r="B39" s="308" t="s">
        <v>65</v>
      </c>
      <c r="C39" s="308" t="s">
        <v>1045</v>
      </c>
      <c r="D39" s="358" t="s">
        <v>966</v>
      </c>
      <c r="E39" s="308" t="s">
        <v>967</v>
      </c>
      <c r="F39" s="308" t="s">
        <v>968</v>
      </c>
      <c r="G39" s="308" t="s">
        <v>598</v>
      </c>
      <c r="H39" s="272">
        <f t="shared" si="6"/>
        <v>-100</v>
      </c>
      <c r="I39" s="263"/>
      <c r="J39" s="263"/>
      <c r="K39" s="263">
        <f>Master20[[#This Row],[Initial Budget]]-Master20[[#This Row],[Previously Committed Funds]]</f>
        <v>0</v>
      </c>
      <c r="L39" s="263">
        <v>100000</v>
      </c>
      <c r="M39" s="263">
        <v>250000</v>
      </c>
      <c r="N39" s="268">
        <f>Master20[[#This Row],[Design $ (Add/Deduct)]]+Master20[[#This Row],[Construction $ (Add/Ded)]]</f>
        <v>350000</v>
      </c>
      <c r="O39" s="223">
        <v>350000</v>
      </c>
      <c r="P39" s="311">
        <v>2020</v>
      </c>
      <c r="Q39" s="308" t="s">
        <v>36</v>
      </c>
      <c r="R39" s="311">
        <f t="shared" si="7"/>
        <v>10</v>
      </c>
      <c r="S39" s="310">
        <v>1</v>
      </c>
      <c r="T39" s="310">
        <f t="shared" si="8"/>
        <v>3</v>
      </c>
      <c r="U39" s="309" t="s">
        <v>41</v>
      </c>
      <c r="V39" s="310">
        <f t="shared" si="9"/>
        <v>4</v>
      </c>
      <c r="W39" s="310" t="s">
        <v>30</v>
      </c>
      <c r="X39" s="310">
        <v>0</v>
      </c>
      <c r="Y39" s="310">
        <v>0</v>
      </c>
      <c r="Z39" s="310">
        <v>0</v>
      </c>
      <c r="AA39" s="310">
        <v>0</v>
      </c>
      <c r="AB39" s="310">
        <v>0</v>
      </c>
      <c r="AC39" s="310">
        <v>0</v>
      </c>
      <c r="AD39" s="310">
        <v>0</v>
      </c>
      <c r="AE39" s="310"/>
      <c r="AF39" s="309" t="s">
        <v>29</v>
      </c>
      <c r="AG39" s="311">
        <f>VLOOKUP(Master20[[#This Row],[Elevated Priority]],Epriority,2,)</f>
        <v>0</v>
      </c>
      <c r="AH39" s="321">
        <f>IF(Master20[[#This Row],[Status]]="Active",Master20[[#This Row],[Status_Score]],IF(D39="","",R39+H39+T39+V39+AG39+AE39+Master20[[#This Row],[Risk Mitigation]]+Master20[[#This Row],[Master Plan]]+Master20[[#This Row],[Community Request]]+Master20[[#This Row],[Community need]]+Master20[[#This Row],[Offset Aging Inf.]]+Master20[[#This Row],[Energy Savings]]+Master20[[#This Row],[Gen Revenue]]-5))</f>
        <v>-100</v>
      </c>
      <c r="AI39" s="310" t="s">
        <v>1044</v>
      </c>
      <c r="AJ39" s="310">
        <v>2021</v>
      </c>
      <c r="AK39" s="310">
        <v>2022</v>
      </c>
      <c r="AL39" s="310">
        <v>2022</v>
      </c>
      <c r="AM39" s="310">
        <v>2022</v>
      </c>
      <c r="AN39" s="30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8"/>
      <c r="OX39" s="48"/>
      <c r="OY39" s="48"/>
      <c r="OZ39" s="48"/>
      <c r="PA39" s="48"/>
      <c r="PB39" s="48"/>
      <c r="PC39" s="48"/>
      <c r="PD39" s="48"/>
      <c r="PE39" s="48"/>
      <c r="PF39" s="48"/>
      <c r="PG39" s="48"/>
      <c r="PH39" s="48"/>
      <c r="PI39" s="48"/>
      <c r="PJ39" s="48"/>
      <c r="PK39" s="48"/>
      <c r="PL39" s="48"/>
      <c r="PM39" s="48"/>
      <c r="PN39" s="48"/>
      <c r="PO39" s="48"/>
      <c r="PP39" s="48"/>
      <c r="PQ39" s="48"/>
      <c r="PR39" s="48"/>
      <c r="PS39" s="48"/>
      <c r="PT39" s="48"/>
      <c r="PU39" s="48"/>
      <c r="PV39" s="48"/>
      <c r="PW39" s="48"/>
      <c r="PX39" s="48"/>
      <c r="PY39" s="48"/>
      <c r="PZ39" s="48"/>
      <c r="QA39" s="48"/>
      <c r="QB39" s="48"/>
      <c r="QC39" s="48"/>
      <c r="QD39" s="48"/>
      <c r="QE39" s="48"/>
      <c r="QF39" s="48"/>
      <c r="QG39" s="48"/>
      <c r="QH39" s="48"/>
      <c r="QI39" s="48"/>
      <c r="QJ39" s="48"/>
      <c r="QK39" s="48"/>
      <c r="QL39" s="48"/>
      <c r="QM39" s="48"/>
      <c r="QN39" s="48"/>
      <c r="QO39" s="48"/>
      <c r="QP39" s="48"/>
      <c r="QQ39" s="48"/>
      <c r="QR39" s="48"/>
      <c r="QS39" s="48"/>
      <c r="QT39" s="48"/>
      <c r="QU39" s="48"/>
      <c r="QV39" s="48"/>
      <c r="QW39" s="48"/>
      <c r="QX39" s="48"/>
      <c r="QY39" s="48"/>
      <c r="QZ39" s="48"/>
      <c r="RA39" s="48"/>
      <c r="RB39" s="48"/>
      <c r="RC39" s="48"/>
      <c r="RD39" s="48"/>
      <c r="RE39" s="48"/>
      <c r="RF39" s="48"/>
      <c r="RG39" s="48"/>
      <c r="RH39" s="48"/>
      <c r="RI39" s="48"/>
      <c r="RJ39" s="48"/>
      <c r="RK39" s="48"/>
      <c r="RL39" s="48"/>
      <c r="RM39" s="48"/>
      <c r="RN39" s="48"/>
      <c r="RO39" s="48"/>
      <c r="RP39" s="48"/>
      <c r="RQ39" s="48"/>
      <c r="RR39" s="48"/>
      <c r="RS39" s="48"/>
      <c r="RT39" s="48"/>
      <c r="RU39" s="48"/>
      <c r="RV39" s="48"/>
      <c r="RW39" s="48"/>
      <c r="RX39" s="48"/>
      <c r="RY39" s="48"/>
      <c r="RZ39" s="48"/>
      <c r="SA39" s="48"/>
      <c r="SB39" s="48"/>
      <c r="SC39" s="48"/>
      <c r="SD39" s="48"/>
      <c r="SE39" s="48"/>
      <c r="SF39" s="48"/>
      <c r="SG39" s="48"/>
      <c r="SH39" s="48"/>
      <c r="SI39" s="48"/>
      <c r="SJ39" s="48"/>
      <c r="SK39" s="48"/>
      <c r="SL39" s="48"/>
      <c r="SM39" s="48"/>
      <c r="SN39" s="48"/>
      <c r="SO39" s="48"/>
      <c r="SP39" s="48"/>
      <c r="SQ39" s="48"/>
      <c r="SR39" s="48"/>
      <c r="SS39" s="48"/>
      <c r="ST39" s="48"/>
      <c r="SU39" s="48"/>
      <c r="SV39" s="48"/>
      <c r="SW39" s="48"/>
      <c r="SX39" s="48"/>
      <c r="SY39" s="48"/>
      <c r="SZ39" s="48"/>
      <c r="TA39" s="48"/>
      <c r="TB39" s="48"/>
      <c r="TC39" s="48"/>
      <c r="TD39" s="48"/>
      <c r="TE39" s="48"/>
      <c r="TF39" s="48"/>
      <c r="TG39" s="48"/>
      <c r="TH39" s="48"/>
      <c r="TI39" s="48"/>
      <c r="TJ39" s="48"/>
      <c r="TK39" s="48"/>
      <c r="TL39" s="48"/>
      <c r="TM39" s="48"/>
      <c r="TN39" s="48"/>
      <c r="TO39" s="48"/>
      <c r="TP39" s="48"/>
      <c r="TQ39" s="48"/>
      <c r="TR39" s="48"/>
      <c r="TS39" s="48"/>
      <c r="TT39" s="48"/>
      <c r="TU39" s="48"/>
      <c r="TV39" s="48"/>
      <c r="TW39" s="48"/>
      <c r="TX39" s="48"/>
      <c r="TY39" s="48"/>
      <c r="TZ39" s="48"/>
      <c r="UA39" s="48"/>
      <c r="UB39" s="48"/>
      <c r="UC39" s="48"/>
      <c r="UD39" s="48"/>
      <c r="UE39" s="48"/>
      <c r="UF39" s="48"/>
      <c r="UG39" s="48"/>
      <c r="UH39" s="48"/>
      <c r="UI39" s="48"/>
      <c r="UJ39" s="48"/>
      <c r="UK39" s="48"/>
      <c r="UL39" s="48"/>
      <c r="UM39" s="48"/>
      <c r="UN39" s="48"/>
      <c r="UO39" s="48"/>
      <c r="UP39" s="48"/>
      <c r="UQ39" s="48"/>
      <c r="UR39" s="48"/>
      <c r="US39" s="48"/>
      <c r="UT39" s="48"/>
      <c r="UU39" s="48"/>
      <c r="UV39" s="48"/>
      <c r="UW39" s="48"/>
      <c r="UX39" s="48"/>
      <c r="UY39" s="48"/>
      <c r="UZ39" s="48"/>
      <c r="VA39" s="48"/>
      <c r="VB39" s="48"/>
      <c r="VC39" s="48"/>
      <c r="VD39" s="48"/>
      <c r="VE39" s="48"/>
      <c r="VF39" s="48"/>
      <c r="VG39" s="48"/>
      <c r="VH39" s="48"/>
      <c r="VI39" s="48"/>
      <c r="VJ39" s="48"/>
      <c r="VK39" s="48"/>
      <c r="VL39" s="48"/>
      <c r="VM39" s="48"/>
      <c r="VN39" s="48"/>
      <c r="VO39" s="48"/>
      <c r="VP39" s="48"/>
      <c r="VQ39" s="48"/>
      <c r="VR39" s="48"/>
      <c r="VS39" s="48"/>
      <c r="VT39" s="48"/>
      <c r="VU39" s="48"/>
      <c r="VV39" s="48"/>
      <c r="VW39" s="48"/>
      <c r="VX39" s="48"/>
      <c r="VY39" s="48"/>
      <c r="VZ39" s="48"/>
      <c r="WA39" s="48"/>
      <c r="WB39" s="48"/>
      <c r="WC39" s="48"/>
      <c r="WD39" s="48"/>
      <c r="WE39" s="48"/>
      <c r="WF39" s="48"/>
      <c r="WG39" s="48"/>
      <c r="WH39" s="48"/>
      <c r="WI39" s="48"/>
      <c r="WJ39" s="48"/>
      <c r="WK39" s="48"/>
      <c r="WL39" s="48"/>
      <c r="WM39" s="48"/>
      <c r="WN39" s="48"/>
      <c r="WO39" s="48"/>
      <c r="WP39" s="48"/>
      <c r="WQ39" s="48"/>
      <c r="WR39" s="48"/>
      <c r="WS39" s="48"/>
      <c r="WT39" s="48"/>
      <c r="WU39" s="48"/>
      <c r="WV39" s="48"/>
      <c r="WW39" s="48"/>
      <c r="WX39" s="48"/>
      <c r="WY39" s="48"/>
      <c r="WZ39" s="48"/>
      <c r="XA39" s="48"/>
      <c r="XB39" s="48"/>
      <c r="XC39" s="48"/>
      <c r="XD39" s="48"/>
      <c r="XE39" s="48"/>
      <c r="XF39" s="48"/>
      <c r="XG39" s="48"/>
      <c r="XH39" s="48"/>
      <c r="XI39" s="48"/>
      <c r="XJ39" s="48"/>
      <c r="XK39" s="48"/>
      <c r="XL39" s="48"/>
      <c r="XM39" s="48"/>
      <c r="XN39" s="48"/>
      <c r="XO39" s="48"/>
      <c r="XP39" s="48"/>
      <c r="XQ39" s="48"/>
      <c r="XR39" s="48"/>
      <c r="XS39" s="48"/>
      <c r="XT39" s="48"/>
      <c r="XU39" s="48"/>
      <c r="XV39" s="48"/>
      <c r="XW39" s="48"/>
      <c r="XX39" s="48"/>
      <c r="XY39" s="48"/>
      <c r="XZ39" s="48"/>
      <c r="YA39" s="48"/>
      <c r="YB39" s="48"/>
      <c r="YC39" s="48"/>
      <c r="YD39" s="48"/>
      <c r="YE39" s="48"/>
      <c r="YF39" s="48"/>
      <c r="YG39" s="48"/>
      <c r="YH39" s="48"/>
      <c r="YI39" s="48"/>
      <c r="YJ39" s="48"/>
      <c r="YK39" s="48"/>
      <c r="YL39" s="48"/>
      <c r="YM39" s="48"/>
      <c r="YN39" s="48"/>
      <c r="YO39" s="48"/>
      <c r="YP39" s="48"/>
      <c r="YQ39" s="48"/>
      <c r="YR39" s="48"/>
      <c r="YS39" s="48"/>
      <c r="YT39" s="48"/>
      <c r="YU39" s="48"/>
      <c r="YV39" s="48"/>
      <c r="YW39" s="48"/>
      <c r="YX39" s="48"/>
      <c r="YY39" s="48"/>
      <c r="YZ39" s="48"/>
      <c r="ZA39" s="48"/>
      <c r="ZB39" s="48"/>
      <c r="ZC39" s="48"/>
      <c r="ZD39" s="48"/>
      <c r="ZE39" s="48"/>
      <c r="ZF39" s="48"/>
      <c r="ZG39" s="48"/>
      <c r="ZH39" s="48"/>
      <c r="ZI39" s="48"/>
      <c r="ZJ39" s="48"/>
      <c r="ZK39" s="48"/>
      <c r="ZL39" s="48"/>
      <c r="ZM39" s="48"/>
      <c r="ZN39" s="48"/>
      <c r="ZO39" s="48"/>
      <c r="ZP39" s="48"/>
      <c r="ZQ39" s="48"/>
      <c r="ZR39" s="48"/>
      <c r="ZS39" s="48"/>
      <c r="ZT39" s="48"/>
      <c r="ZU39" s="48"/>
      <c r="ZV39" s="48"/>
      <c r="ZW39" s="48"/>
      <c r="ZX39" s="48"/>
      <c r="ZY39" s="48"/>
      <c r="ZZ39" s="48"/>
      <c r="AAA39" s="48"/>
      <c r="AAB39" s="48"/>
      <c r="AAC39" s="48"/>
      <c r="AAD39" s="48"/>
      <c r="AAE39" s="48"/>
      <c r="AAF39" s="48"/>
      <c r="AAG39" s="48"/>
      <c r="AAH39" s="48"/>
      <c r="AAI39" s="48"/>
      <c r="AAJ39" s="48"/>
      <c r="AAK39" s="48"/>
      <c r="AAL39" s="48"/>
      <c r="AAM39" s="48"/>
      <c r="AAN39" s="48"/>
      <c r="AAO39" s="48"/>
      <c r="AAP39" s="48"/>
      <c r="AAQ39" s="48"/>
      <c r="AAR39" s="48"/>
      <c r="AAS39" s="48"/>
      <c r="AAT39" s="48"/>
      <c r="AAU39" s="48"/>
      <c r="AAV39" s="48"/>
      <c r="AAW39" s="48"/>
      <c r="AAX39" s="48"/>
      <c r="AAY39" s="48"/>
      <c r="AAZ39" s="48"/>
      <c r="ABA39" s="48"/>
      <c r="ABB39" s="48"/>
      <c r="ABC39" s="48"/>
      <c r="ABD39" s="48"/>
      <c r="ABE39" s="48"/>
      <c r="ABF39" s="48"/>
      <c r="ABG39" s="48"/>
      <c r="ABH39" s="48"/>
      <c r="ABI39" s="48"/>
      <c r="ABJ39" s="48"/>
      <c r="ABK39" s="48"/>
      <c r="ABL39" s="48"/>
      <c r="ABM39" s="48"/>
      <c r="ABN39" s="48"/>
      <c r="ABO39" s="48"/>
      <c r="ABP39" s="48"/>
      <c r="ABQ39" s="48"/>
      <c r="ABR39" s="48"/>
      <c r="ABS39" s="48"/>
      <c r="ABT39" s="48"/>
      <c r="ABU39" s="48"/>
      <c r="ABV39" s="48"/>
      <c r="ABW39" s="48"/>
      <c r="ABX39" s="48"/>
      <c r="ABY39" s="48"/>
      <c r="ABZ39" s="48"/>
      <c r="ACA39" s="48"/>
      <c r="ACB39" s="48"/>
      <c r="ACC39" s="48"/>
      <c r="ACD39" s="48"/>
      <c r="ACE39" s="48"/>
      <c r="ACF39" s="48"/>
      <c r="ACG39" s="48"/>
      <c r="ACH39" s="48"/>
      <c r="ACI39" s="48"/>
      <c r="ACJ39" s="48"/>
      <c r="ACK39" s="48"/>
      <c r="ACL39" s="48"/>
      <c r="ACM39" s="48"/>
      <c r="ACN39" s="48"/>
      <c r="ACO39" s="48"/>
      <c r="ACP39" s="48"/>
      <c r="ACQ39" s="48"/>
      <c r="ACR39" s="48"/>
      <c r="ACS39" s="48"/>
      <c r="ACT39" s="48"/>
      <c r="ACU39" s="48"/>
      <c r="ACV39" s="48"/>
      <c r="ACW39" s="48"/>
      <c r="ACX39" s="48"/>
      <c r="ACY39" s="48"/>
      <c r="ACZ39" s="48"/>
      <c r="ADA39" s="48"/>
      <c r="ADB39" s="48"/>
      <c r="ADC39" s="48"/>
      <c r="ADD39" s="48"/>
      <c r="ADE39" s="48"/>
      <c r="ADF39" s="48"/>
      <c r="ADG39" s="48"/>
      <c r="ADH39" s="48"/>
      <c r="ADI39" s="48"/>
      <c r="ADJ39" s="48"/>
      <c r="ADK39" s="48"/>
      <c r="ADL39" s="48"/>
      <c r="ADM39" s="48"/>
      <c r="ADN39" s="48"/>
      <c r="ADO39" s="48"/>
      <c r="ADP39" s="48"/>
      <c r="ADQ39" s="48"/>
      <c r="ADR39" s="48"/>
      <c r="ADS39" s="48"/>
      <c r="ADT39" s="48"/>
      <c r="ADU39" s="48"/>
      <c r="ADV39" s="48"/>
      <c r="ADW39" s="48"/>
      <c r="ADX39" s="48"/>
      <c r="ADY39" s="48"/>
      <c r="ADZ39" s="48"/>
      <c r="AEA39" s="48"/>
      <c r="AEB39" s="48"/>
      <c r="AEC39" s="48"/>
      <c r="AED39" s="48"/>
      <c r="AEE39" s="48"/>
      <c r="AEF39" s="48"/>
      <c r="AEG39" s="48"/>
      <c r="AEH39" s="48"/>
      <c r="AEI39" s="48"/>
      <c r="AEJ39" s="48"/>
      <c r="AEK39" s="48"/>
      <c r="AEL39" s="48"/>
      <c r="AEM39" s="48"/>
      <c r="AEN39" s="48"/>
      <c r="AEO39" s="48"/>
      <c r="AEP39" s="48"/>
      <c r="AEQ39" s="48"/>
      <c r="AER39" s="48"/>
      <c r="AES39" s="48"/>
      <c r="AET39" s="48"/>
      <c r="AEU39" s="48"/>
      <c r="AEV39" s="48"/>
      <c r="AEW39" s="48"/>
      <c r="AEX39" s="48"/>
      <c r="AEY39" s="48"/>
      <c r="AEZ39" s="48"/>
      <c r="AFA39" s="48"/>
      <c r="AFB39" s="48"/>
      <c r="AFC39" s="48"/>
      <c r="AFD39" s="48"/>
      <c r="AFE39" s="48"/>
      <c r="AFF39" s="48"/>
      <c r="AFG39" s="48"/>
      <c r="AFH39" s="48"/>
      <c r="AFI39" s="48"/>
      <c r="AFJ39" s="48"/>
      <c r="AFK39" s="48"/>
      <c r="AFL39" s="48"/>
      <c r="AFM39" s="48"/>
      <c r="AFN39" s="48"/>
      <c r="AFO39" s="48"/>
      <c r="AFP39" s="48"/>
      <c r="AFQ39" s="48"/>
      <c r="AFR39" s="48"/>
      <c r="AFS39" s="48"/>
      <c r="AFT39" s="48"/>
      <c r="AFU39" s="48"/>
      <c r="AFV39" s="48"/>
      <c r="AFW39" s="48"/>
      <c r="AFX39" s="48"/>
      <c r="AFY39" s="48"/>
      <c r="AFZ39" s="48"/>
      <c r="AGA39" s="48"/>
      <c r="AGB39" s="48"/>
      <c r="AGC39" s="48"/>
      <c r="AGD39" s="48"/>
      <c r="AGE39" s="48"/>
      <c r="AGF39" s="48"/>
      <c r="AGG39" s="48"/>
      <c r="AGH39" s="48"/>
      <c r="AGI39" s="48"/>
      <c r="AGJ39" s="48"/>
      <c r="AGK39" s="48"/>
      <c r="AGL39" s="48"/>
      <c r="AGM39" s="48"/>
      <c r="AGN39" s="48"/>
      <c r="AGO39" s="48"/>
      <c r="AGP39" s="48"/>
      <c r="AGQ39" s="48"/>
      <c r="AGR39" s="48"/>
      <c r="AGS39" s="48"/>
      <c r="AGT39" s="48"/>
      <c r="AGU39" s="48"/>
      <c r="AGV39" s="48"/>
      <c r="AGW39" s="48"/>
      <c r="AGX39" s="48"/>
      <c r="AGY39" s="48"/>
      <c r="AGZ39" s="48"/>
      <c r="AHA39" s="48"/>
      <c r="AHB39" s="48"/>
      <c r="AHC39" s="48"/>
      <c r="AHD39" s="48"/>
      <c r="AHE39" s="48"/>
      <c r="AHF39" s="48"/>
      <c r="AHG39" s="48"/>
      <c r="AHH39" s="48"/>
      <c r="AHI39" s="48"/>
      <c r="AHJ39" s="48"/>
      <c r="AHK39" s="48"/>
      <c r="AHL39" s="48"/>
      <c r="AHM39" s="48"/>
      <c r="AHN39" s="48"/>
      <c r="AHO39" s="48"/>
      <c r="AHP39" s="48"/>
      <c r="AHQ39" s="48"/>
      <c r="AHR39" s="48"/>
      <c r="AHS39" s="48"/>
      <c r="AHT39" s="48"/>
      <c r="AHU39" s="48"/>
      <c r="AHV39" s="48"/>
      <c r="AHW39" s="48"/>
      <c r="AHX39" s="48"/>
      <c r="AHY39" s="48"/>
      <c r="AHZ39" s="48"/>
      <c r="AIA39" s="48"/>
      <c r="AIB39" s="48"/>
      <c r="AIC39" s="48"/>
      <c r="AID39" s="48"/>
      <c r="AIE39" s="48"/>
      <c r="AIF39" s="48"/>
      <c r="AIG39" s="48"/>
      <c r="AIH39" s="48"/>
      <c r="AII39" s="48"/>
      <c r="AIJ39" s="48"/>
      <c r="AIK39" s="48"/>
      <c r="AIL39" s="48"/>
      <c r="AIM39" s="48"/>
      <c r="AIN39" s="48"/>
      <c r="AIO39" s="48"/>
      <c r="AIP39" s="48"/>
      <c r="AIQ39" s="48"/>
      <c r="AIR39" s="48"/>
      <c r="AIS39" s="48"/>
      <c r="AIT39" s="48"/>
      <c r="AIU39" s="48"/>
      <c r="AIV39" s="48"/>
      <c r="AIW39" s="48"/>
      <c r="AIX39" s="48"/>
      <c r="AIY39" s="48"/>
      <c r="AIZ39" s="48"/>
      <c r="AJA39" s="48"/>
      <c r="AJB39" s="48"/>
      <c r="AJC39" s="48"/>
      <c r="AJD39" s="48"/>
      <c r="AJE39" s="48"/>
      <c r="AJF39" s="48"/>
      <c r="AJG39" s="48"/>
      <c r="AJH39" s="48"/>
      <c r="AJI39" s="48"/>
      <c r="AJJ39" s="48"/>
      <c r="AJK39" s="48"/>
      <c r="AJL39" s="48"/>
      <c r="AJM39" s="48"/>
      <c r="AJN39" s="48"/>
      <c r="AJO39" s="48"/>
      <c r="AJP39" s="48"/>
      <c r="AJQ39" s="48"/>
      <c r="AJR39" s="48"/>
      <c r="AJS39" s="48"/>
      <c r="AJT39" s="48"/>
      <c r="AJU39" s="48"/>
      <c r="AJV39" s="48"/>
      <c r="AJW39" s="48"/>
      <c r="AJX39" s="48"/>
      <c r="AJY39" s="48"/>
      <c r="AJZ39" s="48"/>
      <c r="AKA39" s="48"/>
      <c r="AKB39" s="48"/>
      <c r="AKC39" s="48"/>
      <c r="AKD39" s="48"/>
      <c r="AKE39" s="48"/>
      <c r="AKF39" s="48"/>
      <c r="AKG39" s="48"/>
      <c r="AKH39" s="48"/>
      <c r="AKI39" s="48"/>
      <c r="AKJ39" s="48"/>
      <c r="AKK39" s="48"/>
      <c r="AKL39" s="48"/>
      <c r="AKM39" s="48"/>
      <c r="AKN39" s="48"/>
      <c r="AKO39" s="48"/>
      <c r="AKP39" s="48"/>
      <c r="AKQ39" s="48"/>
      <c r="AKR39" s="48"/>
      <c r="AKS39" s="48"/>
      <c r="AKT39" s="48"/>
      <c r="AKU39" s="48"/>
      <c r="AKV39" s="48"/>
      <c r="AKW39" s="48"/>
      <c r="AKX39" s="48"/>
      <c r="AKY39" s="48"/>
      <c r="AKZ39" s="48"/>
      <c r="ALA39" s="48"/>
      <c r="ALB39" s="48"/>
      <c r="ALC39" s="48"/>
      <c r="ALD39" s="48"/>
      <c r="ALE39" s="48"/>
      <c r="ALF39" s="48"/>
      <c r="ALG39" s="48"/>
      <c r="ALH39" s="48"/>
      <c r="ALI39" s="48"/>
      <c r="ALJ39" s="48"/>
      <c r="ALK39" s="48"/>
      <c r="ALL39" s="48"/>
      <c r="ALM39" s="48"/>
      <c r="ALN39" s="48"/>
      <c r="ALO39" s="48"/>
      <c r="ALP39" s="48"/>
      <c r="ALQ39" s="48"/>
      <c r="ALR39" s="48"/>
      <c r="ALS39" s="48"/>
      <c r="ALT39" s="48"/>
      <c r="ALU39" s="48"/>
      <c r="ALV39" s="48"/>
      <c r="ALW39" s="48"/>
      <c r="ALX39" s="48"/>
      <c r="ALY39" s="48"/>
      <c r="ALZ39" s="48"/>
      <c r="AMA39" s="48"/>
      <c r="AMB39" s="48"/>
      <c r="AMC39" s="48"/>
      <c r="AMD39" s="48"/>
      <c r="AME39" s="48"/>
      <c r="AMF39" s="48"/>
      <c r="AMG39" s="48"/>
      <c r="AMH39" s="48"/>
      <c r="AMI39" s="48"/>
      <c r="AMJ39" s="48"/>
      <c r="AMK39" s="48"/>
      <c r="AML39" s="48"/>
      <c r="AMM39" s="48"/>
      <c r="AMN39" s="48"/>
      <c r="AMO39" s="48"/>
      <c r="AMP39" s="48"/>
      <c r="AMQ39" s="48"/>
      <c r="AMR39" s="48"/>
      <c r="AMS39" s="48"/>
      <c r="AMT39" s="48"/>
      <c r="AMU39" s="48"/>
      <c r="AMV39" s="48"/>
      <c r="AMW39" s="48"/>
      <c r="AMX39" s="48"/>
      <c r="AMY39" s="48"/>
      <c r="AMZ39" s="48"/>
      <c r="ANA39" s="48"/>
      <c r="ANB39" s="48"/>
      <c r="ANC39" s="48"/>
      <c r="AND39" s="48"/>
      <c r="ANE39" s="48"/>
      <c r="ANF39" s="48"/>
      <c r="ANG39" s="48"/>
      <c r="ANH39" s="48"/>
      <c r="ANI39" s="48"/>
      <c r="ANJ39" s="48"/>
      <c r="ANK39" s="48"/>
      <c r="ANL39" s="48"/>
      <c r="ANM39" s="48"/>
      <c r="ANN39" s="48"/>
      <c r="ANO39" s="48"/>
      <c r="ANP39" s="48"/>
      <c r="ANQ39" s="48"/>
      <c r="ANR39" s="48"/>
      <c r="ANS39" s="48"/>
      <c r="ANT39" s="48"/>
      <c r="ANU39" s="48"/>
      <c r="ANV39" s="48"/>
      <c r="ANW39" s="48"/>
      <c r="ANX39" s="48"/>
      <c r="ANY39" s="48"/>
      <c r="ANZ39" s="48"/>
      <c r="AOA39" s="48"/>
      <c r="AOB39" s="48"/>
      <c r="AOC39" s="48"/>
      <c r="AOD39" s="48"/>
      <c r="AOE39" s="48"/>
      <c r="AOF39" s="48"/>
      <c r="AOG39" s="48"/>
      <c r="AOH39" s="48"/>
      <c r="AOI39" s="48"/>
      <c r="AOJ39" s="48"/>
      <c r="AOK39" s="48"/>
      <c r="AOL39" s="48"/>
      <c r="AOM39" s="48"/>
      <c r="AON39" s="48"/>
      <c r="AOO39" s="48"/>
      <c r="AOP39" s="48"/>
      <c r="AOQ39" s="48"/>
      <c r="AOR39" s="48"/>
      <c r="AOS39" s="48"/>
      <c r="AOT39" s="48"/>
      <c r="AOU39" s="48"/>
      <c r="AOV39" s="48"/>
      <c r="AOW39" s="48"/>
      <c r="AOX39" s="48"/>
      <c r="AOY39" s="48"/>
      <c r="AOZ39" s="48"/>
      <c r="APA39" s="48"/>
      <c r="APB39" s="48"/>
      <c r="APC39" s="48"/>
      <c r="APD39" s="48"/>
      <c r="APE39" s="48"/>
      <c r="APF39" s="48"/>
      <c r="APG39" s="48"/>
      <c r="APH39" s="48"/>
      <c r="API39" s="48"/>
      <c r="APJ39" s="48"/>
      <c r="APK39" s="48"/>
      <c r="APL39" s="48"/>
      <c r="APM39" s="48"/>
      <c r="APN39" s="48"/>
      <c r="APO39" s="48"/>
      <c r="APP39" s="48"/>
      <c r="APQ39" s="48"/>
      <c r="APR39" s="48"/>
      <c r="APS39" s="48"/>
      <c r="APT39" s="48"/>
      <c r="APU39" s="48"/>
      <c r="APV39" s="48"/>
      <c r="APW39" s="48"/>
      <c r="APX39" s="48"/>
      <c r="APY39" s="48"/>
      <c r="APZ39" s="48"/>
      <c r="AQA39" s="48"/>
      <c r="AQB39" s="48"/>
      <c r="AQC39" s="48"/>
      <c r="AQD39" s="48"/>
      <c r="AQE39" s="48"/>
      <c r="AQF39" s="48"/>
      <c r="AQG39" s="48"/>
      <c r="AQH39" s="48"/>
      <c r="AQI39" s="48"/>
      <c r="AQJ39" s="48"/>
      <c r="AQK39" s="48"/>
      <c r="AQL39" s="48"/>
      <c r="AQM39" s="48"/>
      <c r="AQN39" s="48"/>
      <c r="AQO39" s="48"/>
      <c r="AQP39" s="48"/>
      <c r="AQQ39" s="48"/>
      <c r="AQR39" s="48"/>
      <c r="AQS39" s="48"/>
      <c r="AQT39" s="48"/>
      <c r="AQU39" s="48"/>
      <c r="AQV39" s="48"/>
      <c r="AQW39" s="48"/>
      <c r="AQX39" s="48"/>
      <c r="AQY39" s="48"/>
      <c r="AQZ39" s="48"/>
      <c r="ARA39" s="48"/>
      <c r="ARB39" s="48"/>
      <c r="ARC39" s="48"/>
      <c r="ARD39" s="48"/>
      <c r="ARE39" s="48"/>
      <c r="ARF39" s="48"/>
      <c r="ARG39" s="48"/>
      <c r="ARH39" s="48"/>
      <c r="ARI39" s="48"/>
      <c r="ARJ39" s="48"/>
      <c r="ARK39" s="48"/>
      <c r="ARL39" s="48"/>
      <c r="ARM39" s="48"/>
      <c r="ARN39" s="48"/>
      <c r="ARO39" s="48"/>
      <c r="ARP39" s="48"/>
      <c r="ARQ39" s="48"/>
      <c r="ARR39" s="48"/>
      <c r="ARS39" s="48"/>
      <c r="ART39" s="48"/>
      <c r="ARU39" s="48"/>
      <c r="ARV39" s="48"/>
      <c r="ARW39" s="48"/>
      <c r="ARX39" s="48"/>
      <c r="ARY39" s="48"/>
      <c r="ARZ39" s="48"/>
      <c r="ASA39" s="48"/>
      <c r="ASB39" s="48"/>
      <c r="ASC39" s="48"/>
      <c r="ASD39" s="48"/>
      <c r="ASE39" s="48"/>
      <c r="ASF39" s="48"/>
      <c r="ASG39" s="48"/>
      <c r="ASH39" s="48"/>
      <c r="ASI39" s="48"/>
      <c r="ASJ39" s="48"/>
      <c r="ASK39" s="48"/>
      <c r="ASL39" s="48"/>
      <c r="ASM39" s="48"/>
      <c r="ASN39" s="48"/>
      <c r="ASO39" s="48"/>
      <c r="ASP39" s="48"/>
      <c r="ASQ39" s="48"/>
      <c r="ASR39" s="48"/>
      <c r="ASS39" s="48"/>
      <c r="AST39" s="48"/>
      <c r="ASU39" s="48"/>
      <c r="ASV39" s="48"/>
      <c r="ASW39" s="48"/>
      <c r="ASX39" s="48"/>
      <c r="ASY39" s="48"/>
      <c r="ASZ39" s="48"/>
      <c r="ATA39" s="48"/>
      <c r="ATB39" s="48"/>
      <c r="ATC39" s="48"/>
      <c r="ATD39" s="48"/>
      <c r="ATE39" s="48"/>
      <c r="ATF39" s="48"/>
      <c r="ATG39" s="48"/>
      <c r="ATH39" s="48"/>
      <c r="ATI39" s="48"/>
      <c r="ATJ39" s="48"/>
      <c r="ATK39" s="48"/>
      <c r="ATL39" s="48"/>
      <c r="ATM39" s="48"/>
      <c r="ATN39" s="48"/>
      <c r="ATO39" s="48"/>
      <c r="ATP39" s="48"/>
      <c r="ATQ39" s="48"/>
      <c r="ATR39" s="48"/>
      <c r="ATS39" s="48"/>
      <c r="ATT39" s="48"/>
      <c r="ATU39" s="48"/>
      <c r="ATV39" s="48"/>
      <c r="ATW39" s="48"/>
      <c r="ATX39" s="48"/>
      <c r="ATY39" s="48"/>
      <c r="ATZ39" s="48"/>
      <c r="AUA39" s="48"/>
      <c r="AUB39" s="48"/>
      <c r="AUC39" s="48"/>
      <c r="AUD39" s="48"/>
      <c r="AUE39" s="48"/>
      <c r="AUF39" s="48"/>
      <c r="AUG39" s="48"/>
      <c r="AUH39" s="48"/>
      <c r="AUI39" s="48"/>
      <c r="AUJ39" s="48"/>
      <c r="AUK39" s="48"/>
      <c r="AUL39" s="48"/>
      <c r="AUM39" s="48"/>
      <c r="AUN39" s="48"/>
      <c r="AUO39" s="48"/>
      <c r="AUP39" s="48"/>
      <c r="AUQ39" s="48"/>
      <c r="AUR39" s="48"/>
      <c r="AUS39" s="48"/>
      <c r="AUT39" s="48"/>
      <c r="AUU39" s="48"/>
      <c r="AUV39" s="48"/>
      <c r="AUW39" s="48"/>
      <c r="AUX39" s="48"/>
      <c r="AUY39" s="48"/>
      <c r="AUZ39" s="48"/>
      <c r="AVA39" s="48"/>
      <c r="AVB39" s="48"/>
      <c r="AVC39" s="48"/>
      <c r="AVD39" s="48"/>
      <c r="AVE39" s="48"/>
      <c r="AVF39" s="48"/>
      <c r="AVG39" s="48"/>
      <c r="AVH39" s="48"/>
      <c r="AVI39" s="48"/>
      <c r="AVJ39" s="48"/>
      <c r="AVK39" s="48"/>
      <c r="AVL39" s="48"/>
      <c r="AVM39" s="48"/>
      <c r="AVN39" s="48"/>
      <c r="AVO39" s="48"/>
      <c r="AVP39" s="48"/>
      <c r="AVQ39" s="48"/>
      <c r="AVR39" s="48"/>
      <c r="AVS39" s="48"/>
      <c r="AVT39" s="48"/>
      <c r="AVU39" s="48"/>
      <c r="AVV39" s="48"/>
      <c r="AVW39" s="48"/>
      <c r="AVX39" s="48"/>
      <c r="AVY39" s="48"/>
      <c r="AVZ39" s="48"/>
      <c r="AWA39" s="48"/>
      <c r="AWB39" s="48"/>
      <c r="AWC39" s="48"/>
      <c r="AWD39" s="48"/>
      <c r="AWE39" s="48"/>
      <c r="AWF39" s="48"/>
      <c r="AWG39" s="48"/>
      <c r="AWH39" s="48"/>
      <c r="AWI39" s="48"/>
      <c r="AWJ39" s="48"/>
      <c r="AWK39" s="48"/>
      <c r="AWL39" s="48"/>
      <c r="AWM39" s="48"/>
      <c r="AWN39" s="48"/>
      <c r="AWO39" s="48"/>
      <c r="AWP39" s="48"/>
      <c r="AWQ39" s="48"/>
      <c r="AWR39" s="48"/>
      <c r="AWS39" s="48"/>
      <c r="AWT39" s="48"/>
      <c r="AWU39" s="48"/>
      <c r="AWV39" s="48"/>
      <c r="AWW39" s="48"/>
      <c r="AWX39" s="48"/>
      <c r="AWY39" s="48"/>
      <c r="AWZ39" s="48"/>
      <c r="AXA39" s="48"/>
      <c r="AXB39" s="48"/>
      <c r="AXC39" s="48"/>
      <c r="AXD39" s="48"/>
      <c r="AXE39" s="48"/>
      <c r="AXF39" s="48"/>
      <c r="AXG39" s="48"/>
      <c r="AXH39" s="48"/>
      <c r="AXI39" s="48"/>
      <c r="AXJ39" s="48"/>
      <c r="AXK39" s="48"/>
      <c r="AXL39" s="48"/>
      <c r="AXM39" s="48"/>
      <c r="AXN39" s="48"/>
      <c r="AXO39" s="48"/>
      <c r="AXP39" s="48"/>
      <c r="AXQ39" s="48"/>
      <c r="AXR39" s="48"/>
      <c r="AXS39" s="48"/>
      <c r="AXT39" s="48"/>
      <c r="AXU39" s="48"/>
      <c r="AXV39" s="48"/>
      <c r="AXW39" s="48"/>
      <c r="AXX39" s="48"/>
      <c r="AXY39" s="48"/>
      <c r="AXZ39" s="48"/>
      <c r="AYA39" s="48"/>
      <c r="AYB39" s="48"/>
      <c r="AYC39" s="48"/>
      <c r="AYD39" s="48"/>
      <c r="AYE39" s="48"/>
      <c r="AYF39" s="48"/>
      <c r="AYG39" s="48"/>
      <c r="AYH39" s="48"/>
      <c r="AYI39" s="48"/>
      <c r="AYJ39" s="48"/>
      <c r="AYK39" s="48"/>
      <c r="AYL39" s="48"/>
      <c r="AYM39" s="48"/>
      <c r="AYN39" s="48"/>
      <c r="AYO39" s="48"/>
      <c r="AYP39" s="48"/>
      <c r="AYQ39" s="48"/>
      <c r="AYR39" s="48"/>
      <c r="AYS39" s="48"/>
      <c r="AYT39" s="48"/>
      <c r="AYU39" s="48"/>
      <c r="AYV39" s="48"/>
      <c r="AYW39" s="48"/>
      <c r="AYX39" s="48"/>
      <c r="AYY39" s="48"/>
      <c r="AYZ39" s="48"/>
      <c r="AZA39" s="48"/>
      <c r="AZB39" s="48"/>
      <c r="AZC39" s="48"/>
      <c r="AZD39" s="48"/>
      <c r="AZE39" s="48"/>
      <c r="AZF39" s="48"/>
      <c r="AZG39" s="48"/>
      <c r="AZH39" s="48"/>
      <c r="AZI39" s="48"/>
      <c r="AZJ39" s="48"/>
      <c r="AZK39" s="48"/>
      <c r="AZL39" s="48"/>
      <c r="AZM39" s="48"/>
      <c r="AZN39" s="48"/>
      <c r="AZO39" s="48"/>
      <c r="AZP39" s="48"/>
      <c r="AZQ39" s="48"/>
      <c r="AZR39" s="48"/>
      <c r="AZS39" s="48"/>
      <c r="AZT39" s="48"/>
      <c r="AZU39" s="48"/>
      <c r="AZV39" s="48"/>
      <c r="AZW39" s="48"/>
      <c r="AZX39" s="48"/>
      <c r="AZY39" s="48"/>
      <c r="AZZ39" s="48"/>
      <c r="BAA39" s="48"/>
      <c r="BAB39" s="48"/>
      <c r="BAC39" s="48"/>
      <c r="BAD39" s="48"/>
      <c r="BAE39" s="48"/>
      <c r="BAF39" s="48"/>
      <c r="BAG39" s="48"/>
      <c r="BAH39" s="48"/>
      <c r="BAI39" s="48"/>
      <c r="BAJ39" s="48"/>
      <c r="BAK39" s="48"/>
      <c r="BAL39" s="48"/>
      <c r="BAM39" s="48"/>
      <c r="BAN39" s="48"/>
      <c r="BAO39" s="48"/>
      <c r="BAP39" s="48"/>
      <c r="BAQ39" s="48"/>
      <c r="BAR39" s="48"/>
      <c r="BAS39" s="48"/>
      <c r="BAT39" s="48"/>
      <c r="BAU39" s="48"/>
      <c r="BAV39" s="48"/>
      <c r="BAW39" s="48"/>
      <c r="BAX39" s="48"/>
    </row>
    <row r="40" spans="1:1402" ht="45" hidden="1" x14ac:dyDescent="0.25">
      <c r="A40" s="307">
        <f t="shared" si="3"/>
        <v>39</v>
      </c>
      <c r="B40" s="316" t="s">
        <v>79</v>
      </c>
      <c r="C40" s="316" t="s">
        <v>1045</v>
      </c>
      <c r="D40" s="316" t="s">
        <v>837</v>
      </c>
      <c r="E40" s="308" t="s">
        <v>784</v>
      </c>
      <c r="F40" s="308" t="s">
        <v>805</v>
      </c>
      <c r="G40" s="308" t="s">
        <v>598</v>
      </c>
      <c r="H40" s="308">
        <f t="shared" si="6"/>
        <v>-100</v>
      </c>
      <c r="I40" s="263"/>
      <c r="J40" s="263"/>
      <c r="K40" s="263">
        <f>Master20[[#This Row],[Initial Budget]]-Master20[[#This Row],[Previously Committed Funds]]</f>
        <v>0</v>
      </c>
      <c r="L40" s="263">
        <v>50000</v>
      </c>
      <c r="M40" s="263">
        <v>200000</v>
      </c>
      <c r="N40" s="268">
        <f>Master20[[#This Row],[Design $ (Add/Deduct)]]+Master20[[#This Row],[Construction $ (Add/Ded)]]</f>
        <v>250000</v>
      </c>
      <c r="O40" s="266">
        <v>250000</v>
      </c>
      <c r="P40" s="311">
        <v>2020</v>
      </c>
      <c r="Q40" s="308" t="s">
        <v>688</v>
      </c>
      <c r="R40" s="311">
        <f t="shared" si="7"/>
        <v>20</v>
      </c>
      <c r="S40" s="310">
        <v>2</v>
      </c>
      <c r="T40" s="310">
        <f t="shared" si="8"/>
        <v>6</v>
      </c>
      <c r="U40" s="310" t="s">
        <v>33</v>
      </c>
      <c r="V40" s="310">
        <f t="shared" si="9"/>
        <v>1</v>
      </c>
      <c r="W40" s="310" t="s">
        <v>30</v>
      </c>
      <c r="X40" s="310">
        <v>0</v>
      </c>
      <c r="Y40" s="310">
        <v>0</v>
      </c>
      <c r="Z40" s="310">
        <v>0</v>
      </c>
      <c r="AA40" s="310">
        <v>0</v>
      </c>
      <c r="AB40" s="310">
        <v>0</v>
      </c>
      <c r="AC40" s="310">
        <v>0</v>
      </c>
      <c r="AD40" s="310">
        <v>0</v>
      </c>
      <c r="AE40" s="310"/>
      <c r="AF40" s="309" t="s">
        <v>29</v>
      </c>
      <c r="AG40" s="311">
        <f>VLOOKUP(Master20[[#This Row],[Elevated Priority]],Epriority,2,)</f>
        <v>0</v>
      </c>
      <c r="AH40" s="321">
        <f>IF(Master20[[#This Row],[Status]]="Active",Master20[[#This Row],[Status_Score]],IF(D40="","",R40+H40+T40+V40+AG40+AE40+Master20[[#This Row],[Risk Mitigation]]+Master20[[#This Row],[Master Plan]]+Master20[[#This Row],[Community Request]]+Master20[[#This Row],[Community need]]+Master20[[#This Row],[Offset Aging Inf.]]+Master20[[#This Row],[Energy Savings]]+Master20[[#This Row],[Gen Revenue]]-5))</f>
        <v>-100</v>
      </c>
      <c r="AI40" s="310" t="s">
        <v>758</v>
      </c>
      <c r="AJ40" s="310">
        <v>2020</v>
      </c>
      <c r="AK40" s="310">
        <v>2021</v>
      </c>
      <c r="AL40" s="310">
        <v>2020</v>
      </c>
      <c r="AM40" s="310">
        <v>2022</v>
      </c>
      <c r="AN40" s="308" t="s">
        <v>1188</v>
      </c>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c r="KH40" s="48"/>
      <c r="KI40" s="48"/>
      <c r="KJ40" s="48"/>
      <c r="KK40" s="48"/>
      <c r="KL40" s="48"/>
      <c r="KM40" s="48"/>
      <c r="KN40" s="48"/>
      <c r="KO40" s="48"/>
      <c r="KP40" s="48"/>
      <c r="KQ40" s="48"/>
      <c r="KR40" s="48"/>
      <c r="KS40" s="48"/>
      <c r="KT40" s="48"/>
      <c r="KU40" s="48"/>
      <c r="KV40" s="48"/>
      <c r="KW40" s="48"/>
      <c r="KX40" s="48"/>
      <c r="KY40" s="48"/>
      <c r="KZ40" s="48"/>
      <c r="LA40" s="48"/>
      <c r="LB40" s="48"/>
      <c r="LC40" s="48"/>
      <c r="LD40" s="48"/>
      <c r="LE40" s="48"/>
      <c r="LF40" s="48"/>
      <c r="LG40" s="48"/>
      <c r="LH40" s="48"/>
      <c r="LI40" s="48"/>
      <c r="LJ40" s="48"/>
      <c r="LK40" s="48"/>
      <c r="LL40" s="48"/>
      <c r="LM40" s="48"/>
      <c r="LN40" s="48"/>
      <c r="LO40" s="48"/>
      <c r="LP40" s="48"/>
      <c r="LQ40" s="48"/>
      <c r="LR40" s="48"/>
      <c r="LS40" s="48"/>
      <c r="LT40" s="48"/>
      <c r="LU40" s="48"/>
      <c r="LV40" s="48"/>
      <c r="LW40" s="48"/>
      <c r="LX40" s="48"/>
      <c r="LY40" s="48"/>
      <c r="LZ40" s="48"/>
      <c r="MA40" s="48"/>
      <c r="MB40" s="48"/>
      <c r="MC40" s="48"/>
      <c r="MD40" s="48"/>
      <c r="ME40" s="48"/>
      <c r="MF40" s="48"/>
      <c r="MG40" s="48"/>
      <c r="MH40" s="48"/>
      <c r="MI40" s="48"/>
      <c r="MJ40" s="48"/>
      <c r="MK40" s="48"/>
      <c r="ML40" s="48"/>
      <c r="MM40" s="48"/>
      <c r="MN40" s="48"/>
      <c r="MO40" s="48"/>
      <c r="MP40" s="48"/>
      <c r="MQ40" s="48"/>
      <c r="MR40" s="48"/>
      <c r="MS40" s="48"/>
      <c r="MT40" s="48"/>
      <c r="MU40" s="48"/>
      <c r="MV40" s="48"/>
      <c r="MW40" s="48"/>
      <c r="MX40" s="48"/>
      <c r="MY40" s="48"/>
      <c r="MZ40" s="48"/>
      <c r="NA40" s="48"/>
      <c r="NB40" s="48"/>
      <c r="NC40" s="48"/>
      <c r="ND40" s="48"/>
      <c r="NE40" s="48"/>
      <c r="NF40" s="48"/>
      <c r="NG40" s="48"/>
      <c r="NH40" s="48"/>
      <c r="NI40" s="48"/>
      <c r="NJ40" s="48"/>
      <c r="NK40" s="48"/>
      <c r="NL40" s="48"/>
      <c r="NM40" s="48"/>
      <c r="NN40" s="48"/>
      <c r="NO40" s="48"/>
      <c r="NP40" s="48"/>
      <c r="NQ40" s="48"/>
      <c r="NR40" s="48"/>
      <c r="NS40" s="48"/>
      <c r="NT40" s="48"/>
      <c r="NU40" s="48"/>
      <c r="NV40" s="48"/>
      <c r="NW40" s="48"/>
      <c r="NX40" s="48"/>
      <c r="NY40" s="48"/>
      <c r="NZ40" s="48"/>
      <c r="OA40" s="48"/>
      <c r="OB40" s="48"/>
      <c r="OC40" s="48"/>
      <c r="OD40" s="48"/>
      <c r="OE40" s="48"/>
      <c r="OF40" s="48"/>
      <c r="OG40" s="48"/>
      <c r="OH40" s="48"/>
      <c r="OI40" s="48"/>
      <c r="OJ40" s="48"/>
      <c r="OK40" s="48"/>
      <c r="OL40" s="48"/>
      <c r="OM40" s="48"/>
      <c r="ON40" s="48"/>
      <c r="OO40" s="48"/>
      <c r="OP40" s="48"/>
      <c r="OQ40" s="48"/>
      <c r="OR40" s="48"/>
      <c r="OS40" s="48"/>
      <c r="OT40" s="48"/>
      <c r="OU40" s="48"/>
      <c r="OV40" s="48"/>
      <c r="OW40" s="48"/>
      <c r="OX40" s="48"/>
      <c r="OY40" s="48"/>
      <c r="OZ40" s="48"/>
      <c r="PA40" s="48"/>
      <c r="PB40" s="48"/>
      <c r="PC40" s="48"/>
      <c r="PD40" s="48"/>
      <c r="PE40" s="48"/>
      <c r="PF40" s="48"/>
      <c r="PG40" s="48"/>
      <c r="PH40" s="48"/>
      <c r="PI40" s="48"/>
      <c r="PJ40" s="48"/>
      <c r="PK40" s="48"/>
      <c r="PL40" s="48"/>
      <c r="PM40" s="48"/>
      <c r="PN40" s="48"/>
      <c r="PO40" s="48"/>
      <c r="PP40" s="48"/>
      <c r="PQ40" s="48"/>
      <c r="PR40" s="48"/>
      <c r="PS40" s="48"/>
      <c r="PT40" s="48"/>
      <c r="PU40" s="48"/>
      <c r="PV40" s="48"/>
      <c r="PW40" s="48"/>
      <c r="PX40" s="48"/>
      <c r="PY40" s="48"/>
      <c r="PZ40" s="48"/>
      <c r="QA40" s="48"/>
      <c r="QB40" s="48"/>
      <c r="QC40" s="48"/>
      <c r="QD40" s="48"/>
      <c r="QE40" s="48"/>
      <c r="QF40" s="48"/>
      <c r="QG40" s="48"/>
      <c r="QH40" s="48"/>
      <c r="QI40" s="48"/>
      <c r="QJ40" s="48"/>
      <c r="QK40" s="48"/>
      <c r="QL40" s="48"/>
      <c r="QM40" s="48"/>
      <c r="QN40" s="48"/>
      <c r="QO40" s="48"/>
      <c r="QP40" s="48"/>
      <c r="QQ40" s="48"/>
      <c r="QR40" s="48"/>
      <c r="QS40" s="48"/>
      <c r="QT40" s="48"/>
      <c r="QU40" s="48"/>
      <c r="QV40" s="48"/>
      <c r="QW40" s="48"/>
      <c r="QX40" s="48"/>
      <c r="QY40" s="48"/>
      <c r="QZ40" s="48"/>
      <c r="RA40" s="48"/>
      <c r="RB40" s="48"/>
      <c r="RC40" s="48"/>
      <c r="RD40" s="48"/>
      <c r="RE40" s="48"/>
      <c r="RF40" s="48"/>
      <c r="RG40" s="48"/>
      <c r="RH40" s="48"/>
      <c r="RI40" s="48"/>
      <c r="RJ40" s="48"/>
      <c r="RK40" s="48"/>
      <c r="RL40" s="48"/>
      <c r="RM40" s="48"/>
      <c r="RN40" s="48"/>
      <c r="RO40" s="48"/>
      <c r="RP40" s="48"/>
      <c r="RQ40" s="48"/>
      <c r="RR40" s="48"/>
      <c r="RS40" s="48"/>
      <c r="RT40" s="48"/>
      <c r="RU40" s="48"/>
      <c r="RV40" s="48"/>
      <c r="RW40" s="48"/>
      <c r="RX40" s="48"/>
      <c r="RY40" s="48"/>
      <c r="RZ40" s="48"/>
      <c r="SA40" s="48"/>
      <c r="SB40" s="48"/>
      <c r="SC40" s="48"/>
      <c r="SD40" s="48"/>
      <c r="SE40" s="48"/>
      <c r="SF40" s="48"/>
      <c r="SG40" s="48"/>
      <c r="SH40" s="48"/>
      <c r="SI40" s="48"/>
      <c r="SJ40" s="48"/>
      <c r="SK40" s="48"/>
      <c r="SL40" s="48"/>
      <c r="SM40" s="48"/>
      <c r="SN40" s="48"/>
      <c r="SO40" s="48"/>
      <c r="SP40" s="48"/>
      <c r="SQ40" s="48"/>
      <c r="SR40" s="48"/>
      <c r="SS40" s="48"/>
      <c r="ST40" s="48"/>
      <c r="SU40" s="48"/>
      <c r="SV40" s="48"/>
      <c r="SW40" s="48"/>
      <c r="SX40" s="48"/>
      <c r="SY40" s="48"/>
      <c r="SZ40" s="48"/>
      <c r="TA40" s="48"/>
      <c r="TB40" s="48"/>
      <c r="TC40" s="48"/>
      <c r="TD40" s="48"/>
      <c r="TE40" s="48"/>
      <c r="TF40" s="48"/>
      <c r="TG40" s="48"/>
      <c r="TH40" s="48"/>
      <c r="TI40" s="48"/>
      <c r="TJ40" s="48"/>
      <c r="TK40" s="48"/>
      <c r="TL40" s="48"/>
      <c r="TM40" s="48"/>
      <c r="TN40" s="48"/>
      <c r="TO40" s="48"/>
      <c r="TP40" s="48"/>
      <c r="TQ40" s="48"/>
      <c r="TR40" s="48"/>
      <c r="TS40" s="48"/>
      <c r="TT40" s="48"/>
      <c r="TU40" s="48"/>
      <c r="TV40" s="48"/>
      <c r="TW40" s="48"/>
      <c r="TX40" s="48"/>
      <c r="TY40" s="48"/>
      <c r="TZ40" s="48"/>
      <c r="UA40" s="48"/>
      <c r="UB40" s="48"/>
      <c r="UC40" s="48"/>
      <c r="UD40" s="48"/>
      <c r="UE40" s="48"/>
      <c r="UF40" s="48"/>
      <c r="UG40" s="48"/>
      <c r="UH40" s="48"/>
      <c r="UI40" s="48"/>
      <c r="UJ40" s="48"/>
      <c r="UK40" s="48"/>
      <c r="UL40" s="48"/>
      <c r="UM40" s="48"/>
      <c r="UN40" s="48"/>
      <c r="UO40" s="48"/>
      <c r="UP40" s="48"/>
      <c r="UQ40" s="48"/>
      <c r="UR40" s="48"/>
      <c r="US40" s="48"/>
      <c r="UT40" s="48"/>
      <c r="UU40" s="48"/>
      <c r="UV40" s="48"/>
      <c r="UW40" s="48"/>
      <c r="UX40" s="48"/>
      <c r="UY40" s="48"/>
      <c r="UZ40" s="48"/>
      <c r="VA40" s="48"/>
      <c r="VB40" s="48"/>
      <c r="VC40" s="48"/>
      <c r="VD40" s="48"/>
      <c r="VE40" s="48"/>
      <c r="VF40" s="48"/>
      <c r="VG40" s="48"/>
      <c r="VH40" s="48"/>
      <c r="VI40" s="48"/>
      <c r="VJ40" s="48"/>
      <c r="VK40" s="48"/>
      <c r="VL40" s="48"/>
      <c r="VM40" s="48"/>
      <c r="VN40" s="48"/>
      <c r="VO40" s="48"/>
      <c r="VP40" s="48"/>
      <c r="VQ40" s="48"/>
      <c r="VR40" s="48"/>
      <c r="VS40" s="48"/>
      <c r="VT40" s="48"/>
      <c r="VU40" s="48"/>
      <c r="VV40" s="48"/>
      <c r="VW40" s="48"/>
      <c r="VX40" s="48"/>
      <c r="VY40" s="48"/>
      <c r="VZ40" s="48"/>
      <c r="WA40" s="48"/>
      <c r="WB40" s="48"/>
      <c r="WC40" s="48"/>
      <c r="WD40" s="48"/>
      <c r="WE40" s="48"/>
      <c r="WF40" s="48"/>
      <c r="WG40" s="48"/>
      <c r="WH40" s="48"/>
      <c r="WI40" s="48"/>
      <c r="WJ40" s="48"/>
      <c r="WK40" s="48"/>
      <c r="WL40" s="48"/>
      <c r="WM40" s="48"/>
      <c r="WN40" s="48"/>
      <c r="WO40" s="48"/>
      <c r="WP40" s="48"/>
      <c r="WQ40" s="48"/>
      <c r="WR40" s="48"/>
      <c r="WS40" s="48"/>
      <c r="WT40" s="48"/>
      <c r="WU40" s="48"/>
      <c r="WV40" s="48"/>
      <c r="WW40" s="48"/>
      <c r="WX40" s="48"/>
      <c r="WY40" s="48"/>
      <c r="WZ40" s="48"/>
      <c r="XA40" s="48"/>
      <c r="XB40" s="48"/>
      <c r="XC40" s="48"/>
      <c r="XD40" s="48"/>
      <c r="XE40" s="48"/>
      <c r="XF40" s="48"/>
      <c r="XG40" s="48"/>
      <c r="XH40" s="48"/>
      <c r="XI40" s="48"/>
      <c r="XJ40" s="48"/>
      <c r="XK40" s="48"/>
      <c r="XL40" s="48"/>
      <c r="XM40" s="48"/>
      <c r="XN40" s="48"/>
      <c r="XO40" s="48"/>
      <c r="XP40" s="48"/>
      <c r="XQ40" s="48"/>
      <c r="XR40" s="48"/>
      <c r="XS40" s="48"/>
      <c r="XT40" s="48"/>
      <c r="XU40" s="48"/>
      <c r="XV40" s="48"/>
      <c r="XW40" s="48"/>
      <c r="XX40" s="48"/>
      <c r="XY40" s="48"/>
      <c r="XZ40" s="48"/>
      <c r="YA40" s="48"/>
      <c r="YB40" s="48"/>
      <c r="YC40" s="48"/>
      <c r="YD40" s="48"/>
      <c r="YE40" s="48"/>
      <c r="YF40" s="48"/>
      <c r="YG40" s="48"/>
      <c r="YH40" s="48"/>
      <c r="YI40" s="48"/>
      <c r="YJ40" s="48"/>
      <c r="YK40" s="48"/>
      <c r="YL40" s="48"/>
      <c r="YM40" s="48"/>
      <c r="YN40" s="48"/>
      <c r="YO40" s="48"/>
      <c r="YP40" s="48"/>
      <c r="YQ40" s="48"/>
      <c r="YR40" s="48"/>
      <c r="YS40" s="48"/>
      <c r="YT40" s="48"/>
      <c r="YU40" s="48"/>
      <c r="YV40" s="48"/>
      <c r="YW40" s="48"/>
      <c r="YX40" s="48"/>
      <c r="YY40" s="48"/>
      <c r="YZ40" s="48"/>
      <c r="ZA40" s="48"/>
      <c r="ZB40" s="48"/>
      <c r="ZC40" s="48"/>
      <c r="ZD40" s="48"/>
      <c r="ZE40" s="48"/>
      <c r="ZF40" s="48"/>
      <c r="ZG40" s="48"/>
      <c r="ZH40" s="48"/>
      <c r="ZI40" s="48"/>
      <c r="ZJ40" s="48"/>
      <c r="ZK40" s="48"/>
      <c r="ZL40" s="48"/>
      <c r="ZM40" s="48"/>
      <c r="ZN40" s="48"/>
      <c r="ZO40" s="48"/>
      <c r="ZP40" s="48"/>
      <c r="ZQ40" s="48"/>
      <c r="ZR40" s="48"/>
      <c r="ZS40" s="48"/>
      <c r="ZT40" s="48"/>
      <c r="ZU40" s="48"/>
      <c r="ZV40" s="48"/>
      <c r="ZW40" s="48"/>
      <c r="ZX40" s="48"/>
      <c r="ZY40" s="48"/>
      <c r="ZZ40" s="48"/>
      <c r="AAA40" s="48"/>
      <c r="AAB40" s="48"/>
      <c r="AAC40" s="48"/>
      <c r="AAD40" s="48"/>
      <c r="AAE40" s="48"/>
      <c r="AAF40" s="48"/>
      <c r="AAG40" s="48"/>
      <c r="AAH40" s="48"/>
      <c r="AAI40" s="48"/>
      <c r="AAJ40" s="48"/>
      <c r="AAK40" s="48"/>
      <c r="AAL40" s="48"/>
      <c r="AAM40" s="48"/>
      <c r="AAN40" s="48"/>
      <c r="AAO40" s="48"/>
      <c r="AAP40" s="48"/>
      <c r="AAQ40" s="48"/>
      <c r="AAR40" s="48"/>
      <c r="AAS40" s="48"/>
      <c r="AAT40" s="48"/>
      <c r="AAU40" s="48"/>
      <c r="AAV40" s="48"/>
      <c r="AAW40" s="48"/>
      <c r="AAX40" s="48"/>
      <c r="AAY40" s="48"/>
      <c r="AAZ40" s="48"/>
      <c r="ABA40" s="48"/>
      <c r="ABB40" s="48"/>
      <c r="ABC40" s="48"/>
      <c r="ABD40" s="48"/>
      <c r="ABE40" s="48"/>
      <c r="ABF40" s="48"/>
      <c r="ABG40" s="48"/>
      <c r="ABH40" s="48"/>
      <c r="ABI40" s="48"/>
      <c r="ABJ40" s="48"/>
      <c r="ABK40" s="48"/>
      <c r="ABL40" s="48"/>
      <c r="ABM40" s="48"/>
      <c r="ABN40" s="48"/>
      <c r="ABO40" s="48"/>
      <c r="ABP40" s="48"/>
      <c r="ABQ40" s="48"/>
      <c r="ABR40" s="48"/>
      <c r="ABS40" s="48"/>
      <c r="ABT40" s="48"/>
      <c r="ABU40" s="48"/>
      <c r="ABV40" s="48"/>
      <c r="ABW40" s="48"/>
      <c r="ABX40" s="48"/>
      <c r="ABY40" s="48"/>
      <c r="ABZ40" s="48"/>
      <c r="ACA40" s="48"/>
      <c r="ACB40" s="48"/>
      <c r="ACC40" s="48"/>
      <c r="ACD40" s="48"/>
      <c r="ACE40" s="48"/>
      <c r="ACF40" s="48"/>
      <c r="ACG40" s="48"/>
      <c r="ACH40" s="48"/>
      <c r="ACI40" s="48"/>
      <c r="ACJ40" s="48"/>
      <c r="ACK40" s="48"/>
      <c r="ACL40" s="48"/>
      <c r="ACM40" s="48"/>
      <c r="ACN40" s="48"/>
      <c r="ACO40" s="48"/>
      <c r="ACP40" s="48"/>
      <c r="ACQ40" s="48"/>
      <c r="ACR40" s="48"/>
      <c r="ACS40" s="48"/>
      <c r="ACT40" s="48"/>
      <c r="ACU40" s="48"/>
      <c r="ACV40" s="48"/>
      <c r="ACW40" s="48"/>
      <c r="ACX40" s="48"/>
      <c r="ACY40" s="48"/>
      <c r="ACZ40" s="48"/>
      <c r="ADA40" s="48"/>
      <c r="ADB40" s="48"/>
      <c r="ADC40" s="48"/>
      <c r="ADD40" s="48"/>
      <c r="ADE40" s="48"/>
      <c r="ADF40" s="48"/>
      <c r="ADG40" s="48"/>
      <c r="ADH40" s="48"/>
      <c r="ADI40" s="48"/>
      <c r="ADJ40" s="48"/>
      <c r="ADK40" s="48"/>
      <c r="ADL40" s="48"/>
      <c r="ADM40" s="48"/>
      <c r="ADN40" s="48"/>
      <c r="ADO40" s="48"/>
      <c r="ADP40" s="48"/>
      <c r="ADQ40" s="48"/>
      <c r="ADR40" s="48"/>
      <c r="ADS40" s="48"/>
      <c r="ADT40" s="48"/>
      <c r="ADU40" s="48"/>
      <c r="ADV40" s="48"/>
      <c r="ADW40" s="48"/>
      <c r="ADX40" s="48"/>
      <c r="ADY40" s="48"/>
      <c r="ADZ40" s="48"/>
      <c r="AEA40" s="48"/>
      <c r="AEB40" s="48"/>
      <c r="AEC40" s="48"/>
      <c r="AED40" s="48"/>
      <c r="AEE40" s="48"/>
      <c r="AEF40" s="48"/>
      <c r="AEG40" s="48"/>
      <c r="AEH40" s="48"/>
      <c r="AEI40" s="48"/>
      <c r="AEJ40" s="48"/>
      <c r="AEK40" s="48"/>
      <c r="AEL40" s="48"/>
      <c r="AEM40" s="48"/>
      <c r="AEN40" s="48"/>
      <c r="AEO40" s="48"/>
      <c r="AEP40" s="48"/>
      <c r="AEQ40" s="48"/>
      <c r="AER40" s="48"/>
      <c r="AES40" s="48"/>
      <c r="AET40" s="48"/>
      <c r="AEU40" s="48"/>
      <c r="AEV40" s="48"/>
      <c r="AEW40" s="48"/>
      <c r="AEX40" s="48"/>
      <c r="AEY40" s="48"/>
      <c r="AEZ40" s="48"/>
      <c r="AFA40" s="48"/>
      <c r="AFB40" s="48"/>
      <c r="AFC40" s="48"/>
      <c r="AFD40" s="48"/>
      <c r="AFE40" s="48"/>
      <c r="AFF40" s="48"/>
      <c r="AFG40" s="48"/>
      <c r="AFH40" s="48"/>
      <c r="AFI40" s="48"/>
      <c r="AFJ40" s="48"/>
      <c r="AFK40" s="48"/>
      <c r="AFL40" s="48"/>
      <c r="AFM40" s="48"/>
      <c r="AFN40" s="48"/>
      <c r="AFO40" s="48"/>
      <c r="AFP40" s="48"/>
      <c r="AFQ40" s="48"/>
      <c r="AFR40" s="48"/>
      <c r="AFS40" s="48"/>
      <c r="AFT40" s="48"/>
      <c r="AFU40" s="48"/>
      <c r="AFV40" s="48"/>
      <c r="AFW40" s="48"/>
      <c r="AFX40" s="48"/>
      <c r="AFY40" s="48"/>
      <c r="AFZ40" s="48"/>
      <c r="AGA40" s="48"/>
      <c r="AGB40" s="48"/>
      <c r="AGC40" s="48"/>
      <c r="AGD40" s="48"/>
      <c r="AGE40" s="48"/>
      <c r="AGF40" s="48"/>
      <c r="AGG40" s="48"/>
      <c r="AGH40" s="48"/>
      <c r="AGI40" s="48"/>
      <c r="AGJ40" s="48"/>
      <c r="AGK40" s="48"/>
      <c r="AGL40" s="48"/>
      <c r="AGM40" s="48"/>
      <c r="AGN40" s="48"/>
      <c r="AGO40" s="48"/>
      <c r="AGP40" s="48"/>
      <c r="AGQ40" s="48"/>
      <c r="AGR40" s="48"/>
      <c r="AGS40" s="48"/>
      <c r="AGT40" s="48"/>
      <c r="AGU40" s="48"/>
      <c r="AGV40" s="48"/>
      <c r="AGW40" s="48"/>
      <c r="AGX40" s="48"/>
      <c r="AGY40" s="48"/>
      <c r="AGZ40" s="48"/>
      <c r="AHA40" s="48"/>
      <c r="AHB40" s="48"/>
      <c r="AHC40" s="48"/>
      <c r="AHD40" s="48"/>
      <c r="AHE40" s="48"/>
      <c r="AHF40" s="48"/>
      <c r="AHG40" s="48"/>
      <c r="AHH40" s="48"/>
      <c r="AHI40" s="48"/>
      <c r="AHJ40" s="48"/>
      <c r="AHK40" s="48"/>
      <c r="AHL40" s="48"/>
      <c r="AHM40" s="48"/>
      <c r="AHN40" s="48"/>
      <c r="AHO40" s="48"/>
      <c r="AHP40" s="48"/>
      <c r="AHQ40" s="48"/>
      <c r="AHR40" s="48"/>
      <c r="AHS40" s="48"/>
      <c r="AHT40" s="48"/>
      <c r="AHU40" s="48"/>
      <c r="AHV40" s="48"/>
      <c r="AHW40" s="48"/>
      <c r="AHX40" s="48"/>
      <c r="AHY40" s="48"/>
      <c r="AHZ40" s="48"/>
      <c r="AIA40" s="48"/>
      <c r="AIB40" s="48"/>
      <c r="AIC40" s="48"/>
      <c r="AID40" s="48"/>
      <c r="AIE40" s="48"/>
      <c r="AIF40" s="48"/>
      <c r="AIG40" s="48"/>
      <c r="AIH40" s="48"/>
      <c r="AII40" s="48"/>
      <c r="AIJ40" s="48"/>
      <c r="AIK40" s="48"/>
      <c r="AIL40" s="48"/>
      <c r="AIM40" s="48"/>
      <c r="AIN40" s="48"/>
      <c r="AIO40" s="48"/>
      <c r="AIP40" s="48"/>
      <c r="AIQ40" s="48"/>
      <c r="AIR40" s="48"/>
      <c r="AIS40" s="48"/>
      <c r="AIT40" s="48"/>
      <c r="AIU40" s="48"/>
      <c r="AIV40" s="48"/>
      <c r="AIW40" s="48"/>
      <c r="AIX40" s="48"/>
      <c r="AIY40" s="48"/>
      <c r="AIZ40" s="48"/>
      <c r="AJA40" s="48"/>
      <c r="AJB40" s="48"/>
      <c r="AJC40" s="48"/>
      <c r="AJD40" s="48"/>
      <c r="AJE40" s="48"/>
      <c r="AJF40" s="48"/>
      <c r="AJG40" s="48"/>
      <c r="AJH40" s="48"/>
      <c r="AJI40" s="48"/>
      <c r="AJJ40" s="48"/>
      <c r="AJK40" s="48"/>
      <c r="AJL40" s="48"/>
      <c r="AJM40" s="48"/>
      <c r="AJN40" s="48"/>
      <c r="AJO40" s="48"/>
      <c r="AJP40" s="48"/>
      <c r="AJQ40" s="48"/>
      <c r="AJR40" s="48"/>
      <c r="AJS40" s="48"/>
      <c r="AJT40" s="48"/>
      <c r="AJU40" s="48"/>
      <c r="AJV40" s="48"/>
      <c r="AJW40" s="48"/>
      <c r="AJX40" s="48"/>
      <c r="AJY40" s="48"/>
      <c r="AJZ40" s="48"/>
      <c r="AKA40" s="48"/>
      <c r="AKB40" s="48"/>
      <c r="AKC40" s="48"/>
      <c r="AKD40" s="48"/>
      <c r="AKE40" s="48"/>
      <c r="AKF40" s="48"/>
      <c r="AKG40" s="48"/>
      <c r="AKH40" s="48"/>
      <c r="AKI40" s="48"/>
      <c r="AKJ40" s="48"/>
      <c r="AKK40" s="48"/>
      <c r="AKL40" s="48"/>
      <c r="AKM40" s="48"/>
      <c r="AKN40" s="48"/>
      <c r="AKO40" s="48"/>
      <c r="AKP40" s="48"/>
      <c r="AKQ40" s="48"/>
      <c r="AKR40" s="48"/>
      <c r="AKS40" s="48"/>
      <c r="AKT40" s="48"/>
      <c r="AKU40" s="48"/>
      <c r="AKV40" s="48"/>
      <c r="AKW40" s="48"/>
      <c r="AKX40" s="48"/>
      <c r="AKY40" s="48"/>
      <c r="AKZ40" s="48"/>
      <c r="ALA40" s="48"/>
      <c r="ALB40" s="48"/>
      <c r="ALC40" s="48"/>
      <c r="ALD40" s="48"/>
      <c r="ALE40" s="48"/>
      <c r="ALF40" s="48"/>
      <c r="ALG40" s="48"/>
      <c r="ALH40" s="48"/>
      <c r="ALI40" s="48"/>
      <c r="ALJ40" s="48"/>
      <c r="ALK40" s="48"/>
      <c r="ALL40" s="48"/>
      <c r="ALM40" s="48"/>
      <c r="ALN40" s="48"/>
      <c r="ALO40" s="48"/>
      <c r="ALP40" s="48"/>
      <c r="ALQ40" s="48"/>
      <c r="ALR40" s="48"/>
      <c r="ALS40" s="48"/>
      <c r="ALT40" s="48"/>
      <c r="ALU40" s="48"/>
      <c r="ALV40" s="48"/>
      <c r="ALW40" s="48"/>
      <c r="ALX40" s="48"/>
      <c r="ALY40" s="48"/>
      <c r="ALZ40" s="48"/>
      <c r="AMA40" s="48"/>
      <c r="AMB40" s="48"/>
      <c r="AMC40" s="48"/>
      <c r="AMD40" s="48"/>
      <c r="AME40" s="48"/>
      <c r="AMF40" s="48"/>
      <c r="AMG40" s="48"/>
      <c r="AMH40" s="48"/>
      <c r="AMI40" s="48"/>
      <c r="AMJ40" s="48"/>
      <c r="AMK40" s="48"/>
      <c r="AML40" s="48"/>
      <c r="AMM40" s="48"/>
      <c r="AMN40" s="48"/>
      <c r="AMO40" s="48"/>
      <c r="AMP40" s="48"/>
      <c r="AMQ40" s="48"/>
      <c r="AMR40" s="48"/>
      <c r="AMS40" s="48"/>
      <c r="AMT40" s="48"/>
      <c r="AMU40" s="48"/>
      <c r="AMV40" s="48"/>
      <c r="AMW40" s="48"/>
      <c r="AMX40" s="48"/>
      <c r="AMY40" s="48"/>
      <c r="AMZ40" s="48"/>
      <c r="ANA40" s="48"/>
      <c r="ANB40" s="48"/>
      <c r="ANC40" s="48"/>
      <c r="AND40" s="48"/>
      <c r="ANE40" s="48"/>
      <c r="ANF40" s="48"/>
      <c r="ANG40" s="48"/>
      <c r="ANH40" s="48"/>
      <c r="ANI40" s="48"/>
      <c r="ANJ40" s="48"/>
      <c r="ANK40" s="48"/>
      <c r="ANL40" s="48"/>
      <c r="ANM40" s="48"/>
      <c r="ANN40" s="48"/>
      <c r="ANO40" s="48"/>
      <c r="ANP40" s="48"/>
      <c r="ANQ40" s="48"/>
      <c r="ANR40" s="48"/>
      <c r="ANS40" s="48"/>
      <c r="ANT40" s="48"/>
      <c r="ANU40" s="48"/>
      <c r="ANV40" s="48"/>
      <c r="ANW40" s="48"/>
      <c r="ANX40" s="48"/>
      <c r="ANY40" s="48"/>
      <c r="ANZ40" s="48"/>
      <c r="AOA40" s="48"/>
      <c r="AOB40" s="48"/>
      <c r="AOC40" s="48"/>
      <c r="AOD40" s="48"/>
      <c r="AOE40" s="48"/>
      <c r="AOF40" s="48"/>
      <c r="AOG40" s="48"/>
      <c r="AOH40" s="48"/>
      <c r="AOI40" s="48"/>
      <c r="AOJ40" s="48"/>
      <c r="AOK40" s="48"/>
      <c r="AOL40" s="48"/>
      <c r="AOM40" s="48"/>
      <c r="AON40" s="48"/>
      <c r="AOO40" s="48"/>
      <c r="AOP40" s="48"/>
      <c r="AOQ40" s="48"/>
      <c r="AOR40" s="48"/>
      <c r="AOS40" s="48"/>
      <c r="AOT40" s="48"/>
      <c r="AOU40" s="48"/>
      <c r="AOV40" s="48"/>
      <c r="AOW40" s="48"/>
      <c r="AOX40" s="48"/>
      <c r="AOY40" s="48"/>
      <c r="AOZ40" s="48"/>
      <c r="APA40" s="48"/>
      <c r="APB40" s="48"/>
      <c r="APC40" s="48"/>
      <c r="APD40" s="48"/>
      <c r="APE40" s="48"/>
      <c r="APF40" s="48"/>
      <c r="APG40" s="48"/>
      <c r="APH40" s="48"/>
      <c r="API40" s="48"/>
      <c r="APJ40" s="48"/>
      <c r="APK40" s="48"/>
      <c r="APL40" s="48"/>
      <c r="APM40" s="48"/>
      <c r="APN40" s="48"/>
      <c r="APO40" s="48"/>
      <c r="APP40" s="48"/>
      <c r="APQ40" s="48"/>
      <c r="APR40" s="48"/>
      <c r="APS40" s="48"/>
      <c r="APT40" s="48"/>
      <c r="APU40" s="48"/>
      <c r="APV40" s="48"/>
      <c r="APW40" s="48"/>
      <c r="APX40" s="48"/>
      <c r="APY40" s="48"/>
      <c r="APZ40" s="48"/>
      <c r="AQA40" s="48"/>
      <c r="AQB40" s="48"/>
      <c r="AQC40" s="48"/>
      <c r="AQD40" s="48"/>
      <c r="AQE40" s="48"/>
      <c r="AQF40" s="48"/>
      <c r="AQG40" s="48"/>
      <c r="AQH40" s="48"/>
      <c r="AQI40" s="48"/>
      <c r="AQJ40" s="48"/>
      <c r="AQK40" s="48"/>
      <c r="AQL40" s="48"/>
      <c r="AQM40" s="48"/>
      <c r="AQN40" s="48"/>
      <c r="AQO40" s="48"/>
      <c r="AQP40" s="48"/>
      <c r="AQQ40" s="48"/>
      <c r="AQR40" s="48"/>
      <c r="AQS40" s="48"/>
      <c r="AQT40" s="48"/>
      <c r="AQU40" s="48"/>
      <c r="AQV40" s="48"/>
      <c r="AQW40" s="48"/>
      <c r="AQX40" s="48"/>
      <c r="AQY40" s="48"/>
      <c r="AQZ40" s="48"/>
      <c r="ARA40" s="48"/>
      <c r="ARB40" s="48"/>
      <c r="ARC40" s="48"/>
      <c r="ARD40" s="48"/>
      <c r="ARE40" s="48"/>
      <c r="ARF40" s="48"/>
      <c r="ARG40" s="48"/>
      <c r="ARH40" s="48"/>
      <c r="ARI40" s="48"/>
      <c r="ARJ40" s="48"/>
      <c r="ARK40" s="48"/>
      <c r="ARL40" s="48"/>
      <c r="ARM40" s="48"/>
      <c r="ARN40" s="48"/>
      <c r="ARO40" s="48"/>
      <c r="ARP40" s="48"/>
      <c r="ARQ40" s="48"/>
      <c r="ARR40" s="48"/>
      <c r="ARS40" s="48"/>
      <c r="ART40" s="48"/>
      <c r="ARU40" s="48"/>
      <c r="ARV40" s="48"/>
      <c r="ARW40" s="48"/>
      <c r="ARX40" s="48"/>
      <c r="ARY40" s="48"/>
      <c r="ARZ40" s="48"/>
      <c r="ASA40" s="48"/>
      <c r="ASB40" s="48"/>
      <c r="ASC40" s="48"/>
      <c r="ASD40" s="48"/>
      <c r="ASE40" s="48"/>
      <c r="ASF40" s="48"/>
      <c r="ASG40" s="48"/>
      <c r="ASH40" s="48"/>
      <c r="ASI40" s="48"/>
      <c r="ASJ40" s="48"/>
      <c r="ASK40" s="48"/>
      <c r="ASL40" s="48"/>
      <c r="ASM40" s="48"/>
      <c r="ASN40" s="48"/>
      <c r="ASO40" s="48"/>
      <c r="ASP40" s="48"/>
      <c r="ASQ40" s="48"/>
      <c r="ASR40" s="48"/>
      <c r="ASS40" s="48"/>
      <c r="AST40" s="48"/>
      <c r="ASU40" s="48"/>
      <c r="ASV40" s="48"/>
      <c r="ASW40" s="48"/>
      <c r="ASX40" s="48"/>
      <c r="ASY40" s="48"/>
      <c r="ASZ40" s="48"/>
      <c r="ATA40" s="48"/>
      <c r="ATB40" s="48"/>
      <c r="ATC40" s="48"/>
      <c r="ATD40" s="48"/>
      <c r="ATE40" s="48"/>
      <c r="ATF40" s="48"/>
      <c r="ATG40" s="48"/>
      <c r="ATH40" s="48"/>
      <c r="ATI40" s="48"/>
      <c r="ATJ40" s="48"/>
      <c r="ATK40" s="48"/>
      <c r="ATL40" s="48"/>
      <c r="ATM40" s="48"/>
      <c r="ATN40" s="48"/>
      <c r="ATO40" s="48"/>
      <c r="ATP40" s="48"/>
      <c r="ATQ40" s="48"/>
      <c r="ATR40" s="48"/>
      <c r="ATS40" s="48"/>
      <c r="ATT40" s="48"/>
      <c r="ATU40" s="48"/>
      <c r="ATV40" s="48"/>
      <c r="ATW40" s="48"/>
      <c r="ATX40" s="48"/>
      <c r="ATY40" s="48"/>
      <c r="ATZ40" s="48"/>
      <c r="AUA40" s="48"/>
      <c r="AUB40" s="48"/>
      <c r="AUC40" s="48"/>
      <c r="AUD40" s="48"/>
      <c r="AUE40" s="48"/>
      <c r="AUF40" s="48"/>
      <c r="AUG40" s="48"/>
      <c r="AUH40" s="48"/>
      <c r="AUI40" s="48"/>
      <c r="AUJ40" s="48"/>
      <c r="AUK40" s="48"/>
      <c r="AUL40" s="48"/>
      <c r="AUM40" s="48"/>
      <c r="AUN40" s="48"/>
      <c r="AUO40" s="48"/>
      <c r="AUP40" s="48"/>
      <c r="AUQ40" s="48"/>
      <c r="AUR40" s="48"/>
      <c r="AUS40" s="48"/>
      <c r="AUT40" s="48"/>
      <c r="AUU40" s="48"/>
      <c r="AUV40" s="48"/>
      <c r="AUW40" s="48"/>
      <c r="AUX40" s="48"/>
      <c r="AUY40" s="48"/>
      <c r="AUZ40" s="48"/>
      <c r="AVA40" s="48"/>
      <c r="AVB40" s="48"/>
      <c r="AVC40" s="48"/>
      <c r="AVD40" s="48"/>
      <c r="AVE40" s="48"/>
      <c r="AVF40" s="48"/>
      <c r="AVG40" s="48"/>
      <c r="AVH40" s="48"/>
      <c r="AVI40" s="48"/>
      <c r="AVJ40" s="48"/>
      <c r="AVK40" s="48"/>
      <c r="AVL40" s="48"/>
      <c r="AVM40" s="48"/>
      <c r="AVN40" s="48"/>
      <c r="AVO40" s="48"/>
      <c r="AVP40" s="48"/>
      <c r="AVQ40" s="48"/>
      <c r="AVR40" s="48"/>
      <c r="AVS40" s="48"/>
      <c r="AVT40" s="48"/>
      <c r="AVU40" s="48"/>
      <c r="AVV40" s="48"/>
      <c r="AVW40" s="48"/>
      <c r="AVX40" s="48"/>
      <c r="AVY40" s="48"/>
      <c r="AVZ40" s="48"/>
      <c r="AWA40" s="48"/>
      <c r="AWB40" s="48"/>
      <c r="AWC40" s="48"/>
      <c r="AWD40" s="48"/>
      <c r="AWE40" s="48"/>
      <c r="AWF40" s="48"/>
      <c r="AWG40" s="48"/>
      <c r="AWH40" s="48"/>
      <c r="AWI40" s="48"/>
      <c r="AWJ40" s="48"/>
      <c r="AWK40" s="48"/>
      <c r="AWL40" s="48"/>
      <c r="AWM40" s="48"/>
      <c r="AWN40" s="48"/>
      <c r="AWO40" s="48"/>
      <c r="AWP40" s="48"/>
      <c r="AWQ40" s="48"/>
      <c r="AWR40" s="48"/>
      <c r="AWS40" s="48"/>
      <c r="AWT40" s="48"/>
      <c r="AWU40" s="48"/>
      <c r="AWV40" s="48"/>
      <c r="AWW40" s="48"/>
      <c r="AWX40" s="48"/>
      <c r="AWY40" s="48"/>
      <c r="AWZ40" s="48"/>
      <c r="AXA40" s="48"/>
      <c r="AXB40" s="48"/>
      <c r="AXC40" s="48"/>
      <c r="AXD40" s="48"/>
      <c r="AXE40" s="48"/>
      <c r="AXF40" s="48"/>
      <c r="AXG40" s="48"/>
      <c r="AXH40" s="48"/>
      <c r="AXI40" s="48"/>
      <c r="AXJ40" s="48"/>
      <c r="AXK40" s="48"/>
      <c r="AXL40" s="48"/>
      <c r="AXM40" s="48"/>
      <c r="AXN40" s="48"/>
      <c r="AXO40" s="48"/>
      <c r="AXP40" s="48"/>
      <c r="AXQ40" s="48"/>
      <c r="AXR40" s="48"/>
      <c r="AXS40" s="48"/>
      <c r="AXT40" s="48"/>
      <c r="AXU40" s="48"/>
      <c r="AXV40" s="48"/>
      <c r="AXW40" s="48"/>
      <c r="AXX40" s="48"/>
      <c r="AXY40" s="48"/>
      <c r="AXZ40" s="48"/>
      <c r="AYA40" s="48"/>
      <c r="AYB40" s="48"/>
      <c r="AYC40" s="48"/>
      <c r="AYD40" s="48"/>
      <c r="AYE40" s="48"/>
      <c r="AYF40" s="48"/>
      <c r="AYG40" s="48"/>
      <c r="AYH40" s="48"/>
      <c r="AYI40" s="48"/>
      <c r="AYJ40" s="48"/>
      <c r="AYK40" s="48"/>
      <c r="AYL40" s="48"/>
      <c r="AYM40" s="48"/>
      <c r="AYN40" s="48"/>
      <c r="AYO40" s="48"/>
      <c r="AYP40" s="48"/>
      <c r="AYQ40" s="48"/>
      <c r="AYR40" s="48"/>
      <c r="AYS40" s="48"/>
      <c r="AYT40" s="48"/>
      <c r="AYU40" s="48"/>
      <c r="AYV40" s="48"/>
      <c r="AYW40" s="48"/>
      <c r="AYX40" s="48"/>
      <c r="AYY40" s="48"/>
      <c r="AYZ40" s="48"/>
      <c r="AZA40" s="48"/>
      <c r="AZB40" s="48"/>
      <c r="AZC40" s="48"/>
      <c r="AZD40" s="48"/>
      <c r="AZE40" s="48"/>
      <c r="AZF40" s="48"/>
      <c r="AZG40" s="48"/>
      <c r="AZH40" s="48"/>
      <c r="AZI40" s="48"/>
      <c r="AZJ40" s="48"/>
      <c r="AZK40" s="48"/>
      <c r="AZL40" s="48"/>
      <c r="AZM40" s="48"/>
      <c r="AZN40" s="48"/>
      <c r="AZO40" s="48"/>
      <c r="AZP40" s="48"/>
      <c r="AZQ40" s="48"/>
      <c r="AZR40" s="48"/>
      <c r="AZS40" s="48"/>
      <c r="AZT40" s="48"/>
      <c r="AZU40" s="48"/>
      <c r="AZV40" s="48"/>
      <c r="AZW40" s="48"/>
      <c r="AZX40" s="48"/>
      <c r="AZY40" s="48"/>
      <c r="AZZ40" s="48"/>
      <c r="BAA40" s="48"/>
      <c r="BAB40" s="48"/>
      <c r="BAC40" s="48"/>
      <c r="BAD40" s="48"/>
      <c r="BAE40" s="48"/>
      <c r="BAF40" s="48"/>
      <c r="BAG40" s="48"/>
      <c r="BAH40" s="48"/>
      <c r="BAI40" s="48"/>
      <c r="BAJ40" s="48"/>
      <c r="BAK40" s="48"/>
      <c r="BAL40" s="48"/>
      <c r="BAM40" s="48"/>
      <c r="BAN40" s="48"/>
      <c r="BAO40" s="48"/>
      <c r="BAP40" s="48"/>
      <c r="BAQ40" s="48"/>
      <c r="BAR40" s="48"/>
      <c r="BAS40" s="48"/>
      <c r="BAT40" s="48"/>
      <c r="BAU40" s="48"/>
      <c r="BAV40" s="48"/>
      <c r="BAW40" s="48"/>
      <c r="BAX40" s="48"/>
    </row>
    <row r="41" spans="1:1402" ht="45" hidden="1" x14ac:dyDescent="0.25">
      <c r="A41" s="307">
        <f t="shared" si="3"/>
        <v>40</v>
      </c>
      <c r="B41" s="308" t="s">
        <v>1211</v>
      </c>
      <c r="C41" s="308" t="s">
        <v>1201</v>
      </c>
      <c r="D41" s="318" t="s">
        <v>1005</v>
      </c>
      <c r="E41" s="285" t="s">
        <v>831</v>
      </c>
      <c r="F41" s="286" t="s">
        <v>915</v>
      </c>
      <c r="G41" s="308" t="s">
        <v>719</v>
      </c>
      <c r="H41" s="272">
        <f t="shared" si="6"/>
        <v>-150</v>
      </c>
      <c r="I41" s="263">
        <v>2097410</v>
      </c>
      <c r="J41" s="263">
        <v>1769</v>
      </c>
      <c r="K41" s="263">
        <f>Master20[[#This Row],[Initial Budget]]-Master20[[#This Row],[Previously Committed Funds]]</f>
        <v>2095641</v>
      </c>
      <c r="L41" s="263">
        <v>0</v>
      </c>
      <c r="M41" s="263">
        <v>0</v>
      </c>
      <c r="N41" s="268">
        <f>Master20[[#This Row],[Design $ (Add/Deduct)]]+Master20[[#This Row],[Construction $ (Add/Ded)]]</f>
        <v>0</v>
      </c>
      <c r="O41" s="266">
        <f>Master20[[#This Row],[Total Add]]+Master20[[#This Row],[Current Available Balance]]+Master20[[#This Row],[Previously Committed Funds]]</f>
        <v>2097410</v>
      </c>
      <c r="P41" s="311">
        <v>2018</v>
      </c>
      <c r="Q41" s="308" t="s">
        <v>46</v>
      </c>
      <c r="R41" s="311">
        <f t="shared" si="7"/>
        <v>50</v>
      </c>
      <c r="S41" s="309">
        <v>10</v>
      </c>
      <c r="T41" s="310">
        <f t="shared" si="8"/>
        <v>21</v>
      </c>
      <c r="U41" s="309" t="s">
        <v>45</v>
      </c>
      <c r="V41" s="310">
        <f t="shared" si="9"/>
        <v>32</v>
      </c>
      <c r="W41" s="310" t="s">
        <v>34</v>
      </c>
      <c r="X41" s="310">
        <v>0</v>
      </c>
      <c r="Y41" s="310"/>
      <c r="Z41" s="310"/>
      <c r="AA41" s="310"/>
      <c r="AB41" s="310">
        <v>-2</v>
      </c>
      <c r="AC41" s="310"/>
      <c r="AD41" s="310"/>
      <c r="AE41" s="310"/>
      <c r="AF41" s="309" t="s">
        <v>35</v>
      </c>
      <c r="AG41" s="311">
        <f>VLOOKUP(Master20[[#This Row],[Elevated Priority]],Epriority,2,)</f>
        <v>-25</v>
      </c>
      <c r="AH41" s="321">
        <f>IF(Master20[[#This Row],[Status]]="Active",Master20[[#This Row],[Status_Score]],IF(D41="","",R41+H41+T41+V41+AG41+AE41+Master20[[#This Row],[Risk Mitigation]]+Master20[[#This Row],[Master Plan]]+Master20[[#This Row],[Community Request]]+Master20[[#This Row],[Community need]]+Master20[[#This Row],[Offset Aging Inf.]]+Master20[[#This Row],[Energy Savings]]+Master20[[#This Row],[Gen Revenue]]-5))</f>
        <v>-79</v>
      </c>
      <c r="AI41" s="310" t="s">
        <v>717</v>
      </c>
      <c r="AJ41" s="310">
        <v>2017</v>
      </c>
      <c r="AK41" s="310">
        <v>2022</v>
      </c>
      <c r="AL41" s="310">
        <v>2017</v>
      </c>
      <c r="AM41" s="310">
        <v>2022</v>
      </c>
      <c r="AN41" s="304" t="s">
        <v>1152</v>
      </c>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c r="KH41" s="48"/>
      <c r="KI41" s="48"/>
      <c r="KJ41" s="48"/>
      <c r="KK41" s="48"/>
      <c r="KL41" s="48"/>
      <c r="KM41" s="48"/>
      <c r="KN41" s="48"/>
      <c r="KO41" s="48"/>
      <c r="KP41" s="48"/>
      <c r="KQ41" s="48"/>
      <c r="KR41" s="48"/>
      <c r="KS41" s="48"/>
      <c r="KT41" s="48"/>
      <c r="KU41" s="48"/>
      <c r="KV41" s="48"/>
      <c r="KW41" s="48"/>
      <c r="KX41" s="48"/>
      <c r="KY41" s="48"/>
      <c r="KZ41" s="48"/>
      <c r="LA41" s="48"/>
      <c r="LB41" s="48"/>
      <c r="LC41" s="48"/>
      <c r="LD41" s="48"/>
      <c r="LE41" s="48"/>
      <c r="LF41" s="48"/>
      <c r="LG41" s="48"/>
      <c r="LH41" s="48"/>
      <c r="LI41" s="48"/>
      <c r="LJ41" s="48"/>
      <c r="LK41" s="48"/>
      <c r="LL41" s="48"/>
      <c r="LM41" s="48"/>
      <c r="LN41" s="48"/>
      <c r="LO41" s="48"/>
      <c r="LP41" s="48"/>
      <c r="LQ41" s="48"/>
      <c r="LR41" s="48"/>
      <c r="LS41" s="48"/>
      <c r="LT41" s="48"/>
      <c r="LU41" s="48"/>
      <c r="LV41" s="48"/>
      <c r="LW41" s="48"/>
      <c r="LX41" s="48"/>
      <c r="LY41" s="48"/>
      <c r="LZ41" s="48"/>
      <c r="MA41" s="48"/>
      <c r="MB41" s="48"/>
      <c r="MC41" s="48"/>
      <c r="MD41" s="48"/>
      <c r="ME41" s="48"/>
      <c r="MF41" s="48"/>
      <c r="MG41" s="48"/>
      <c r="MH41" s="48"/>
      <c r="MI41" s="48"/>
      <c r="MJ41" s="48"/>
      <c r="MK41" s="48"/>
      <c r="ML41" s="48"/>
      <c r="MM41" s="48"/>
      <c r="MN41" s="48"/>
      <c r="MO41" s="48"/>
      <c r="MP41" s="48"/>
      <c r="MQ41" s="48"/>
      <c r="MR41" s="48"/>
      <c r="MS41" s="48"/>
      <c r="MT41" s="48"/>
      <c r="MU41" s="48"/>
      <c r="MV41" s="48"/>
      <c r="MW41" s="48"/>
      <c r="MX41" s="48"/>
      <c r="MY41" s="48"/>
      <c r="MZ41" s="48"/>
      <c r="NA41" s="48"/>
      <c r="NB41" s="48"/>
      <c r="NC41" s="48"/>
      <c r="ND41" s="48"/>
      <c r="NE41" s="48"/>
      <c r="NF41" s="48"/>
      <c r="NG41" s="48"/>
      <c r="NH41" s="48"/>
      <c r="NI41" s="48"/>
      <c r="NJ41" s="48"/>
      <c r="NK41" s="48"/>
      <c r="NL41" s="48"/>
      <c r="NM41" s="48"/>
      <c r="NN41" s="48"/>
      <c r="NO41" s="48"/>
      <c r="NP41" s="48"/>
      <c r="NQ41" s="48"/>
      <c r="NR41" s="48"/>
      <c r="NS41" s="48"/>
      <c r="NT41" s="48"/>
      <c r="NU41" s="48"/>
      <c r="NV41" s="48"/>
      <c r="NW41" s="48"/>
      <c r="NX41" s="48"/>
      <c r="NY41" s="48"/>
      <c r="NZ41" s="48"/>
      <c r="OA41" s="48"/>
      <c r="OB41" s="48"/>
      <c r="OC41" s="48"/>
      <c r="OD41" s="48"/>
      <c r="OE41" s="48"/>
      <c r="OF41" s="48"/>
      <c r="OG41" s="48"/>
      <c r="OH41" s="48"/>
      <c r="OI41" s="48"/>
      <c r="OJ41" s="48"/>
      <c r="OK41" s="48"/>
      <c r="OL41" s="48"/>
      <c r="OM41" s="48"/>
      <c r="ON41" s="48"/>
      <c r="OO41" s="48"/>
      <c r="OP41" s="48"/>
      <c r="OQ41" s="48"/>
      <c r="OR41" s="48"/>
      <c r="OS41" s="48"/>
      <c r="OT41" s="48"/>
      <c r="OU41" s="48"/>
      <c r="OV41" s="48"/>
      <c r="OW41" s="48"/>
      <c r="OX41" s="48"/>
      <c r="OY41" s="48"/>
      <c r="OZ41" s="48"/>
      <c r="PA41" s="48"/>
      <c r="PB41" s="48"/>
      <c r="PC41" s="48"/>
      <c r="PD41" s="48"/>
      <c r="PE41" s="48"/>
      <c r="PF41" s="48"/>
      <c r="PG41" s="48"/>
      <c r="PH41" s="48"/>
      <c r="PI41" s="48"/>
      <c r="PJ41" s="48"/>
      <c r="PK41" s="48"/>
      <c r="PL41" s="48"/>
      <c r="PM41" s="48"/>
      <c r="PN41" s="48"/>
      <c r="PO41" s="48"/>
      <c r="PP41" s="48"/>
      <c r="PQ41" s="48"/>
      <c r="PR41" s="48"/>
      <c r="PS41" s="48"/>
      <c r="PT41" s="48"/>
      <c r="PU41" s="48"/>
      <c r="PV41" s="48"/>
      <c r="PW41" s="48"/>
      <c r="PX41" s="48"/>
      <c r="PY41" s="48"/>
      <c r="PZ41" s="48"/>
      <c r="QA41" s="48"/>
      <c r="QB41" s="48"/>
      <c r="QC41" s="48"/>
      <c r="QD41" s="48"/>
      <c r="QE41" s="48"/>
      <c r="QF41" s="48"/>
      <c r="QG41" s="48"/>
      <c r="QH41" s="48"/>
      <c r="QI41" s="48"/>
      <c r="QJ41" s="48"/>
      <c r="QK41" s="48"/>
      <c r="QL41" s="48"/>
      <c r="QM41" s="48"/>
      <c r="QN41" s="48"/>
      <c r="QO41" s="48"/>
      <c r="QP41" s="48"/>
      <c r="QQ41" s="48"/>
      <c r="QR41" s="48"/>
      <c r="QS41" s="48"/>
      <c r="QT41" s="48"/>
      <c r="QU41" s="48"/>
      <c r="QV41" s="48"/>
      <c r="QW41" s="48"/>
      <c r="QX41" s="48"/>
      <c r="QY41" s="48"/>
      <c r="QZ41" s="48"/>
      <c r="RA41" s="48"/>
      <c r="RB41" s="48"/>
      <c r="RC41" s="48"/>
      <c r="RD41" s="48"/>
      <c r="RE41" s="48"/>
      <c r="RF41" s="48"/>
      <c r="RG41" s="48"/>
      <c r="RH41" s="48"/>
      <c r="RI41" s="48"/>
      <c r="RJ41" s="48"/>
      <c r="RK41" s="48"/>
      <c r="RL41" s="48"/>
      <c r="RM41" s="48"/>
      <c r="RN41" s="48"/>
      <c r="RO41" s="48"/>
      <c r="RP41" s="48"/>
      <c r="RQ41" s="48"/>
      <c r="RR41" s="48"/>
      <c r="RS41" s="48"/>
      <c r="RT41" s="48"/>
      <c r="RU41" s="48"/>
      <c r="RV41" s="48"/>
      <c r="RW41" s="48"/>
      <c r="RX41" s="48"/>
      <c r="RY41" s="48"/>
      <c r="RZ41" s="48"/>
      <c r="SA41" s="48"/>
      <c r="SB41" s="48"/>
      <c r="SC41" s="48"/>
      <c r="SD41" s="48"/>
      <c r="SE41" s="48"/>
      <c r="SF41" s="48"/>
      <c r="SG41" s="48"/>
      <c r="SH41" s="48"/>
      <c r="SI41" s="48"/>
      <c r="SJ41" s="48"/>
      <c r="SK41" s="48"/>
      <c r="SL41" s="48"/>
      <c r="SM41" s="48"/>
      <c r="SN41" s="48"/>
      <c r="SO41" s="48"/>
      <c r="SP41" s="48"/>
      <c r="SQ41" s="48"/>
      <c r="SR41" s="48"/>
      <c r="SS41" s="48"/>
      <c r="ST41" s="48"/>
      <c r="SU41" s="48"/>
      <c r="SV41" s="48"/>
      <c r="SW41" s="48"/>
      <c r="SX41" s="48"/>
      <c r="SY41" s="48"/>
      <c r="SZ41" s="48"/>
      <c r="TA41" s="48"/>
      <c r="TB41" s="48"/>
      <c r="TC41" s="48"/>
      <c r="TD41" s="48"/>
      <c r="TE41" s="48"/>
      <c r="TF41" s="48"/>
      <c r="TG41" s="48"/>
      <c r="TH41" s="48"/>
      <c r="TI41" s="48"/>
      <c r="TJ41" s="48"/>
      <c r="TK41" s="48"/>
      <c r="TL41" s="48"/>
      <c r="TM41" s="48"/>
      <c r="TN41" s="48"/>
      <c r="TO41" s="48"/>
      <c r="TP41" s="48"/>
      <c r="TQ41" s="48"/>
      <c r="TR41" s="48"/>
      <c r="TS41" s="48"/>
      <c r="TT41" s="48"/>
      <c r="TU41" s="48"/>
      <c r="TV41" s="48"/>
      <c r="TW41" s="48"/>
      <c r="TX41" s="48"/>
      <c r="TY41" s="48"/>
      <c r="TZ41" s="48"/>
      <c r="UA41" s="48"/>
      <c r="UB41" s="48"/>
      <c r="UC41" s="48"/>
      <c r="UD41" s="48"/>
      <c r="UE41" s="48"/>
      <c r="UF41" s="48"/>
      <c r="UG41" s="48"/>
      <c r="UH41" s="48"/>
      <c r="UI41" s="48"/>
      <c r="UJ41" s="48"/>
      <c r="UK41" s="48"/>
      <c r="UL41" s="48"/>
      <c r="UM41" s="48"/>
      <c r="UN41" s="48"/>
      <c r="UO41" s="48"/>
      <c r="UP41" s="48"/>
      <c r="UQ41" s="48"/>
      <c r="UR41" s="48"/>
      <c r="US41" s="48"/>
      <c r="UT41" s="48"/>
      <c r="UU41" s="48"/>
      <c r="UV41" s="48"/>
      <c r="UW41" s="48"/>
      <c r="UX41" s="48"/>
      <c r="UY41" s="48"/>
      <c r="UZ41" s="48"/>
      <c r="VA41" s="48"/>
      <c r="VB41" s="48"/>
      <c r="VC41" s="48"/>
      <c r="VD41" s="48"/>
      <c r="VE41" s="48"/>
      <c r="VF41" s="48"/>
      <c r="VG41" s="48"/>
      <c r="VH41" s="48"/>
      <c r="VI41" s="48"/>
      <c r="VJ41" s="48"/>
      <c r="VK41" s="48"/>
      <c r="VL41" s="48"/>
      <c r="VM41" s="48"/>
      <c r="VN41" s="48"/>
      <c r="VO41" s="48"/>
      <c r="VP41" s="48"/>
      <c r="VQ41" s="48"/>
      <c r="VR41" s="48"/>
      <c r="VS41" s="48"/>
      <c r="VT41" s="48"/>
      <c r="VU41" s="48"/>
      <c r="VV41" s="48"/>
      <c r="VW41" s="48"/>
      <c r="VX41" s="48"/>
      <c r="VY41" s="48"/>
      <c r="VZ41" s="48"/>
      <c r="WA41" s="48"/>
      <c r="WB41" s="48"/>
      <c r="WC41" s="48"/>
      <c r="WD41" s="48"/>
      <c r="WE41" s="48"/>
      <c r="WF41" s="48"/>
      <c r="WG41" s="48"/>
      <c r="WH41" s="48"/>
      <c r="WI41" s="48"/>
      <c r="WJ41" s="48"/>
      <c r="WK41" s="48"/>
      <c r="WL41" s="48"/>
      <c r="WM41" s="48"/>
      <c r="WN41" s="48"/>
      <c r="WO41" s="48"/>
      <c r="WP41" s="48"/>
      <c r="WQ41" s="48"/>
      <c r="WR41" s="48"/>
      <c r="WS41" s="48"/>
      <c r="WT41" s="48"/>
      <c r="WU41" s="48"/>
      <c r="WV41" s="48"/>
      <c r="WW41" s="48"/>
      <c r="WX41" s="48"/>
      <c r="WY41" s="48"/>
      <c r="WZ41" s="48"/>
      <c r="XA41" s="48"/>
      <c r="XB41" s="48"/>
      <c r="XC41" s="48"/>
      <c r="XD41" s="48"/>
      <c r="XE41" s="48"/>
      <c r="XF41" s="48"/>
      <c r="XG41" s="48"/>
      <c r="XH41" s="48"/>
      <c r="XI41" s="48"/>
      <c r="XJ41" s="48"/>
      <c r="XK41" s="48"/>
      <c r="XL41" s="48"/>
      <c r="XM41" s="48"/>
      <c r="XN41" s="48"/>
      <c r="XO41" s="48"/>
      <c r="XP41" s="48"/>
      <c r="XQ41" s="48"/>
      <c r="XR41" s="48"/>
      <c r="XS41" s="48"/>
      <c r="XT41" s="48"/>
      <c r="XU41" s="48"/>
      <c r="XV41" s="48"/>
      <c r="XW41" s="48"/>
      <c r="XX41" s="48"/>
      <c r="XY41" s="48"/>
      <c r="XZ41" s="48"/>
      <c r="YA41" s="48"/>
      <c r="YB41" s="48"/>
      <c r="YC41" s="48"/>
      <c r="YD41" s="48"/>
      <c r="YE41" s="48"/>
      <c r="YF41" s="48"/>
      <c r="YG41" s="48"/>
      <c r="YH41" s="48"/>
      <c r="YI41" s="48"/>
      <c r="YJ41" s="48"/>
      <c r="YK41" s="48"/>
      <c r="YL41" s="48"/>
      <c r="YM41" s="48"/>
      <c r="YN41" s="48"/>
      <c r="YO41" s="48"/>
      <c r="YP41" s="48"/>
      <c r="YQ41" s="48"/>
      <c r="YR41" s="48"/>
      <c r="YS41" s="48"/>
      <c r="YT41" s="48"/>
      <c r="YU41" s="48"/>
      <c r="YV41" s="48"/>
      <c r="YW41" s="48"/>
      <c r="YX41" s="48"/>
      <c r="YY41" s="48"/>
      <c r="YZ41" s="48"/>
      <c r="ZA41" s="48"/>
      <c r="ZB41" s="48"/>
      <c r="ZC41" s="48"/>
      <c r="ZD41" s="48"/>
      <c r="ZE41" s="48"/>
      <c r="ZF41" s="48"/>
      <c r="ZG41" s="48"/>
      <c r="ZH41" s="48"/>
      <c r="ZI41" s="48"/>
      <c r="ZJ41" s="48"/>
      <c r="ZK41" s="48"/>
      <c r="ZL41" s="48"/>
      <c r="ZM41" s="48"/>
      <c r="ZN41" s="48"/>
      <c r="ZO41" s="48"/>
      <c r="ZP41" s="48"/>
      <c r="ZQ41" s="48"/>
      <c r="ZR41" s="48"/>
      <c r="ZS41" s="48"/>
      <c r="ZT41" s="48"/>
      <c r="ZU41" s="48"/>
      <c r="ZV41" s="48"/>
      <c r="ZW41" s="48"/>
      <c r="ZX41" s="48"/>
      <c r="ZY41" s="48"/>
      <c r="ZZ41" s="48"/>
      <c r="AAA41" s="48"/>
      <c r="AAB41" s="48"/>
      <c r="AAC41" s="48"/>
      <c r="AAD41" s="48"/>
      <c r="AAE41" s="48"/>
      <c r="AAF41" s="48"/>
      <c r="AAG41" s="48"/>
      <c r="AAH41" s="48"/>
      <c r="AAI41" s="48"/>
      <c r="AAJ41" s="48"/>
      <c r="AAK41" s="48"/>
      <c r="AAL41" s="48"/>
      <c r="AAM41" s="48"/>
      <c r="AAN41" s="48"/>
      <c r="AAO41" s="48"/>
      <c r="AAP41" s="48"/>
      <c r="AAQ41" s="48"/>
      <c r="AAR41" s="48"/>
      <c r="AAS41" s="48"/>
      <c r="AAT41" s="48"/>
      <c r="AAU41" s="48"/>
      <c r="AAV41" s="48"/>
      <c r="AAW41" s="48"/>
      <c r="AAX41" s="48"/>
      <c r="AAY41" s="48"/>
      <c r="AAZ41" s="48"/>
      <c r="ABA41" s="48"/>
      <c r="ABB41" s="48"/>
      <c r="ABC41" s="48"/>
      <c r="ABD41" s="48"/>
      <c r="ABE41" s="48"/>
      <c r="ABF41" s="48"/>
      <c r="ABG41" s="48"/>
      <c r="ABH41" s="48"/>
      <c r="ABI41" s="48"/>
      <c r="ABJ41" s="48"/>
      <c r="ABK41" s="48"/>
      <c r="ABL41" s="48"/>
      <c r="ABM41" s="48"/>
      <c r="ABN41" s="48"/>
      <c r="ABO41" s="48"/>
      <c r="ABP41" s="48"/>
      <c r="ABQ41" s="48"/>
      <c r="ABR41" s="48"/>
      <c r="ABS41" s="48"/>
      <c r="ABT41" s="48"/>
      <c r="ABU41" s="48"/>
      <c r="ABV41" s="48"/>
      <c r="ABW41" s="48"/>
      <c r="ABX41" s="48"/>
      <c r="ABY41" s="48"/>
      <c r="ABZ41" s="48"/>
      <c r="ACA41" s="48"/>
      <c r="ACB41" s="48"/>
      <c r="ACC41" s="48"/>
      <c r="ACD41" s="48"/>
      <c r="ACE41" s="48"/>
      <c r="ACF41" s="48"/>
      <c r="ACG41" s="48"/>
      <c r="ACH41" s="48"/>
      <c r="ACI41" s="48"/>
      <c r="ACJ41" s="48"/>
      <c r="ACK41" s="48"/>
      <c r="ACL41" s="48"/>
      <c r="ACM41" s="48"/>
      <c r="ACN41" s="48"/>
      <c r="ACO41" s="48"/>
      <c r="ACP41" s="48"/>
      <c r="ACQ41" s="48"/>
      <c r="ACR41" s="48"/>
      <c r="ACS41" s="48"/>
      <c r="ACT41" s="48"/>
      <c r="ACU41" s="48"/>
      <c r="ACV41" s="48"/>
      <c r="ACW41" s="48"/>
      <c r="ACX41" s="48"/>
      <c r="ACY41" s="48"/>
      <c r="ACZ41" s="48"/>
      <c r="ADA41" s="48"/>
      <c r="ADB41" s="48"/>
      <c r="ADC41" s="48"/>
      <c r="ADD41" s="48"/>
      <c r="ADE41" s="48"/>
      <c r="ADF41" s="48"/>
      <c r="ADG41" s="48"/>
      <c r="ADH41" s="48"/>
      <c r="ADI41" s="48"/>
      <c r="ADJ41" s="48"/>
      <c r="ADK41" s="48"/>
      <c r="ADL41" s="48"/>
      <c r="ADM41" s="48"/>
      <c r="ADN41" s="48"/>
      <c r="ADO41" s="48"/>
      <c r="ADP41" s="48"/>
      <c r="ADQ41" s="48"/>
      <c r="ADR41" s="48"/>
      <c r="ADS41" s="48"/>
      <c r="ADT41" s="48"/>
      <c r="ADU41" s="48"/>
      <c r="ADV41" s="48"/>
      <c r="ADW41" s="48"/>
      <c r="ADX41" s="48"/>
      <c r="ADY41" s="48"/>
      <c r="ADZ41" s="48"/>
      <c r="AEA41" s="48"/>
      <c r="AEB41" s="48"/>
      <c r="AEC41" s="48"/>
      <c r="AED41" s="48"/>
      <c r="AEE41" s="48"/>
      <c r="AEF41" s="48"/>
      <c r="AEG41" s="48"/>
      <c r="AEH41" s="48"/>
      <c r="AEI41" s="48"/>
      <c r="AEJ41" s="48"/>
      <c r="AEK41" s="48"/>
      <c r="AEL41" s="48"/>
      <c r="AEM41" s="48"/>
      <c r="AEN41" s="48"/>
      <c r="AEO41" s="48"/>
      <c r="AEP41" s="48"/>
      <c r="AEQ41" s="48"/>
      <c r="AER41" s="48"/>
      <c r="AES41" s="48"/>
      <c r="AET41" s="48"/>
      <c r="AEU41" s="48"/>
      <c r="AEV41" s="48"/>
      <c r="AEW41" s="48"/>
      <c r="AEX41" s="48"/>
      <c r="AEY41" s="48"/>
      <c r="AEZ41" s="48"/>
      <c r="AFA41" s="48"/>
      <c r="AFB41" s="48"/>
      <c r="AFC41" s="48"/>
      <c r="AFD41" s="48"/>
      <c r="AFE41" s="48"/>
      <c r="AFF41" s="48"/>
      <c r="AFG41" s="48"/>
      <c r="AFH41" s="48"/>
      <c r="AFI41" s="48"/>
      <c r="AFJ41" s="48"/>
      <c r="AFK41" s="48"/>
      <c r="AFL41" s="48"/>
      <c r="AFM41" s="48"/>
      <c r="AFN41" s="48"/>
      <c r="AFO41" s="48"/>
      <c r="AFP41" s="48"/>
      <c r="AFQ41" s="48"/>
      <c r="AFR41" s="48"/>
      <c r="AFS41" s="48"/>
      <c r="AFT41" s="48"/>
      <c r="AFU41" s="48"/>
      <c r="AFV41" s="48"/>
      <c r="AFW41" s="48"/>
      <c r="AFX41" s="48"/>
      <c r="AFY41" s="48"/>
      <c r="AFZ41" s="48"/>
      <c r="AGA41" s="48"/>
      <c r="AGB41" s="48"/>
      <c r="AGC41" s="48"/>
      <c r="AGD41" s="48"/>
      <c r="AGE41" s="48"/>
      <c r="AGF41" s="48"/>
      <c r="AGG41" s="48"/>
      <c r="AGH41" s="48"/>
      <c r="AGI41" s="48"/>
      <c r="AGJ41" s="48"/>
      <c r="AGK41" s="48"/>
      <c r="AGL41" s="48"/>
      <c r="AGM41" s="48"/>
      <c r="AGN41" s="48"/>
      <c r="AGO41" s="48"/>
      <c r="AGP41" s="48"/>
      <c r="AGQ41" s="48"/>
      <c r="AGR41" s="48"/>
      <c r="AGS41" s="48"/>
      <c r="AGT41" s="48"/>
      <c r="AGU41" s="48"/>
      <c r="AGV41" s="48"/>
      <c r="AGW41" s="48"/>
      <c r="AGX41" s="48"/>
      <c r="AGY41" s="48"/>
      <c r="AGZ41" s="48"/>
      <c r="AHA41" s="48"/>
      <c r="AHB41" s="48"/>
      <c r="AHC41" s="48"/>
      <c r="AHD41" s="48"/>
      <c r="AHE41" s="48"/>
      <c r="AHF41" s="48"/>
      <c r="AHG41" s="48"/>
      <c r="AHH41" s="48"/>
      <c r="AHI41" s="48"/>
      <c r="AHJ41" s="48"/>
      <c r="AHK41" s="48"/>
      <c r="AHL41" s="48"/>
      <c r="AHM41" s="48"/>
      <c r="AHN41" s="48"/>
      <c r="AHO41" s="48"/>
      <c r="AHP41" s="48"/>
      <c r="AHQ41" s="48"/>
      <c r="AHR41" s="48"/>
      <c r="AHS41" s="48"/>
      <c r="AHT41" s="48"/>
      <c r="AHU41" s="48"/>
      <c r="AHV41" s="48"/>
      <c r="AHW41" s="48"/>
      <c r="AHX41" s="48"/>
      <c r="AHY41" s="48"/>
      <c r="AHZ41" s="48"/>
      <c r="AIA41" s="48"/>
      <c r="AIB41" s="48"/>
      <c r="AIC41" s="48"/>
      <c r="AID41" s="48"/>
      <c r="AIE41" s="48"/>
      <c r="AIF41" s="48"/>
      <c r="AIG41" s="48"/>
      <c r="AIH41" s="48"/>
      <c r="AII41" s="48"/>
      <c r="AIJ41" s="48"/>
      <c r="AIK41" s="48"/>
      <c r="AIL41" s="48"/>
      <c r="AIM41" s="48"/>
      <c r="AIN41" s="48"/>
      <c r="AIO41" s="48"/>
      <c r="AIP41" s="48"/>
      <c r="AIQ41" s="48"/>
      <c r="AIR41" s="48"/>
      <c r="AIS41" s="48"/>
      <c r="AIT41" s="48"/>
      <c r="AIU41" s="48"/>
      <c r="AIV41" s="48"/>
      <c r="AIW41" s="48"/>
      <c r="AIX41" s="48"/>
      <c r="AIY41" s="48"/>
      <c r="AIZ41" s="48"/>
      <c r="AJA41" s="48"/>
      <c r="AJB41" s="48"/>
      <c r="AJC41" s="48"/>
      <c r="AJD41" s="48"/>
      <c r="AJE41" s="48"/>
      <c r="AJF41" s="48"/>
      <c r="AJG41" s="48"/>
      <c r="AJH41" s="48"/>
      <c r="AJI41" s="48"/>
      <c r="AJJ41" s="48"/>
      <c r="AJK41" s="48"/>
      <c r="AJL41" s="48"/>
      <c r="AJM41" s="48"/>
      <c r="AJN41" s="48"/>
      <c r="AJO41" s="48"/>
      <c r="AJP41" s="48"/>
      <c r="AJQ41" s="48"/>
      <c r="AJR41" s="48"/>
      <c r="AJS41" s="48"/>
      <c r="AJT41" s="48"/>
      <c r="AJU41" s="48"/>
      <c r="AJV41" s="48"/>
      <c r="AJW41" s="48"/>
      <c r="AJX41" s="48"/>
      <c r="AJY41" s="48"/>
      <c r="AJZ41" s="48"/>
      <c r="AKA41" s="48"/>
      <c r="AKB41" s="48"/>
      <c r="AKC41" s="48"/>
      <c r="AKD41" s="48"/>
      <c r="AKE41" s="48"/>
      <c r="AKF41" s="48"/>
      <c r="AKG41" s="48"/>
      <c r="AKH41" s="48"/>
      <c r="AKI41" s="48"/>
      <c r="AKJ41" s="48"/>
      <c r="AKK41" s="48"/>
      <c r="AKL41" s="48"/>
      <c r="AKM41" s="48"/>
      <c r="AKN41" s="48"/>
      <c r="AKO41" s="48"/>
      <c r="AKP41" s="48"/>
      <c r="AKQ41" s="48"/>
      <c r="AKR41" s="48"/>
      <c r="AKS41" s="48"/>
      <c r="AKT41" s="48"/>
      <c r="AKU41" s="48"/>
      <c r="AKV41" s="48"/>
      <c r="AKW41" s="48"/>
      <c r="AKX41" s="48"/>
      <c r="AKY41" s="48"/>
      <c r="AKZ41" s="48"/>
      <c r="ALA41" s="48"/>
      <c r="ALB41" s="48"/>
      <c r="ALC41" s="48"/>
      <c r="ALD41" s="48"/>
      <c r="ALE41" s="48"/>
      <c r="ALF41" s="48"/>
      <c r="ALG41" s="48"/>
      <c r="ALH41" s="48"/>
      <c r="ALI41" s="48"/>
      <c r="ALJ41" s="48"/>
      <c r="ALK41" s="48"/>
      <c r="ALL41" s="48"/>
      <c r="ALM41" s="48"/>
      <c r="ALN41" s="48"/>
      <c r="ALO41" s="48"/>
      <c r="ALP41" s="48"/>
      <c r="ALQ41" s="48"/>
      <c r="ALR41" s="48"/>
      <c r="ALS41" s="48"/>
      <c r="ALT41" s="48"/>
      <c r="ALU41" s="48"/>
      <c r="ALV41" s="48"/>
      <c r="ALW41" s="48"/>
      <c r="ALX41" s="48"/>
      <c r="ALY41" s="48"/>
      <c r="ALZ41" s="48"/>
      <c r="AMA41" s="48"/>
      <c r="AMB41" s="48"/>
      <c r="AMC41" s="48"/>
      <c r="AMD41" s="48"/>
      <c r="AME41" s="48"/>
      <c r="AMF41" s="48"/>
      <c r="AMG41" s="48"/>
      <c r="AMH41" s="48"/>
      <c r="AMI41" s="48"/>
      <c r="AMJ41" s="48"/>
      <c r="AMK41" s="48"/>
      <c r="AML41" s="48"/>
      <c r="AMM41" s="48"/>
      <c r="AMN41" s="48"/>
      <c r="AMO41" s="48"/>
      <c r="AMP41" s="48"/>
      <c r="AMQ41" s="48"/>
      <c r="AMR41" s="48"/>
      <c r="AMS41" s="48"/>
      <c r="AMT41" s="48"/>
      <c r="AMU41" s="48"/>
      <c r="AMV41" s="48"/>
      <c r="AMW41" s="48"/>
      <c r="AMX41" s="48"/>
      <c r="AMY41" s="48"/>
      <c r="AMZ41" s="48"/>
      <c r="ANA41" s="48"/>
      <c r="ANB41" s="48"/>
      <c r="ANC41" s="48"/>
      <c r="AND41" s="48"/>
      <c r="ANE41" s="48"/>
      <c r="ANF41" s="48"/>
      <c r="ANG41" s="48"/>
      <c r="ANH41" s="48"/>
      <c r="ANI41" s="48"/>
      <c r="ANJ41" s="48"/>
      <c r="ANK41" s="48"/>
      <c r="ANL41" s="48"/>
      <c r="ANM41" s="48"/>
      <c r="ANN41" s="48"/>
      <c r="ANO41" s="48"/>
      <c r="ANP41" s="48"/>
      <c r="ANQ41" s="48"/>
      <c r="ANR41" s="48"/>
      <c r="ANS41" s="48"/>
      <c r="ANT41" s="48"/>
      <c r="ANU41" s="48"/>
      <c r="ANV41" s="48"/>
      <c r="ANW41" s="48"/>
      <c r="ANX41" s="48"/>
      <c r="ANY41" s="48"/>
      <c r="ANZ41" s="48"/>
      <c r="AOA41" s="48"/>
      <c r="AOB41" s="48"/>
      <c r="AOC41" s="48"/>
      <c r="AOD41" s="48"/>
      <c r="AOE41" s="48"/>
      <c r="AOF41" s="48"/>
      <c r="AOG41" s="48"/>
      <c r="AOH41" s="48"/>
      <c r="AOI41" s="48"/>
      <c r="AOJ41" s="48"/>
      <c r="AOK41" s="48"/>
      <c r="AOL41" s="48"/>
      <c r="AOM41" s="48"/>
      <c r="AON41" s="48"/>
      <c r="AOO41" s="48"/>
      <c r="AOP41" s="48"/>
      <c r="AOQ41" s="48"/>
      <c r="AOR41" s="48"/>
      <c r="AOS41" s="48"/>
      <c r="AOT41" s="48"/>
      <c r="AOU41" s="48"/>
      <c r="AOV41" s="48"/>
      <c r="AOW41" s="48"/>
      <c r="AOX41" s="48"/>
      <c r="AOY41" s="48"/>
      <c r="AOZ41" s="48"/>
      <c r="APA41" s="48"/>
      <c r="APB41" s="48"/>
      <c r="APC41" s="48"/>
      <c r="APD41" s="48"/>
      <c r="APE41" s="48"/>
      <c r="APF41" s="48"/>
      <c r="APG41" s="48"/>
      <c r="APH41" s="48"/>
      <c r="API41" s="48"/>
      <c r="APJ41" s="48"/>
      <c r="APK41" s="48"/>
      <c r="APL41" s="48"/>
      <c r="APM41" s="48"/>
      <c r="APN41" s="48"/>
      <c r="APO41" s="48"/>
      <c r="APP41" s="48"/>
      <c r="APQ41" s="48"/>
      <c r="APR41" s="48"/>
      <c r="APS41" s="48"/>
      <c r="APT41" s="48"/>
      <c r="APU41" s="48"/>
      <c r="APV41" s="48"/>
      <c r="APW41" s="48"/>
      <c r="APX41" s="48"/>
      <c r="APY41" s="48"/>
      <c r="APZ41" s="48"/>
      <c r="AQA41" s="48"/>
      <c r="AQB41" s="48"/>
      <c r="AQC41" s="48"/>
      <c r="AQD41" s="48"/>
      <c r="AQE41" s="48"/>
      <c r="AQF41" s="48"/>
      <c r="AQG41" s="48"/>
      <c r="AQH41" s="48"/>
      <c r="AQI41" s="48"/>
      <c r="AQJ41" s="48"/>
      <c r="AQK41" s="48"/>
      <c r="AQL41" s="48"/>
      <c r="AQM41" s="48"/>
      <c r="AQN41" s="48"/>
      <c r="AQO41" s="48"/>
      <c r="AQP41" s="48"/>
      <c r="AQQ41" s="48"/>
      <c r="AQR41" s="48"/>
      <c r="AQS41" s="48"/>
      <c r="AQT41" s="48"/>
      <c r="AQU41" s="48"/>
      <c r="AQV41" s="48"/>
      <c r="AQW41" s="48"/>
      <c r="AQX41" s="48"/>
      <c r="AQY41" s="48"/>
      <c r="AQZ41" s="48"/>
      <c r="ARA41" s="48"/>
      <c r="ARB41" s="48"/>
      <c r="ARC41" s="48"/>
      <c r="ARD41" s="48"/>
      <c r="ARE41" s="48"/>
      <c r="ARF41" s="48"/>
      <c r="ARG41" s="48"/>
      <c r="ARH41" s="48"/>
      <c r="ARI41" s="48"/>
      <c r="ARJ41" s="48"/>
      <c r="ARK41" s="48"/>
      <c r="ARL41" s="48"/>
      <c r="ARM41" s="48"/>
      <c r="ARN41" s="48"/>
      <c r="ARO41" s="48"/>
      <c r="ARP41" s="48"/>
      <c r="ARQ41" s="48"/>
      <c r="ARR41" s="48"/>
      <c r="ARS41" s="48"/>
      <c r="ART41" s="48"/>
      <c r="ARU41" s="48"/>
      <c r="ARV41" s="48"/>
      <c r="ARW41" s="48"/>
      <c r="ARX41" s="48"/>
      <c r="ARY41" s="48"/>
      <c r="ARZ41" s="48"/>
      <c r="ASA41" s="48"/>
      <c r="ASB41" s="48"/>
      <c r="ASC41" s="48"/>
      <c r="ASD41" s="48"/>
      <c r="ASE41" s="48"/>
      <c r="ASF41" s="48"/>
      <c r="ASG41" s="48"/>
      <c r="ASH41" s="48"/>
      <c r="ASI41" s="48"/>
      <c r="ASJ41" s="48"/>
      <c r="ASK41" s="48"/>
      <c r="ASL41" s="48"/>
      <c r="ASM41" s="48"/>
      <c r="ASN41" s="48"/>
      <c r="ASO41" s="48"/>
      <c r="ASP41" s="48"/>
      <c r="ASQ41" s="48"/>
      <c r="ASR41" s="48"/>
      <c r="ASS41" s="48"/>
      <c r="AST41" s="48"/>
      <c r="ASU41" s="48"/>
      <c r="ASV41" s="48"/>
      <c r="ASW41" s="48"/>
      <c r="ASX41" s="48"/>
      <c r="ASY41" s="48"/>
      <c r="ASZ41" s="48"/>
      <c r="ATA41" s="48"/>
      <c r="ATB41" s="48"/>
      <c r="ATC41" s="48"/>
      <c r="ATD41" s="48"/>
      <c r="ATE41" s="48"/>
      <c r="ATF41" s="48"/>
      <c r="ATG41" s="48"/>
      <c r="ATH41" s="48"/>
      <c r="ATI41" s="48"/>
      <c r="ATJ41" s="48"/>
      <c r="ATK41" s="48"/>
      <c r="ATL41" s="48"/>
      <c r="ATM41" s="48"/>
      <c r="ATN41" s="48"/>
      <c r="ATO41" s="48"/>
      <c r="ATP41" s="48"/>
      <c r="ATQ41" s="48"/>
      <c r="ATR41" s="48"/>
      <c r="ATS41" s="48"/>
      <c r="ATT41" s="48"/>
      <c r="ATU41" s="48"/>
      <c r="ATV41" s="48"/>
      <c r="ATW41" s="48"/>
      <c r="ATX41" s="48"/>
      <c r="ATY41" s="48"/>
      <c r="ATZ41" s="48"/>
      <c r="AUA41" s="48"/>
      <c r="AUB41" s="48"/>
      <c r="AUC41" s="48"/>
      <c r="AUD41" s="48"/>
      <c r="AUE41" s="48"/>
      <c r="AUF41" s="48"/>
      <c r="AUG41" s="48"/>
      <c r="AUH41" s="48"/>
      <c r="AUI41" s="48"/>
      <c r="AUJ41" s="48"/>
      <c r="AUK41" s="48"/>
      <c r="AUL41" s="48"/>
      <c r="AUM41" s="48"/>
      <c r="AUN41" s="48"/>
      <c r="AUO41" s="48"/>
      <c r="AUP41" s="48"/>
      <c r="AUQ41" s="48"/>
      <c r="AUR41" s="48"/>
      <c r="AUS41" s="48"/>
      <c r="AUT41" s="48"/>
      <c r="AUU41" s="48"/>
      <c r="AUV41" s="48"/>
      <c r="AUW41" s="48"/>
      <c r="AUX41" s="48"/>
      <c r="AUY41" s="48"/>
      <c r="AUZ41" s="48"/>
      <c r="AVA41" s="48"/>
      <c r="AVB41" s="48"/>
      <c r="AVC41" s="48"/>
      <c r="AVD41" s="48"/>
      <c r="AVE41" s="48"/>
      <c r="AVF41" s="48"/>
      <c r="AVG41" s="48"/>
      <c r="AVH41" s="48"/>
      <c r="AVI41" s="48"/>
      <c r="AVJ41" s="48"/>
      <c r="AVK41" s="48"/>
      <c r="AVL41" s="48"/>
      <c r="AVM41" s="48"/>
      <c r="AVN41" s="48"/>
      <c r="AVO41" s="48"/>
      <c r="AVP41" s="48"/>
      <c r="AVQ41" s="48"/>
      <c r="AVR41" s="48"/>
      <c r="AVS41" s="48"/>
      <c r="AVT41" s="48"/>
      <c r="AVU41" s="48"/>
      <c r="AVV41" s="48"/>
      <c r="AVW41" s="48"/>
      <c r="AVX41" s="48"/>
      <c r="AVY41" s="48"/>
      <c r="AVZ41" s="48"/>
      <c r="AWA41" s="48"/>
      <c r="AWB41" s="48"/>
      <c r="AWC41" s="48"/>
      <c r="AWD41" s="48"/>
      <c r="AWE41" s="48"/>
      <c r="AWF41" s="48"/>
      <c r="AWG41" s="48"/>
      <c r="AWH41" s="48"/>
      <c r="AWI41" s="48"/>
      <c r="AWJ41" s="48"/>
      <c r="AWK41" s="48"/>
      <c r="AWL41" s="48"/>
      <c r="AWM41" s="48"/>
      <c r="AWN41" s="48"/>
      <c r="AWO41" s="48"/>
      <c r="AWP41" s="48"/>
      <c r="AWQ41" s="48"/>
      <c r="AWR41" s="48"/>
      <c r="AWS41" s="48"/>
      <c r="AWT41" s="48"/>
      <c r="AWU41" s="48"/>
      <c r="AWV41" s="48"/>
      <c r="AWW41" s="48"/>
      <c r="AWX41" s="48"/>
      <c r="AWY41" s="48"/>
      <c r="AWZ41" s="48"/>
      <c r="AXA41" s="48"/>
      <c r="AXB41" s="48"/>
      <c r="AXC41" s="48"/>
      <c r="AXD41" s="48"/>
      <c r="AXE41" s="48"/>
      <c r="AXF41" s="48"/>
      <c r="AXG41" s="48"/>
      <c r="AXH41" s="48"/>
      <c r="AXI41" s="48"/>
      <c r="AXJ41" s="48"/>
      <c r="AXK41" s="48"/>
      <c r="AXL41" s="48"/>
      <c r="AXM41" s="48"/>
      <c r="AXN41" s="48"/>
      <c r="AXO41" s="48"/>
      <c r="AXP41" s="48"/>
      <c r="AXQ41" s="48"/>
      <c r="AXR41" s="48"/>
      <c r="AXS41" s="48"/>
      <c r="AXT41" s="48"/>
      <c r="AXU41" s="48"/>
      <c r="AXV41" s="48"/>
      <c r="AXW41" s="48"/>
      <c r="AXX41" s="48"/>
      <c r="AXY41" s="48"/>
      <c r="AXZ41" s="48"/>
      <c r="AYA41" s="48"/>
      <c r="AYB41" s="48"/>
      <c r="AYC41" s="48"/>
      <c r="AYD41" s="48"/>
      <c r="AYE41" s="48"/>
      <c r="AYF41" s="48"/>
      <c r="AYG41" s="48"/>
      <c r="AYH41" s="48"/>
      <c r="AYI41" s="48"/>
      <c r="AYJ41" s="48"/>
      <c r="AYK41" s="48"/>
      <c r="AYL41" s="48"/>
      <c r="AYM41" s="48"/>
      <c r="AYN41" s="48"/>
      <c r="AYO41" s="48"/>
      <c r="AYP41" s="48"/>
      <c r="AYQ41" s="48"/>
      <c r="AYR41" s="48"/>
      <c r="AYS41" s="48"/>
      <c r="AYT41" s="48"/>
      <c r="AYU41" s="48"/>
      <c r="AYV41" s="48"/>
      <c r="AYW41" s="48"/>
      <c r="AYX41" s="48"/>
      <c r="AYY41" s="48"/>
      <c r="AYZ41" s="48"/>
      <c r="AZA41" s="48"/>
      <c r="AZB41" s="48"/>
      <c r="AZC41" s="48"/>
      <c r="AZD41" s="48"/>
      <c r="AZE41" s="48"/>
      <c r="AZF41" s="48"/>
      <c r="AZG41" s="48"/>
      <c r="AZH41" s="48"/>
      <c r="AZI41" s="48"/>
      <c r="AZJ41" s="48"/>
      <c r="AZK41" s="48"/>
      <c r="AZL41" s="48"/>
      <c r="AZM41" s="48"/>
      <c r="AZN41" s="48"/>
      <c r="AZO41" s="48"/>
      <c r="AZP41" s="48"/>
      <c r="AZQ41" s="48"/>
      <c r="AZR41" s="48"/>
      <c r="AZS41" s="48"/>
      <c r="AZT41" s="48"/>
      <c r="AZU41" s="48"/>
      <c r="AZV41" s="48"/>
      <c r="AZW41" s="48"/>
      <c r="AZX41" s="48"/>
      <c r="AZY41" s="48"/>
      <c r="AZZ41" s="48"/>
      <c r="BAA41" s="48"/>
      <c r="BAB41" s="48"/>
      <c r="BAC41" s="48"/>
      <c r="BAD41" s="48"/>
      <c r="BAE41" s="48"/>
      <c r="BAF41" s="48"/>
      <c r="BAG41" s="48"/>
      <c r="BAH41" s="48"/>
      <c r="BAI41" s="48"/>
      <c r="BAJ41" s="48"/>
      <c r="BAK41" s="48"/>
      <c r="BAL41" s="48"/>
      <c r="BAM41" s="48"/>
      <c r="BAN41" s="48"/>
      <c r="BAO41" s="48"/>
      <c r="BAP41" s="48"/>
      <c r="BAQ41" s="48"/>
      <c r="BAR41" s="48"/>
      <c r="BAS41" s="48"/>
      <c r="BAT41" s="48"/>
      <c r="BAU41" s="48"/>
      <c r="BAV41" s="48"/>
      <c r="BAW41" s="48"/>
      <c r="BAX41" s="48"/>
    </row>
    <row r="42" spans="1:1402" ht="45" hidden="1" x14ac:dyDescent="0.25">
      <c r="A42" s="307">
        <f t="shared" si="3"/>
        <v>41</v>
      </c>
      <c r="B42" s="308" t="s">
        <v>1196</v>
      </c>
      <c r="C42" s="308" t="s">
        <v>79</v>
      </c>
      <c r="D42" s="358" t="s">
        <v>1126</v>
      </c>
      <c r="E42" s="288" t="s">
        <v>1127</v>
      </c>
      <c r="F42" s="288" t="s">
        <v>1128</v>
      </c>
      <c r="G42" s="308" t="s">
        <v>29</v>
      </c>
      <c r="H42" s="272">
        <f t="shared" si="6"/>
        <v>0</v>
      </c>
      <c r="I42" s="263"/>
      <c r="J42" s="263"/>
      <c r="K42" s="263">
        <f>Master20[[#This Row],[Initial Budget]]-Master20[[#This Row],[Previously Committed Funds]]</f>
        <v>0</v>
      </c>
      <c r="L42" s="263"/>
      <c r="M42" s="263">
        <v>200000</v>
      </c>
      <c r="N42" s="268">
        <f>Master20[[#This Row],[Design $ (Add/Deduct)]]+Master20[[#This Row],[Construction $ (Add/Ded)]]</f>
        <v>200000</v>
      </c>
      <c r="O42" s="266">
        <v>200000</v>
      </c>
      <c r="P42" s="311">
        <v>2022</v>
      </c>
      <c r="Q42" s="308" t="s">
        <v>32</v>
      </c>
      <c r="R42" s="311">
        <f t="shared" si="7"/>
        <v>1</v>
      </c>
      <c r="S42" s="310">
        <v>1</v>
      </c>
      <c r="T42" s="310">
        <f t="shared" si="8"/>
        <v>3</v>
      </c>
      <c r="U42" s="310" t="s">
        <v>33</v>
      </c>
      <c r="V42" s="310">
        <f t="shared" si="9"/>
        <v>1</v>
      </c>
      <c r="W42" s="310" t="s">
        <v>30</v>
      </c>
      <c r="X42" s="310">
        <v>0</v>
      </c>
      <c r="Y42" s="310">
        <v>0</v>
      </c>
      <c r="Z42" s="310">
        <v>0</v>
      </c>
      <c r="AA42" s="310">
        <v>0</v>
      </c>
      <c r="AB42" s="310">
        <v>0</v>
      </c>
      <c r="AC42" s="310">
        <v>-7</v>
      </c>
      <c r="AD42" s="310">
        <v>-3</v>
      </c>
      <c r="AE42" s="310"/>
      <c r="AF42" s="309" t="s">
        <v>29</v>
      </c>
      <c r="AG42" s="311">
        <f>VLOOKUP(Master20[[#This Row],[Elevated Priority]],Epriority,2,)</f>
        <v>0</v>
      </c>
      <c r="AH42" s="311">
        <f>IF(Master20[[#This Row],[Status]]="Active",Master20[[#This Row],[Status_Score]],IF(D42="","",R42+H42+T42+V42+AG42+AE42+Master20[[#This Row],[Risk Mitigation]]+Master20[[#This Row],[Master Plan]]+Master20[[#This Row],[Community Request]]+Master20[[#This Row],[Community need]]+Master20[[#This Row],[Offset Aging Inf.]]+Master20[[#This Row],[Energy Savings]]+Master20[[#This Row],[Gen Revenue]]-5))</f>
        <v>-10</v>
      </c>
      <c r="AI42" s="310"/>
      <c r="AJ42" s="310"/>
      <c r="AK42" s="310"/>
      <c r="AL42" s="310">
        <v>2022</v>
      </c>
      <c r="AM42" s="310">
        <v>2022</v>
      </c>
      <c r="AN42" s="308" t="s">
        <v>1189</v>
      </c>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48"/>
      <c r="ZZ42" s="48"/>
      <c r="AAA42" s="48"/>
      <c r="AAB42" s="48"/>
      <c r="AAC42" s="48"/>
      <c r="AAD42" s="48"/>
      <c r="AAE42" s="48"/>
      <c r="AAF42" s="48"/>
      <c r="AAG42" s="48"/>
      <c r="AAH42" s="48"/>
      <c r="AAI42" s="48"/>
      <c r="AAJ42" s="48"/>
      <c r="AAK42" s="48"/>
      <c r="AAL42" s="48"/>
      <c r="AAM42" s="48"/>
      <c r="AAN42" s="48"/>
      <c r="AAO42" s="48"/>
      <c r="AAP42" s="48"/>
      <c r="AAQ42" s="48"/>
      <c r="AAR42" s="48"/>
      <c r="AAS42" s="48"/>
      <c r="AAT42" s="48"/>
      <c r="AAU42" s="48"/>
      <c r="AAV42" s="48"/>
      <c r="AAW42" s="48"/>
      <c r="AAX42" s="48"/>
      <c r="AAY42" s="48"/>
      <c r="AAZ42" s="48"/>
      <c r="ABA42" s="48"/>
      <c r="ABB42" s="48"/>
      <c r="ABC42" s="48"/>
      <c r="ABD42" s="48"/>
      <c r="ABE42" s="48"/>
      <c r="ABF42" s="48"/>
      <c r="ABG42" s="48"/>
      <c r="ABH42" s="48"/>
      <c r="ABI42" s="48"/>
      <c r="ABJ42" s="48"/>
      <c r="ABK42" s="48"/>
      <c r="ABL42" s="48"/>
      <c r="ABM42" s="48"/>
      <c r="ABN42" s="48"/>
      <c r="ABO42" s="48"/>
      <c r="ABP42" s="48"/>
      <c r="ABQ42" s="48"/>
      <c r="ABR42" s="48"/>
      <c r="ABS42" s="48"/>
      <c r="ABT42" s="48"/>
      <c r="ABU42" s="48"/>
      <c r="ABV42" s="48"/>
      <c r="ABW42" s="48"/>
      <c r="ABX42" s="48"/>
      <c r="ABY42" s="48"/>
      <c r="ABZ42" s="48"/>
      <c r="ACA42" s="48"/>
      <c r="ACB42" s="48"/>
      <c r="ACC42" s="48"/>
      <c r="ACD42" s="48"/>
      <c r="ACE42" s="48"/>
      <c r="ACF42" s="48"/>
      <c r="ACG42" s="48"/>
      <c r="ACH42" s="48"/>
      <c r="ACI42" s="48"/>
      <c r="ACJ42" s="48"/>
      <c r="ACK42" s="48"/>
      <c r="ACL42" s="48"/>
      <c r="ACM42" s="48"/>
      <c r="ACN42" s="48"/>
      <c r="ACO42" s="48"/>
      <c r="ACP42" s="48"/>
      <c r="ACQ42" s="48"/>
      <c r="ACR42" s="48"/>
      <c r="ACS42" s="48"/>
      <c r="ACT42" s="48"/>
      <c r="ACU42" s="48"/>
      <c r="ACV42" s="48"/>
      <c r="ACW42" s="48"/>
      <c r="ACX42" s="48"/>
      <c r="ACY42" s="48"/>
      <c r="ACZ42" s="48"/>
      <c r="ADA42" s="48"/>
      <c r="ADB42" s="48"/>
      <c r="ADC42" s="48"/>
      <c r="ADD42" s="48"/>
      <c r="ADE42" s="48"/>
      <c r="ADF42" s="48"/>
      <c r="ADG42" s="48"/>
      <c r="ADH42" s="48"/>
      <c r="ADI42" s="48"/>
      <c r="ADJ42" s="48"/>
      <c r="ADK42" s="48"/>
      <c r="ADL42" s="48"/>
      <c r="ADM42" s="48"/>
      <c r="ADN42" s="48"/>
      <c r="ADO42" s="48"/>
      <c r="ADP42" s="48"/>
      <c r="ADQ42" s="48"/>
      <c r="ADR42" s="48"/>
      <c r="ADS42" s="48"/>
      <c r="ADT42" s="48"/>
      <c r="ADU42" s="48"/>
      <c r="ADV42" s="48"/>
      <c r="ADW42" s="48"/>
      <c r="ADX42" s="48"/>
      <c r="ADY42" s="48"/>
      <c r="ADZ42" s="48"/>
      <c r="AEA42" s="48"/>
      <c r="AEB42" s="48"/>
      <c r="AEC42" s="48"/>
      <c r="AED42" s="48"/>
      <c r="AEE42" s="48"/>
      <c r="AEF42" s="48"/>
      <c r="AEG42" s="48"/>
      <c r="AEH42" s="48"/>
      <c r="AEI42" s="48"/>
      <c r="AEJ42" s="48"/>
      <c r="AEK42" s="48"/>
      <c r="AEL42" s="48"/>
      <c r="AEM42" s="48"/>
      <c r="AEN42" s="48"/>
      <c r="AEO42" s="48"/>
      <c r="AEP42" s="48"/>
      <c r="AEQ42" s="48"/>
      <c r="AER42" s="48"/>
      <c r="AES42" s="48"/>
      <c r="AET42" s="48"/>
      <c r="AEU42" s="48"/>
      <c r="AEV42" s="48"/>
      <c r="AEW42" s="48"/>
      <c r="AEX42" s="48"/>
      <c r="AEY42" s="48"/>
      <c r="AEZ42" s="48"/>
      <c r="AFA42" s="48"/>
      <c r="AFB42" s="48"/>
      <c r="AFC42" s="48"/>
      <c r="AFD42" s="48"/>
      <c r="AFE42" s="48"/>
      <c r="AFF42" s="48"/>
      <c r="AFG42" s="48"/>
      <c r="AFH42" s="48"/>
      <c r="AFI42" s="48"/>
      <c r="AFJ42" s="48"/>
      <c r="AFK42" s="48"/>
      <c r="AFL42" s="48"/>
      <c r="AFM42" s="48"/>
      <c r="AFN42" s="48"/>
      <c r="AFO42" s="48"/>
      <c r="AFP42" s="48"/>
      <c r="AFQ42" s="48"/>
      <c r="AFR42" s="48"/>
      <c r="AFS42" s="48"/>
      <c r="AFT42" s="48"/>
      <c r="AFU42" s="48"/>
      <c r="AFV42" s="48"/>
      <c r="AFW42" s="48"/>
      <c r="AFX42" s="48"/>
      <c r="AFY42" s="48"/>
      <c r="AFZ42" s="48"/>
      <c r="AGA42" s="48"/>
      <c r="AGB42" s="48"/>
      <c r="AGC42" s="48"/>
      <c r="AGD42" s="48"/>
      <c r="AGE42" s="48"/>
      <c r="AGF42" s="48"/>
      <c r="AGG42" s="48"/>
      <c r="AGH42" s="48"/>
      <c r="AGI42" s="48"/>
      <c r="AGJ42" s="48"/>
      <c r="AGK42" s="48"/>
      <c r="AGL42" s="48"/>
      <c r="AGM42" s="48"/>
      <c r="AGN42" s="48"/>
      <c r="AGO42" s="48"/>
      <c r="AGP42" s="48"/>
      <c r="AGQ42" s="48"/>
      <c r="AGR42" s="48"/>
      <c r="AGS42" s="48"/>
      <c r="AGT42" s="48"/>
      <c r="AGU42" s="48"/>
      <c r="AGV42" s="48"/>
      <c r="AGW42" s="48"/>
      <c r="AGX42" s="48"/>
      <c r="AGY42" s="48"/>
      <c r="AGZ42" s="48"/>
      <c r="AHA42" s="48"/>
      <c r="AHB42" s="48"/>
      <c r="AHC42" s="48"/>
      <c r="AHD42" s="48"/>
      <c r="AHE42" s="48"/>
      <c r="AHF42" s="48"/>
      <c r="AHG42" s="48"/>
      <c r="AHH42" s="48"/>
      <c r="AHI42" s="48"/>
      <c r="AHJ42" s="48"/>
      <c r="AHK42" s="48"/>
      <c r="AHL42" s="48"/>
      <c r="AHM42" s="48"/>
      <c r="AHN42" s="48"/>
      <c r="AHO42" s="48"/>
      <c r="AHP42" s="48"/>
      <c r="AHQ42" s="48"/>
      <c r="AHR42" s="48"/>
      <c r="AHS42" s="48"/>
      <c r="AHT42" s="48"/>
      <c r="AHU42" s="48"/>
      <c r="AHV42" s="48"/>
      <c r="AHW42" s="48"/>
      <c r="AHX42" s="48"/>
      <c r="AHY42" s="48"/>
      <c r="AHZ42" s="48"/>
      <c r="AIA42" s="48"/>
      <c r="AIB42" s="48"/>
      <c r="AIC42" s="48"/>
      <c r="AID42" s="48"/>
      <c r="AIE42" s="48"/>
      <c r="AIF42" s="48"/>
      <c r="AIG42" s="48"/>
      <c r="AIH42" s="48"/>
      <c r="AII42" s="48"/>
      <c r="AIJ42" s="48"/>
      <c r="AIK42" s="48"/>
      <c r="AIL42" s="48"/>
      <c r="AIM42" s="48"/>
      <c r="AIN42" s="48"/>
      <c r="AIO42" s="48"/>
      <c r="AIP42" s="48"/>
      <c r="AIQ42" s="48"/>
      <c r="AIR42" s="48"/>
      <c r="AIS42" s="48"/>
      <c r="AIT42" s="48"/>
      <c r="AIU42" s="48"/>
      <c r="AIV42" s="48"/>
      <c r="AIW42" s="48"/>
      <c r="AIX42" s="48"/>
      <c r="AIY42" s="48"/>
      <c r="AIZ42" s="48"/>
      <c r="AJA42" s="48"/>
      <c r="AJB42" s="48"/>
      <c r="AJC42" s="48"/>
      <c r="AJD42" s="48"/>
      <c r="AJE42" s="48"/>
      <c r="AJF42" s="48"/>
      <c r="AJG42" s="48"/>
      <c r="AJH42" s="48"/>
      <c r="AJI42" s="48"/>
      <c r="AJJ42" s="48"/>
      <c r="AJK42" s="48"/>
      <c r="AJL42" s="48"/>
      <c r="AJM42" s="48"/>
      <c r="AJN42" s="48"/>
      <c r="AJO42" s="48"/>
      <c r="AJP42" s="48"/>
      <c r="AJQ42" s="48"/>
      <c r="AJR42" s="48"/>
      <c r="AJS42" s="48"/>
      <c r="AJT42" s="48"/>
      <c r="AJU42" s="48"/>
      <c r="AJV42" s="48"/>
      <c r="AJW42" s="48"/>
      <c r="AJX42" s="48"/>
      <c r="AJY42" s="48"/>
      <c r="AJZ42" s="48"/>
      <c r="AKA42" s="48"/>
      <c r="AKB42" s="48"/>
      <c r="AKC42" s="48"/>
      <c r="AKD42" s="48"/>
      <c r="AKE42" s="48"/>
      <c r="AKF42" s="48"/>
      <c r="AKG42" s="48"/>
      <c r="AKH42" s="48"/>
      <c r="AKI42" s="48"/>
      <c r="AKJ42" s="48"/>
      <c r="AKK42" s="48"/>
      <c r="AKL42" s="48"/>
      <c r="AKM42" s="48"/>
      <c r="AKN42" s="48"/>
      <c r="AKO42" s="48"/>
      <c r="AKP42" s="48"/>
      <c r="AKQ42" s="48"/>
      <c r="AKR42" s="48"/>
      <c r="AKS42" s="48"/>
      <c r="AKT42" s="48"/>
      <c r="AKU42" s="48"/>
      <c r="AKV42" s="48"/>
      <c r="AKW42" s="48"/>
      <c r="AKX42" s="48"/>
      <c r="AKY42" s="48"/>
      <c r="AKZ42" s="48"/>
      <c r="ALA42" s="48"/>
      <c r="ALB42" s="48"/>
      <c r="ALC42" s="48"/>
      <c r="ALD42" s="48"/>
      <c r="ALE42" s="48"/>
      <c r="ALF42" s="48"/>
      <c r="ALG42" s="48"/>
      <c r="ALH42" s="48"/>
      <c r="ALI42" s="48"/>
      <c r="ALJ42" s="48"/>
      <c r="ALK42" s="48"/>
      <c r="ALL42" s="48"/>
      <c r="ALM42" s="48"/>
      <c r="ALN42" s="48"/>
      <c r="ALO42" s="48"/>
      <c r="ALP42" s="48"/>
      <c r="ALQ42" s="48"/>
      <c r="ALR42" s="48"/>
      <c r="ALS42" s="48"/>
      <c r="ALT42" s="48"/>
      <c r="ALU42" s="48"/>
      <c r="ALV42" s="48"/>
      <c r="ALW42" s="48"/>
      <c r="ALX42" s="48"/>
      <c r="ALY42" s="48"/>
      <c r="ALZ42" s="48"/>
      <c r="AMA42" s="48"/>
      <c r="AMB42" s="48"/>
      <c r="AMC42" s="48"/>
      <c r="AMD42" s="48"/>
      <c r="AME42" s="48"/>
      <c r="AMF42" s="48"/>
      <c r="AMG42" s="48"/>
      <c r="AMH42" s="48"/>
      <c r="AMI42" s="48"/>
      <c r="AMJ42" s="48"/>
      <c r="AMK42" s="48"/>
      <c r="AML42" s="48"/>
      <c r="AMM42" s="48"/>
      <c r="AMN42" s="48"/>
      <c r="AMO42" s="48"/>
      <c r="AMP42" s="48"/>
      <c r="AMQ42" s="48"/>
      <c r="AMR42" s="48"/>
      <c r="AMS42" s="48"/>
      <c r="AMT42" s="48"/>
      <c r="AMU42" s="48"/>
      <c r="AMV42" s="48"/>
      <c r="AMW42" s="48"/>
      <c r="AMX42" s="48"/>
      <c r="AMY42" s="48"/>
      <c r="AMZ42" s="48"/>
      <c r="ANA42" s="48"/>
      <c r="ANB42" s="48"/>
      <c r="ANC42" s="48"/>
      <c r="AND42" s="48"/>
      <c r="ANE42" s="48"/>
      <c r="ANF42" s="48"/>
      <c r="ANG42" s="48"/>
      <c r="ANH42" s="48"/>
      <c r="ANI42" s="48"/>
      <c r="ANJ42" s="48"/>
      <c r="ANK42" s="48"/>
      <c r="ANL42" s="48"/>
      <c r="ANM42" s="48"/>
      <c r="ANN42" s="48"/>
      <c r="ANO42" s="48"/>
      <c r="ANP42" s="48"/>
      <c r="ANQ42" s="48"/>
      <c r="ANR42" s="48"/>
      <c r="ANS42" s="48"/>
      <c r="ANT42" s="48"/>
      <c r="ANU42" s="48"/>
      <c r="ANV42" s="48"/>
      <c r="ANW42" s="48"/>
      <c r="ANX42" s="48"/>
      <c r="ANY42" s="48"/>
      <c r="ANZ42" s="48"/>
      <c r="AOA42" s="48"/>
      <c r="AOB42" s="48"/>
      <c r="AOC42" s="48"/>
      <c r="AOD42" s="48"/>
      <c r="AOE42" s="48"/>
      <c r="AOF42" s="48"/>
      <c r="AOG42" s="48"/>
      <c r="AOH42" s="48"/>
      <c r="AOI42" s="48"/>
      <c r="AOJ42" s="48"/>
      <c r="AOK42" s="48"/>
      <c r="AOL42" s="48"/>
      <c r="AOM42" s="48"/>
      <c r="AON42" s="48"/>
      <c r="AOO42" s="48"/>
      <c r="AOP42" s="48"/>
      <c r="AOQ42" s="48"/>
      <c r="AOR42" s="48"/>
      <c r="AOS42" s="48"/>
      <c r="AOT42" s="48"/>
      <c r="AOU42" s="48"/>
      <c r="AOV42" s="48"/>
      <c r="AOW42" s="48"/>
      <c r="AOX42" s="48"/>
      <c r="AOY42" s="48"/>
      <c r="AOZ42" s="48"/>
      <c r="APA42" s="48"/>
      <c r="APB42" s="48"/>
      <c r="APC42" s="48"/>
      <c r="APD42" s="48"/>
      <c r="APE42" s="48"/>
      <c r="APF42" s="48"/>
      <c r="APG42" s="48"/>
      <c r="APH42" s="48"/>
      <c r="API42" s="48"/>
      <c r="APJ42" s="48"/>
      <c r="APK42" s="48"/>
      <c r="APL42" s="48"/>
      <c r="APM42" s="48"/>
      <c r="APN42" s="48"/>
      <c r="APO42" s="48"/>
      <c r="APP42" s="48"/>
      <c r="APQ42" s="48"/>
      <c r="APR42" s="48"/>
      <c r="APS42" s="48"/>
      <c r="APT42" s="48"/>
      <c r="APU42" s="48"/>
      <c r="APV42" s="48"/>
      <c r="APW42" s="48"/>
      <c r="APX42" s="48"/>
      <c r="APY42" s="48"/>
      <c r="APZ42" s="48"/>
      <c r="AQA42" s="48"/>
      <c r="AQB42" s="48"/>
      <c r="AQC42" s="48"/>
      <c r="AQD42" s="48"/>
      <c r="AQE42" s="48"/>
      <c r="AQF42" s="48"/>
      <c r="AQG42" s="48"/>
      <c r="AQH42" s="48"/>
      <c r="AQI42" s="48"/>
      <c r="AQJ42" s="48"/>
      <c r="AQK42" s="48"/>
      <c r="AQL42" s="48"/>
      <c r="AQM42" s="48"/>
      <c r="AQN42" s="48"/>
      <c r="AQO42" s="48"/>
      <c r="AQP42" s="48"/>
      <c r="AQQ42" s="48"/>
      <c r="AQR42" s="48"/>
      <c r="AQS42" s="48"/>
      <c r="AQT42" s="48"/>
      <c r="AQU42" s="48"/>
      <c r="AQV42" s="48"/>
      <c r="AQW42" s="48"/>
      <c r="AQX42" s="48"/>
      <c r="AQY42" s="48"/>
      <c r="AQZ42" s="48"/>
      <c r="ARA42" s="48"/>
      <c r="ARB42" s="48"/>
      <c r="ARC42" s="48"/>
      <c r="ARD42" s="48"/>
      <c r="ARE42" s="48"/>
      <c r="ARF42" s="48"/>
      <c r="ARG42" s="48"/>
      <c r="ARH42" s="48"/>
      <c r="ARI42" s="48"/>
      <c r="ARJ42" s="48"/>
      <c r="ARK42" s="48"/>
      <c r="ARL42" s="48"/>
      <c r="ARM42" s="48"/>
      <c r="ARN42" s="48"/>
      <c r="ARO42" s="48"/>
      <c r="ARP42" s="48"/>
      <c r="ARQ42" s="48"/>
      <c r="ARR42" s="48"/>
      <c r="ARS42" s="48"/>
      <c r="ART42" s="48"/>
      <c r="ARU42" s="48"/>
      <c r="ARV42" s="48"/>
      <c r="ARW42" s="48"/>
      <c r="ARX42" s="48"/>
      <c r="ARY42" s="48"/>
      <c r="ARZ42" s="48"/>
      <c r="ASA42" s="48"/>
      <c r="ASB42" s="48"/>
      <c r="ASC42" s="48"/>
      <c r="ASD42" s="48"/>
      <c r="ASE42" s="48"/>
      <c r="ASF42" s="48"/>
      <c r="ASG42" s="48"/>
      <c r="ASH42" s="48"/>
      <c r="ASI42" s="48"/>
      <c r="ASJ42" s="48"/>
      <c r="ASK42" s="48"/>
      <c r="ASL42" s="48"/>
      <c r="ASM42" s="48"/>
      <c r="ASN42" s="48"/>
      <c r="ASO42" s="48"/>
      <c r="ASP42" s="48"/>
      <c r="ASQ42" s="48"/>
      <c r="ASR42" s="48"/>
      <c r="ASS42" s="48"/>
      <c r="AST42" s="48"/>
      <c r="ASU42" s="48"/>
      <c r="ASV42" s="48"/>
      <c r="ASW42" s="48"/>
      <c r="ASX42" s="48"/>
      <c r="ASY42" s="48"/>
      <c r="ASZ42" s="48"/>
      <c r="ATA42" s="48"/>
      <c r="ATB42" s="48"/>
      <c r="ATC42" s="48"/>
      <c r="ATD42" s="48"/>
      <c r="ATE42" s="48"/>
      <c r="ATF42" s="48"/>
      <c r="ATG42" s="48"/>
      <c r="ATH42" s="48"/>
      <c r="ATI42" s="48"/>
      <c r="ATJ42" s="48"/>
      <c r="ATK42" s="48"/>
      <c r="ATL42" s="48"/>
      <c r="ATM42" s="48"/>
      <c r="ATN42" s="48"/>
      <c r="ATO42" s="48"/>
      <c r="ATP42" s="48"/>
      <c r="ATQ42" s="48"/>
      <c r="ATR42" s="48"/>
      <c r="ATS42" s="48"/>
      <c r="ATT42" s="48"/>
      <c r="ATU42" s="48"/>
      <c r="ATV42" s="48"/>
      <c r="ATW42" s="48"/>
      <c r="ATX42" s="48"/>
      <c r="ATY42" s="48"/>
      <c r="ATZ42" s="48"/>
      <c r="AUA42" s="48"/>
      <c r="AUB42" s="48"/>
      <c r="AUC42" s="48"/>
      <c r="AUD42" s="48"/>
      <c r="AUE42" s="48"/>
      <c r="AUF42" s="48"/>
      <c r="AUG42" s="48"/>
      <c r="AUH42" s="48"/>
      <c r="AUI42" s="48"/>
      <c r="AUJ42" s="48"/>
      <c r="AUK42" s="48"/>
      <c r="AUL42" s="48"/>
      <c r="AUM42" s="48"/>
      <c r="AUN42" s="48"/>
      <c r="AUO42" s="48"/>
      <c r="AUP42" s="48"/>
      <c r="AUQ42" s="48"/>
      <c r="AUR42" s="48"/>
      <c r="AUS42" s="48"/>
      <c r="AUT42" s="48"/>
      <c r="AUU42" s="48"/>
      <c r="AUV42" s="48"/>
      <c r="AUW42" s="48"/>
      <c r="AUX42" s="48"/>
      <c r="AUY42" s="48"/>
      <c r="AUZ42" s="48"/>
      <c r="AVA42" s="48"/>
      <c r="AVB42" s="48"/>
      <c r="AVC42" s="48"/>
      <c r="AVD42" s="48"/>
      <c r="AVE42" s="48"/>
      <c r="AVF42" s="48"/>
      <c r="AVG42" s="48"/>
      <c r="AVH42" s="48"/>
      <c r="AVI42" s="48"/>
      <c r="AVJ42" s="48"/>
      <c r="AVK42" s="48"/>
      <c r="AVL42" s="48"/>
      <c r="AVM42" s="48"/>
      <c r="AVN42" s="48"/>
      <c r="AVO42" s="48"/>
      <c r="AVP42" s="48"/>
      <c r="AVQ42" s="48"/>
      <c r="AVR42" s="48"/>
      <c r="AVS42" s="48"/>
      <c r="AVT42" s="48"/>
      <c r="AVU42" s="48"/>
      <c r="AVV42" s="48"/>
      <c r="AVW42" s="48"/>
      <c r="AVX42" s="48"/>
      <c r="AVY42" s="48"/>
      <c r="AVZ42" s="48"/>
      <c r="AWA42" s="48"/>
      <c r="AWB42" s="48"/>
      <c r="AWC42" s="48"/>
      <c r="AWD42" s="48"/>
      <c r="AWE42" s="48"/>
      <c r="AWF42" s="48"/>
      <c r="AWG42" s="48"/>
      <c r="AWH42" s="48"/>
      <c r="AWI42" s="48"/>
      <c r="AWJ42" s="48"/>
      <c r="AWK42" s="48"/>
      <c r="AWL42" s="48"/>
      <c r="AWM42" s="48"/>
      <c r="AWN42" s="48"/>
      <c r="AWO42" s="48"/>
      <c r="AWP42" s="48"/>
      <c r="AWQ42" s="48"/>
      <c r="AWR42" s="48"/>
      <c r="AWS42" s="48"/>
      <c r="AWT42" s="48"/>
      <c r="AWU42" s="48"/>
      <c r="AWV42" s="48"/>
      <c r="AWW42" s="48"/>
      <c r="AWX42" s="48"/>
      <c r="AWY42" s="48"/>
      <c r="AWZ42" s="48"/>
      <c r="AXA42" s="48"/>
      <c r="AXB42" s="48"/>
      <c r="AXC42" s="48"/>
      <c r="AXD42" s="48"/>
      <c r="AXE42" s="48"/>
      <c r="AXF42" s="48"/>
      <c r="AXG42" s="48"/>
      <c r="AXH42" s="48"/>
      <c r="AXI42" s="48"/>
      <c r="AXJ42" s="48"/>
      <c r="AXK42" s="48"/>
      <c r="AXL42" s="48"/>
      <c r="AXM42" s="48"/>
      <c r="AXN42" s="48"/>
      <c r="AXO42" s="48"/>
      <c r="AXP42" s="48"/>
      <c r="AXQ42" s="48"/>
      <c r="AXR42" s="48"/>
      <c r="AXS42" s="48"/>
      <c r="AXT42" s="48"/>
      <c r="AXU42" s="48"/>
      <c r="AXV42" s="48"/>
      <c r="AXW42" s="48"/>
      <c r="AXX42" s="48"/>
      <c r="AXY42" s="48"/>
      <c r="AXZ42" s="48"/>
      <c r="AYA42" s="48"/>
      <c r="AYB42" s="48"/>
      <c r="AYC42" s="48"/>
      <c r="AYD42" s="48"/>
      <c r="AYE42" s="48"/>
      <c r="AYF42" s="48"/>
      <c r="AYG42" s="48"/>
      <c r="AYH42" s="48"/>
      <c r="AYI42" s="48"/>
      <c r="AYJ42" s="48"/>
      <c r="AYK42" s="48"/>
      <c r="AYL42" s="48"/>
      <c r="AYM42" s="48"/>
      <c r="AYN42" s="48"/>
      <c r="AYO42" s="48"/>
      <c r="AYP42" s="48"/>
      <c r="AYQ42" s="48"/>
      <c r="AYR42" s="48"/>
      <c r="AYS42" s="48"/>
      <c r="AYT42" s="48"/>
      <c r="AYU42" s="48"/>
      <c r="AYV42" s="48"/>
      <c r="AYW42" s="48"/>
      <c r="AYX42" s="48"/>
      <c r="AYY42" s="48"/>
      <c r="AYZ42" s="48"/>
      <c r="AZA42" s="48"/>
      <c r="AZB42" s="48"/>
      <c r="AZC42" s="48"/>
      <c r="AZD42" s="48"/>
      <c r="AZE42" s="48"/>
      <c r="AZF42" s="48"/>
      <c r="AZG42" s="48"/>
      <c r="AZH42" s="48"/>
      <c r="AZI42" s="48"/>
      <c r="AZJ42" s="48"/>
      <c r="AZK42" s="48"/>
      <c r="AZL42" s="48"/>
      <c r="AZM42" s="48"/>
      <c r="AZN42" s="48"/>
      <c r="AZO42" s="48"/>
      <c r="AZP42" s="48"/>
      <c r="AZQ42" s="48"/>
      <c r="AZR42" s="48"/>
      <c r="AZS42" s="48"/>
      <c r="AZT42" s="48"/>
      <c r="AZU42" s="48"/>
      <c r="AZV42" s="48"/>
      <c r="AZW42" s="48"/>
      <c r="AZX42" s="48"/>
      <c r="AZY42" s="48"/>
      <c r="AZZ42" s="48"/>
      <c r="BAA42" s="48"/>
      <c r="BAB42" s="48"/>
      <c r="BAC42" s="48"/>
      <c r="BAD42" s="48"/>
      <c r="BAE42" s="48"/>
      <c r="BAF42" s="48"/>
      <c r="BAG42" s="48"/>
      <c r="BAH42" s="48"/>
      <c r="BAI42" s="48"/>
      <c r="BAJ42" s="48"/>
      <c r="BAK42" s="48"/>
      <c r="BAL42" s="48"/>
      <c r="BAM42" s="48"/>
      <c r="BAN42" s="48"/>
      <c r="BAO42" s="48"/>
      <c r="BAP42" s="48"/>
      <c r="BAQ42" s="48"/>
      <c r="BAR42" s="48"/>
      <c r="BAS42" s="48"/>
      <c r="BAT42" s="48"/>
      <c r="BAU42" s="48"/>
      <c r="BAV42" s="48"/>
      <c r="BAW42" s="48"/>
      <c r="BAX42" s="48"/>
    </row>
    <row r="43" spans="1:1402" ht="90" hidden="1" x14ac:dyDescent="0.25">
      <c r="A43" s="307">
        <f t="shared" si="3"/>
        <v>42</v>
      </c>
      <c r="B43" s="308" t="s">
        <v>143</v>
      </c>
      <c r="C43" s="308" t="s">
        <v>79</v>
      </c>
      <c r="D43" s="358" t="s">
        <v>1061</v>
      </c>
      <c r="E43" s="308" t="s">
        <v>1062</v>
      </c>
      <c r="F43" s="308" t="s">
        <v>1063</v>
      </c>
      <c r="G43" s="308" t="s">
        <v>29</v>
      </c>
      <c r="H43" s="272">
        <f t="shared" si="6"/>
        <v>0</v>
      </c>
      <c r="I43" s="263"/>
      <c r="J43" s="263"/>
      <c r="K43" s="263">
        <f>Master20[[#This Row],[Initial Budget]]-Master20[[#This Row],[Previously Committed Funds]]</f>
        <v>0</v>
      </c>
      <c r="L43" s="263">
        <v>25000</v>
      </c>
      <c r="M43" s="263">
        <v>50000</v>
      </c>
      <c r="N43" s="268">
        <f>Master20[[#This Row],[Design $ (Add/Deduct)]]+Master20[[#This Row],[Construction $ (Add/Ded)]]</f>
        <v>75000</v>
      </c>
      <c r="O43" s="266">
        <v>75000</v>
      </c>
      <c r="P43" s="311">
        <v>2022</v>
      </c>
      <c r="Q43" s="308" t="s">
        <v>1133</v>
      </c>
      <c r="R43" s="311">
        <f t="shared" si="7"/>
        <v>5</v>
      </c>
      <c r="S43" s="310">
        <v>1</v>
      </c>
      <c r="T43" s="310">
        <f t="shared" si="8"/>
        <v>3</v>
      </c>
      <c r="U43" s="310" t="s">
        <v>37</v>
      </c>
      <c r="V43" s="310">
        <f t="shared" si="9"/>
        <v>3</v>
      </c>
      <c r="W43" s="310" t="s">
        <v>30</v>
      </c>
      <c r="X43" s="310">
        <v>0</v>
      </c>
      <c r="Y43" s="310">
        <v>0</v>
      </c>
      <c r="Z43" s="310">
        <v>-3</v>
      </c>
      <c r="AA43" s="310">
        <v>-3</v>
      </c>
      <c r="AB43" s="310">
        <v>0</v>
      </c>
      <c r="AC43" s="310">
        <v>-3</v>
      </c>
      <c r="AD43" s="310">
        <v>-2</v>
      </c>
      <c r="AE43" s="310"/>
      <c r="AF43" s="309" t="s">
        <v>29</v>
      </c>
      <c r="AG43" s="311">
        <f>VLOOKUP(Master20[[#This Row],[Elevated Priority]],Epriority,2,)</f>
        <v>0</v>
      </c>
      <c r="AH43" s="311">
        <f>IF(Master20[[#This Row],[Status]]="Active",Master20[[#This Row],[Status_Score]],IF(D43="","",R43+H43+T43+V43+AG43+AE43+Master20[[#This Row],[Risk Mitigation]]+Master20[[#This Row],[Master Plan]]+Master20[[#This Row],[Community Request]]+Master20[[#This Row],[Community need]]+Master20[[#This Row],[Offset Aging Inf.]]+Master20[[#This Row],[Energy Savings]]+Master20[[#This Row],[Gen Revenue]]-5))</f>
        <v>-5</v>
      </c>
      <c r="AI43" s="310"/>
      <c r="AJ43" s="310"/>
      <c r="AK43" s="310"/>
      <c r="AL43" s="310">
        <v>2022</v>
      </c>
      <c r="AM43" s="310">
        <v>2023</v>
      </c>
      <c r="AN43" s="308" t="s">
        <v>1190</v>
      </c>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48"/>
      <c r="ZZ43" s="48"/>
      <c r="AAA43" s="48"/>
      <c r="AAB43" s="48"/>
      <c r="AAC43" s="48"/>
      <c r="AAD43" s="48"/>
      <c r="AAE43" s="48"/>
      <c r="AAF43" s="48"/>
      <c r="AAG43" s="48"/>
      <c r="AAH43" s="48"/>
      <c r="AAI43" s="48"/>
      <c r="AAJ43" s="48"/>
      <c r="AAK43" s="48"/>
      <c r="AAL43" s="48"/>
      <c r="AAM43" s="48"/>
      <c r="AAN43" s="48"/>
      <c r="AAO43" s="48"/>
      <c r="AAP43" s="48"/>
      <c r="AAQ43" s="48"/>
      <c r="AAR43" s="48"/>
      <c r="AAS43" s="48"/>
      <c r="AAT43" s="48"/>
      <c r="AAU43" s="48"/>
      <c r="AAV43" s="48"/>
      <c r="AAW43" s="48"/>
      <c r="AAX43" s="48"/>
      <c r="AAY43" s="48"/>
      <c r="AAZ43" s="48"/>
      <c r="ABA43" s="48"/>
      <c r="ABB43" s="48"/>
      <c r="ABC43" s="48"/>
      <c r="ABD43" s="48"/>
      <c r="ABE43" s="48"/>
      <c r="ABF43" s="48"/>
      <c r="ABG43" s="48"/>
      <c r="ABH43" s="48"/>
      <c r="ABI43" s="48"/>
      <c r="ABJ43" s="48"/>
      <c r="ABK43" s="48"/>
      <c r="ABL43" s="48"/>
      <c r="ABM43" s="48"/>
      <c r="ABN43" s="48"/>
      <c r="ABO43" s="48"/>
      <c r="ABP43" s="48"/>
      <c r="ABQ43" s="48"/>
      <c r="ABR43" s="48"/>
      <c r="ABS43" s="48"/>
      <c r="ABT43" s="48"/>
      <c r="ABU43" s="48"/>
      <c r="ABV43" s="48"/>
      <c r="ABW43" s="48"/>
      <c r="ABX43" s="48"/>
      <c r="ABY43" s="48"/>
      <c r="ABZ43" s="48"/>
      <c r="ACA43" s="48"/>
      <c r="ACB43" s="48"/>
      <c r="ACC43" s="48"/>
      <c r="ACD43" s="48"/>
      <c r="ACE43" s="48"/>
      <c r="ACF43" s="48"/>
      <c r="ACG43" s="48"/>
      <c r="ACH43" s="48"/>
      <c r="ACI43" s="48"/>
      <c r="ACJ43" s="48"/>
      <c r="ACK43" s="48"/>
      <c r="ACL43" s="48"/>
      <c r="ACM43" s="48"/>
      <c r="ACN43" s="48"/>
      <c r="ACO43" s="48"/>
      <c r="ACP43" s="48"/>
      <c r="ACQ43" s="48"/>
      <c r="ACR43" s="48"/>
      <c r="ACS43" s="48"/>
      <c r="ACT43" s="48"/>
      <c r="ACU43" s="48"/>
      <c r="ACV43" s="48"/>
      <c r="ACW43" s="48"/>
      <c r="ACX43" s="48"/>
      <c r="ACY43" s="48"/>
      <c r="ACZ43" s="48"/>
      <c r="ADA43" s="48"/>
      <c r="ADB43" s="48"/>
      <c r="ADC43" s="48"/>
      <c r="ADD43" s="48"/>
      <c r="ADE43" s="48"/>
      <c r="ADF43" s="48"/>
      <c r="ADG43" s="48"/>
      <c r="ADH43" s="48"/>
      <c r="ADI43" s="48"/>
      <c r="ADJ43" s="48"/>
      <c r="ADK43" s="48"/>
      <c r="ADL43" s="48"/>
      <c r="ADM43" s="48"/>
      <c r="ADN43" s="48"/>
      <c r="ADO43" s="48"/>
      <c r="ADP43" s="48"/>
      <c r="ADQ43" s="48"/>
      <c r="ADR43" s="48"/>
      <c r="ADS43" s="48"/>
      <c r="ADT43" s="48"/>
      <c r="ADU43" s="48"/>
      <c r="ADV43" s="48"/>
      <c r="ADW43" s="48"/>
      <c r="ADX43" s="48"/>
      <c r="ADY43" s="48"/>
      <c r="ADZ43" s="48"/>
      <c r="AEA43" s="48"/>
      <c r="AEB43" s="48"/>
      <c r="AEC43" s="48"/>
      <c r="AED43" s="48"/>
      <c r="AEE43" s="48"/>
      <c r="AEF43" s="48"/>
      <c r="AEG43" s="48"/>
      <c r="AEH43" s="48"/>
      <c r="AEI43" s="48"/>
      <c r="AEJ43" s="48"/>
      <c r="AEK43" s="48"/>
      <c r="AEL43" s="48"/>
      <c r="AEM43" s="48"/>
      <c r="AEN43" s="48"/>
      <c r="AEO43" s="48"/>
      <c r="AEP43" s="48"/>
      <c r="AEQ43" s="48"/>
      <c r="AER43" s="48"/>
      <c r="AES43" s="48"/>
      <c r="AET43" s="48"/>
      <c r="AEU43" s="48"/>
      <c r="AEV43" s="48"/>
      <c r="AEW43" s="48"/>
      <c r="AEX43" s="48"/>
      <c r="AEY43" s="48"/>
      <c r="AEZ43" s="48"/>
      <c r="AFA43" s="48"/>
      <c r="AFB43" s="48"/>
      <c r="AFC43" s="48"/>
      <c r="AFD43" s="48"/>
      <c r="AFE43" s="48"/>
      <c r="AFF43" s="48"/>
      <c r="AFG43" s="48"/>
      <c r="AFH43" s="48"/>
      <c r="AFI43" s="48"/>
      <c r="AFJ43" s="48"/>
      <c r="AFK43" s="48"/>
      <c r="AFL43" s="48"/>
      <c r="AFM43" s="48"/>
      <c r="AFN43" s="48"/>
      <c r="AFO43" s="48"/>
      <c r="AFP43" s="48"/>
      <c r="AFQ43" s="48"/>
      <c r="AFR43" s="48"/>
      <c r="AFS43" s="48"/>
      <c r="AFT43" s="48"/>
      <c r="AFU43" s="48"/>
      <c r="AFV43" s="48"/>
      <c r="AFW43" s="48"/>
      <c r="AFX43" s="48"/>
      <c r="AFY43" s="48"/>
      <c r="AFZ43" s="48"/>
      <c r="AGA43" s="48"/>
      <c r="AGB43" s="48"/>
      <c r="AGC43" s="48"/>
      <c r="AGD43" s="48"/>
      <c r="AGE43" s="48"/>
      <c r="AGF43" s="48"/>
      <c r="AGG43" s="48"/>
      <c r="AGH43" s="48"/>
      <c r="AGI43" s="48"/>
      <c r="AGJ43" s="48"/>
      <c r="AGK43" s="48"/>
      <c r="AGL43" s="48"/>
      <c r="AGM43" s="48"/>
      <c r="AGN43" s="48"/>
      <c r="AGO43" s="48"/>
      <c r="AGP43" s="48"/>
      <c r="AGQ43" s="48"/>
      <c r="AGR43" s="48"/>
      <c r="AGS43" s="48"/>
      <c r="AGT43" s="48"/>
      <c r="AGU43" s="48"/>
      <c r="AGV43" s="48"/>
      <c r="AGW43" s="48"/>
      <c r="AGX43" s="48"/>
      <c r="AGY43" s="48"/>
      <c r="AGZ43" s="48"/>
      <c r="AHA43" s="48"/>
      <c r="AHB43" s="48"/>
      <c r="AHC43" s="48"/>
      <c r="AHD43" s="48"/>
      <c r="AHE43" s="48"/>
      <c r="AHF43" s="48"/>
      <c r="AHG43" s="48"/>
      <c r="AHH43" s="48"/>
      <c r="AHI43" s="48"/>
      <c r="AHJ43" s="48"/>
      <c r="AHK43" s="48"/>
      <c r="AHL43" s="48"/>
      <c r="AHM43" s="48"/>
      <c r="AHN43" s="48"/>
      <c r="AHO43" s="48"/>
      <c r="AHP43" s="48"/>
      <c r="AHQ43" s="48"/>
      <c r="AHR43" s="48"/>
      <c r="AHS43" s="48"/>
      <c r="AHT43" s="48"/>
      <c r="AHU43" s="48"/>
      <c r="AHV43" s="48"/>
      <c r="AHW43" s="48"/>
      <c r="AHX43" s="48"/>
      <c r="AHY43" s="48"/>
      <c r="AHZ43" s="48"/>
      <c r="AIA43" s="48"/>
      <c r="AIB43" s="48"/>
      <c r="AIC43" s="48"/>
      <c r="AID43" s="48"/>
      <c r="AIE43" s="48"/>
      <c r="AIF43" s="48"/>
      <c r="AIG43" s="48"/>
      <c r="AIH43" s="48"/>
      <c r="AII43" s="48"/>
      <c r="AIJ43" s="48"/>
      <c r="AIK43" s="48"/>
      <c r="AIL43" s="48"/>
      <c r="AIM43" s="48"/>
      <c r="AIN43" s="48"/>
      <c r="AIO43" s="48"/>
      <c r="AIP43" s="48"/>
      <c r="AIQ43" s="48"/>
      <c r="AIR43" s="48"/>
      <c r="AIS43" s="48"/>
      <c r="AIT43" s="48"/>
      <c r="AIU43" s="48"/>
      <c r="AIV43" s="48"/>
      <c r="AIW43" s="48"/>
      <c r="AIX43" s="48"/>
      <c r="AIY43" s="48"/>
      <c r="AIZ43" s="48"/>
      <c r="AJA43" s="48"/>
      <c r="AJB43" s="48"/>
      <c r="AJC43" s="48"/>
      <c r="AJD43" s="48"/>
      <c r="AJE43" s="48"/>
      <c r="AJF43" s="48"/>
      <c r="AJG43" s="48"/>
      <c r="AJH43" s="48"/>
      <c r="AJI43" s="48"/>
      <c r="AJJ43" s="48"/>
      <c r="AJK43" s="48"/>
      <c r="AJL43" s="48"/>
      <c r="AJM43" s="48"/>
      <c r="AJN43" s="48"/>
      <c r="AJO43" s="48"/>
      <c r="AJP43" s="48"/>
      <c r="AJQ43" s="48"/>
      <c r="AJR43" s="48"/>
      <c r="AJS43" s="48"/>
      <c r="AJT43" s="48"/>
      <c r="AJU43" s="48"/>
      <c r="AJV43" s="48"/>
      <c r="AJW43" s="48"/>
      <c r="AJX43" s="48"/>
      <c r="AJY43" s="48"/>
      <c r="AJZ43" s="48"/>
      <c r="AKA43" s="48"/>
      <c r="AKB43" s="48"/>
      <c r="AKC43" s="48"/>
      <c r="AKD43" s="48"/>
      <c r="AKE43" s="48"/>
      <c r="AKF43" s="48"/>
      <c r="AKG43" s="48"/>
      <c r="AKH43" s="48"/>
      <c r="AKI43" s="48"/>
      <c r="AKJ43" s="48"/>
      <c r="AKK43" s="48"/>
      <c r="AKL43" s="48"/>
      <c r="AKM43" s="48"/>
      <c r="AKN43" s="48"/>
      <c r="AKO43" s="48"/>
      <c r="AKP43" s="48"/>
      <c r="AKQ43" s="48"/>
      <c r="AKR43" s="48"/>
      <c r="AKS43" s="48"/>
      <c r="AKT43" s="48"/>
      <c r="AKU43" s="48"/>
      <c r="AKV43" s="48"/>
      <c r="AKW43" s="48"/>
      <c r="AKX43" s="48"/>
      <c r="AKY43" s="48"/>
      <c r="AKZ43" s="48"/>
      <c r="ALA43" s="48"/>
      <c r="ALB43" s="48"/>
      <c r="ALC43" s="48"/>
      <c r="ALD43" s="48"/>
      <c r="ALE43" s="48"/>
      <c r="ALF43" s="48"/>
      <c r="ALG43" s="48"/>
      <c r="ALH43" s="48"/>
      <c r="ALI43" s="48"/>
      <c r="ALJ43" s="48"/>
      <c r="ALK43" s="48"/>
      <c r="ALL43" s="48"/>
      <c r="ALM43" s="48"/>
      <c r="ALN43" s="48"/>
      <c r="ALO43" s="48"/>
      <c r="ALP43" s="48"/>
      <c r="ALQ43" s="48"/>
      <c r="ALR43" s="48"/>
      <c r="ALS43" s="48"/>
      <c r="ALT43" s="48"/>
      <c r="ALU43" s="48"/>
      <c r="ALV43" s="48"/>
      <c r="ALW43" s="48"/>
      <c r="ALX43" s="48"/>
      <c r="ALY43" s="48"/>
      <c r="ALZ43" s="48"/>
      <c r="AMA43" s="48"/>
      <c r="AMB43" s="48"/>
      <c r="AMC43" s="48"/>
      <c r="AMD43" s="48"/>
      <c r="AME43" s="48"/>
      <c r="AMF43" s="48"/>
      <c r="AMG43" s="48"/>
      <c r="AMH43" s="48"/>
      <c r="AMI43" s="48"/>
      <c r="AMJ43" s="48"/>
      <c r="AMK43" s="48"/>
      <c r="AML43" s="48"/>
      <c r="AMM43" s="48"/>
      <c r="AMN43" s="48"/>
      <c r="AMO43" s="48"/>
      <c r="AMP43" s="48"/>
      <c r="AMQ43" s="48"/>
      <c r="AMR43" s="48"/>
      <c r="AMS43" s="48"/>
      <c r="AMT43" s="48"/>
      <c r="AMU43" s="48"/>
      <c r="AMV43" s="48"/>
      <c r="AMW43" s="48"/>
      <c r="AMX43" s="48"/>
      <c r="AMY43" s="48"/>
      <c r="AMZ43" s="48"/>
      <c r="ANA43" s="48"/>
      <c r="ANB43" s="48"/>
      <c r="ANC43" s="48"/>
      <c r="AND43" s="48"/>
      <c r="ANE43" s="48"/>
      <c r="ANF43" s="48"/>
      <c r="ANG43" s="48"/>
      <c r="ANH43" s="48"/>
      <c r="ANI43" s="48"/>
      <c r="ANJ43" s="48"/>
      <c r="ANK43" s="48"/>
      <c r="ANL43" s="48"/>
      <c r="ANM43" s="48"/>
      <c r="ANN43" s="48"/>
      <c r="ANO43" s="48"/>
      <c r="ANP43" s="48"/>
      <c r="ANQ43" s="48"/>
      <c r="ANR43" s="48"/>
      <c r="ANS43" s="48"/>
      <c r="ANT43" s="48"/>
      <c r="ANU43" s="48"/>
      <c r="ANV43" s="48"/>
      <c r="ANW43" s="48"/>
      <c r="ANX43" s="48"/>
      <c r="ANY43" s="48"/>
      <c r="ANZ43" s="48"/>
      <c r="AOA43" s="48"/>
      <c r="AOB43" s="48"/>
      <c r="AOC43" s="48"/>
      <c r="AOD43" s="48"/>
      <c r="AOE43" s="48"/>
      <c r="AOF43" s="48"/>
      <c r="AOG43" s="48"/>
      <c r="AOH43" s="48"/>
      <c r="AOI43" s="48"/>
      <c r="AOJ43" s="48"/>
      <c r="AOK43" s="48"/>
      <c r="AOL43" s="48"/>
      <c r="AOM43" s="48"/>
      <c r="AON43" s="48"/>
      <c r="AOO43" s="48"/>
      <c r="AOP43" s="48"/>
      <c r="AOQ43" s="48"/>
      <c r="AOR43" s="48"/>
      <c r="AOS43" s="48"/>
      <c r="AOT43" s="48"/>
      <c r="AOU43" s="48"/>
      <c r="AOV43" s="48"/>
      <c r="AOW43" s="48"/>
      <c r="AOX43" s="48"/>
      <c r="AOY43" s="48"/>
      <c r="AOZ43" s="48"/>
      <c r="APA43" s="48"/>
      <c r="APB43" s="48"/>
      <c r="APC43" s="48"/>
      <c r="APD43" s="48"/>
      <c r="APE43" s="48"/>
      <c r="APF43" s="48"/>
      <c r="APG43" s="48"/>
      <c r="APH43" s="48"/>
      <c r="API43" s="48"/>
      <c r="APJ43" s="48"/>
      <c r="APK43" s="48"/>
      <c r="APL43" s="48"/>
      <c r="APM43" s="48"/>
      <c r="APN43" s="48"/>
      <c r="APO43" s="48"/>
      <c r="APP43" s="48"/>
      <c r="APQ43" s="48"/>
      <c r="APR43" s="48"/>
      <c r="APS43" s="48"/>
      <c r="APT43" s="48"/>
      <c r="APU43" s="48"/>
      <c r="APV43" s="48"/>
      <c r="APW43" s="48"/>
      <c r="APX43" s="48"/>
      <c r="APY43" s="48"/>
      <c r="APZ43" s="48"/>
      <c r="AQA43" s="48"/>
      <c r="AQB43" s="48"/>
      <c r="AQC43" s="48"/>
      <c r="AQD43" s="48"/>
      <c r="AQE43" s="48"/>
      <c r="AQF43" s="48"/>
      <c r="AQG43" s="48"/>
      <c r="AQH43" s="48"/>
      <c r="AQI43" s="48"/>
      <c r="AQJ43" s="48"/>
      <c r="AQK43" s="48"/>
      <c r="AQL43" s="48"/>
      <c r="AQM43" s="48"/>
      <c r="AQN43" s="48"/>
      <c r="AQO43" s="48"/>
      <c r="AQP43" s="48"/>
      <c r="AQQ43" s="48"/>
      <c r="AQR43" s="48"/>
      <c r="AQS43" s="48"/>
      <c r="AQT43" s="48"/>
      <c r="AQU43" s="48"/>
      <c r="AQV43" s="48"/>
      <c r="AQW43" s="48"/>
      <c r="AQX43" s="48"/>
      <c r="AQY43" s="48"/>
      <c r="AQZ43" s="48"/>
      <c r="ARA43" s="48"/>
      <c r="ARB43" s="48"/>
      <c r="ARC43" s="48"/>
      <c r="ARD43" s="48"/>
      <c r="ARE43" s="48"/>
      <c r="ARF43" s="48"/>
      <c r="ARG43" s="48"/>
      <c r="ARH43" s="48"/>
      <c r="ARI43" s="48"/>
      <c r="ARJ43" s="48"/>
      <c r="ARK43" s="48"/>
      <c r="ARL43" s="48"/>
      <c r="ARM43" s="48"/>
      <c r="ARN43" s="48"/>
      <c r="ARO43" s="48"/>
      <c r="ARP43" s="48"/>
      <c r="ARQ43" s="48"/>
      <c r="ARR43" s="48"/>
      <c r="ARS43" s="48"/>
      <c r="ART43" s="48"/>
      <c r="ARU43" s="48"/>
      <c r="ARV43" s="48"/>
      <c r="ARW43" s="48"/>
      <c r="ARX43" s="48"/>
      <c r="ARY43" s="48"/>
      <c r="ARZ43" s="48"/>
      <c r="ASA43" s="48"/>
      <c r="ASB43" s="48"/>
      <c r="ASC43" s="48"/>
      <c r="ASD43" s="48"/>
      <c r="ASE43" s="48"/>
      <c r="ASF43" s="48"/>
      <c r="ASG43" s="48"/>
      <c r="ASH43" s="48"/>
      <c r="ASI43" s="48"/>
      <c r="ASJ43" s="48"/>
      <c r="ASK43" s="48"/>
      <c r="ASL43" s="48"/>
      <c r="ASM43" s="48"/>
      <c r="ASN43" s="48"/>
      <c r="ASO43" s="48"/>
      <c r="ASP43" s="48"/>
      <c r="ASQ43" s="48"/>
      <c r="ASR43" s="48"/>
      <c r="ASS43" s="48"/>
      <c r="AST43" s="48"/>
      <c r="ASU43" s="48"/>
      <c r="ASV43" s="48"/>
      <c r="ASW43" s="48"/>
      <c r="ASX43" s="48"/>
      <c r="ASY43" s="48"/>
      <c r="ASZ43" s="48"/>
      <c r="ATA43" s="48"/>
      <c r="ATB43" s="48"/>
      <c r="ATC43" s="48"/>
      <c r="ATD43" s="48"/>
      <c r="ATE43" s="48"/>
      <c r="ATF43" s="48"/>
      <c r="ATG43" s="48"/>
      <c r="ATH43" s="48"/>
      <c r="ATI43" s="48"/>
      <c r="ATJ43" s="48"/>
      <c r="ATK43" s="48"/>
      <c r="ATL43" s="48"/>
      <c r="ATM43" s="48"/>
      <c r="ATN43" s="48"/>
      <c r="ATO43" s="48"/>
      <c r="ATP43" s="48"/>
      <c r="ATQ43" s="48"/>
      <c r="ATR43" s="48"/>
      <c r="ATS43" s="48"/>
      <c r="ATT43" s="48"/>
      <c r="ATU43" s="48"/>
      <c r="ATV43" s="48"/>
      <c r="ATW43" s="48"/>
      <c r="ATX43" s="48"/>
      <c r="ATY43" s="48"/>
      <c r="ATZ43" s="48"/>
      <c r="AUA43" s="48"/>
      <c r="AUB43" s="48"/>
      <c r="AUC43" s="48"/>
      <c r="AUD43" s="48"/>
      <c r="AUE43" s="48"/>
      <c r="AUF43" s="48"/>
      <c r="AUG43" s="48"/>
      <c r="AUH43" s="48"/>
      <c r="AUI43" s="48"/>
      <c r="AUJ43" s="48"/>
      <c r="AUK43" s="48"/>
      <c r="AUL43" s="48"/>
      <c r="AUM43" s="48"/>
      <c r="AUN43" s="48"/>
      <c r="AUO43" s="48"/>
      <c r="AUP43" s="48"/>
      <c r="AUQ43" s="48"/>
      <c r="AUR43" s="48"/>
      <c r="AUS43" s="48"/>
      <c r="AUT43" s="48"/>
      <c r="AUU43" s="48"/>
      <c r="AUV43" s="48"/>
      <c r="AUW43" s="48"/>
      <c r="AUX43" s="48"/>
      <c r="AUY43" s="48"/>
      <c r="AUZ43" s="48"/>
      <c r="AVA43" s="48"/>
      <c r="AVB43" s="48"/>
      <c r="AVC43" s="48"/>
      <c r="AVD43" s="48"/>
      <c r="AVE43" s="48"/>
      <c r="AVF43" s="48"/>
      <c r="AVG43" s="48"/>
      <c r="AVH43" s="48"/>
      <c r="AVI43" s="48"/>
      <c r="AVJ43" s="48"/>
      <c r="AVK43" s="48"/>
      <c r="AVL43" s="48"/>
      <c r="AVM43" s="48"/>
      <c r="AVN43" s="48"/>
      <c r="AVO43" s="48"/>
      <c r="AVP43" s="48"/>
      <c r="AVQ43" s="48"/>
      <c r="AVR43" s="48"/>
      <c r="AVS43" s="48"/>
      <c r="AVT43" s="48"/>
      <c r="AVU43" s="48"/>
      <c r="AVV43" s="48"/>
      <c r="AVW43" s="48"/>
      <c r="AVX43" s="48"/>
      <c r="AVY43" s="48"/>
      <c r="AVZ43" s="48"/>
      <c r="AWA43" s="48"/>
      <c r="AWB43" s="48"/>
      <c r="AWC43" s="48"/>
      <c r="AWD43" s="48"/>
      <c r="AWE43" s="48"/>
      <c r="AWF43" s="48"/>
      <c r="AWG43" s="48"/>
      <c r="AWH43" s="48"/>
      <c r="AWI43" s="48"/>
      <c r="AWJ43" s="48"/>
      <c r="AWK43" s="48"/>
      <c r="AWL43" s="48"/>
      <c r="AWM43" s="48"/>
      <c r="AWN43" s="48"/>
      <c r="AWO43" s="48"/>
      <c r="AWP43" s="48"/>
      <c r="AWQ43" s="48"/>
      <c r="AWR43" s="48"/>
      <c r="AWS43" s="48"/>
      <c r="AWT43" s="48"/>
      <c r="AWU43" s="48"/>
      <c r="AWV43" s="48"/>
      <c r="AWW43" s="48"/>
      <c r="AWX43" s="48"/>
      <c r="AWY43" s="48"/>
      <c r="AWZ43" s="48"/>
      <c r="AXA43" s="48"/>
      <c r="AXB43" s="48"/>
      <c r="AXC43" s="48"/>
      <c r="AXD43" s="48"/>
      <c r="AXE43" s="48"/>
      <c r="AXF43" s="48"/>
      <c r="AXG43" s="48"/>
      <c r="AXH43" s="48"/>
      <c r="AXI43" s="48"/>
      <c r="AXJ43" s="48"/>
      <c r="AXK43" s="48"/>
      <c r="AXL43" s="48"/>
      <c r="AXM43" s="48"/>
      <c r="AXN43" s="48"/>
      <c r="AXO43" s="48"/>
      <c r="AXP43" s="48"/>
      <c r="AXQ43" s="48"/>
      <c r="AXR43" s="48"/>
      <c r="AXS43" s="48"/>
      <c r="AXT43" s="48"/>
      <c r="AXU43" s="48"/>
      <c r="AXV43" s="48"/>
      <c r="AXW43" s="48"/>
      <c r="AXX43" s="48"/>
      <c r="AXY43" s="48"/>
      <c r="AXZ43" s="48"/>
      <c r="AYA43" s="48"/>
      <c r="AYB43" s="48"/>
      <c r="AYC43" s="48"/>
      <c r="AYD43" s="48"/>
      <c r="AYE43" s="48"/>
      <c r="AYF43" s="48"/>
      <c r="AYG43" s="48"/>
      <c r="AYH43" s="48"/>
      <c r="AYI43" s="48"/>
      <c r="AYJ43" s="48"/>
      <c r="AYK43" s="48"/>
      <c r="AYL43" s="48"/>
      <c r="AYM43" s="48"/>
      <c r="AYN43" s="48"/>
      <c r="AYO43" s="48"/>
      <c r="AYP43" s="48"/>
      <c r="AYQ43" s="48"/>
      <c r="AYR43" s="48"/>
      <c r="AYS43" s="48"/>
      <c r="AYT43" s="48"/>
      <c r="AYU43" s="48"/>
      <c r="AYV43" s="48"/>
      <c r="AYW43" s="48"/>
      <c r="AYX43" s="48"/>
      <c r="AYY43" s="48"/>
      <c r="AYZ43" s="48"/>
      <c r="AZA43" s="48"/>
      <c r="AZB43" s="48"/>
      <c r="AZC43" s="48"/>
      <c r="AZD43" s="48"/>
      <c r="AZE43" s="48"/>
      <c r="AZF43" s="48"/>
      <c r="AZG43" s="48"/>
      <c r="AZH43" s="48"/>
      <c r="AZI43" s="48"/>
      <c r="AZJ43" s="48"/>
      <c r="AZK43" s="48"/>
      <c r="AZL43" s="48"/>
      <c r="AZM43" s="48"/>
      <c r="AZN43" s="48"/>
      <c r="AZO43" s="48"/>
      <c r="AZP43" s="48"/>
      <c r="AZQ43" s="48"/>
      <c r="AZR43" s="48"/>
      <c r="AZS43" s="48"/>
      <c r="AZT43" s="48"/>
      <c r="AZU43" s="48"/>
      <c r="AZV43" s="48"/>
      <c r="AZW43" s="48"/>
      <c r="AZX43" s="48"/>
      <c r="AZY43" s="48"/>
      <c r="AZZ43" s="48"/>
      <c r="BAA43" s="48"/>
      <c r="BAB43" s="48"/>
      <c r="BAC43" s="48"/>
      <c r="BAD43" s="48"/>
      <c r="BAE43" s="48"/>
      <c r="BAF43" s="48"/>
      <c r="BAG43" s="48"/>
      <c r="BAH43" s="48"/>
      <c r="BAI43" s="48"/>
      <c r="BAJ43" s="48"/>
      <c r="BAK43" s="48"/>
      <c r="BAL43" s="48"/>
      <c r="BAM43" s="48"/>
      <c r="BAN43" s="48"/>
      <c r="BAO43" s="48"/>
      <c r="BAP43" s="48"/>
      <c r="BAQ43" s="48"/>
      <c r="BAR43" s="48"/>
      <c r="BAS43" s="48"/>
      <c r="BAT43" s="48"/>
      <c r="BAU43" s="48"/>
      <c r="BAV43" s="48"/>
      <c r="BAW43" s="48"/>
      <c r="BAX43" s="48"/>
    </row>
    <row r="44" spans="1:1402" ht="24.75" hidden="1" customHeight="1" x14ac:dyDescent="0.25">
      <c r="A44" s="307">
        <f t="shared" si="3"/>
        <v>43</v>
      </c>
      <c r="B44" s="308" t="s">
        <v>1211</v>
      </c>
      <c r="C44" s="308" t="s">
        <v>1201</v>
      </c>
      <c r="D44" s="358" t="s">
        <v>1140</v>
      </c>
      <c r="E44" s="316" t="s">
        <v>1132</v>
      </c>
      <c r="F44" s="308"/>
      <c r="G44" s="308" t="s">
        <v>29</v>
      </c>
      <c r="H44" s="308">
        <f t="shared" si="6"/>
        <v>0</v>
      </c>
      <c r="I44" s="263"/>
      <c r="J44" s="263"/>
      <c r="K44" s="263">
        <f>Master20[[#This Row],[Initial Budget]]-Master20[[#This Row],[Previously Committed Funds]]</f>
        <v>0</v>
      </c>
      <c r="L44" s="263"/>
      <c r="M44" s="263"/>
      <c r="N44" s="268">
        <f>Master20[[#This Row],[Design $ (Add/Deduct)]]+Master20[[#This Row],[Construction $ (Add/Ded)]]</f>
        <v>0</v>
      </c>
      <c r="O44" s="266">
        <v>12000000</v>
      </c>
      <c r="P44" s="311">
        <v>2019</v>
      </c>
      <c r="Q44" s="308" t="s">
        <v>46</v>
      </c>
      <c r="R44" s="311">
        <f t="shared" si="7"/>
        <v>50</v>
      </c>
      <c r="S44" s="310">
        <v>3</v>
      </c>
      <c r="T44" s="310">
        <f t="shared" si="8"/>
        <v>9</v>
      </c>
      <c r="U44" s="310" t="s">
        <v>43</v>
      </c>
      <c r="V44" s="310"/>
      <c r="W44" s="310" t="s">
        <v>34</v>
      </c>
      <c r="X44" s="310">
        <v>-9</v>
      </c>
      <c r="Y44" s="310">
        <v>0</v>
      </c>
      <c r="Z44" s="310">
        <v>-3</v>
      </c>
      <c r="AA44" s="310">
        <v>-3</v>
      </c>
      <c r="AB44" s="310">
        <v>-2</v>
      </c>
      <c r="AC44" s="310">
        <v>-9</v>
      </c>
      <c r="AD44" s="310">
        <v>-2</v>
      </c>
      <c r="AE44" s="310"/>
      <c r="AF44" s="309" t="s">
        <v>35</v>
      </c>
      <c r="AG44" s="311">
        <f>VLOOKUP(Master20[[#This Row],[Elevated Priority]],Epriority,2,)</f>
        <v>-25</v>
      </c>
      <c r="AH44" s="311">
        <f>IF(Master20[[#This Row],[Status]]="Active",Master20[[#This Row],[Status_Score]],IF(D44="","",R44+H44+T44+V44+AG44+AE44+Master20[[#This Row],[Risk Mitigation]]+Master20[[#This Row],[Master Plan]]+Master20[[#This Row],[Community Request]]+Master20[[#This Row],[Community need]]+Master20[[#This Row],[Offset Aging Inf.]]+Master20[[#This Row],[Energy Savings]]+Master20[[#This Row],[Gen Revenue]]-5))</f>
        <v>1</v>
      </c>
      <c r="AI44" s="310"/>
      <c r="AJ44" s="310">
        <v>2021</v>
      </c>
      <c r="AK44" s="310">
        <v>2023</v>
      </c>
      <c r="AL44" s="310">
        <v>2022</v>
      </c>
      <c r="AM44" s="310">
        <v>2023</v>
      </c>
      <c r="AN44" s="308" t="s">
        <v>1153</v>
      </c>
    </row>
    <row r="45" spans="1:1402" ht="75" hidden="1" x14ac:dyDescent="0.25">
      <c r="A45" s="307">
        <f t="shared" si="3"/>
        <v>44</v>
      </c>
      <c r="B45" s="308" t="s">
        <v>67</v>
      </c>
      <c r="C45" s="308" t="s">
        <v>73</v>
      </c>
      <c r="D45" s="358" t="s">
        <v>1104</v>
      </c>
      <c r="E45" s="308" t="s">
        <v>1105</v>
      </c>
      <c r="F45" s="308" t="s">
        <v>1106</v>
      </c>
      <c r="G45" s="308" t="s">
        <v>29</v>
      </c>
      <c r="H45" s="272">
        <f t="shared" si="6"/>
        <v>0</v>
      </c>
      <c r="I45" s="263"/>
      <c r="J45" s="263"/>
      <c r="K45" s="263">
        <f>Master20[[#This Row],[Initial Budget]]-Master20[[#This Row],[Previously Committed Funds]]</f>
        <v>0</v>
      </c>
      <c r="L45" s="263">
        <v>75000</v>
      </c>
      <c r="M45" s="263">
        <v>275000</v>
      </c>
      <c r="N45" s="268">
        <f>Master20[[#This Row],[Design $ (Add/Deduct)]]+Master20[[#This Row],[Construction $ (Add/Ded)]]</f>
        <v>350000</v>
      </c>
      <c r="O45" s="266">
        <v>350000</v>
      </c>
      <c r="P45" s="311">
        <v>2022</v>
      </c>
      <c r="Q45" s="308" t="s">
        <v>36</v>
      </c>
      <c r="R45" s="311">
        <f t="shared" si="7"/>
        <v>10</v>
      </c>
      <c r="S45" s="310">
        <v>1</v>
      </c>
      <c r="T45" s="310">
        <f t="shared" si="8"/>
        <v>3</v>
      </c>
      <c r="U45" s="310" t="s">
        <v>33</v>
      </c>
      <c r="V45" s="310">
        <f t="shared" ref="V45:V75" si="10">VLOOKUP(U45,Urgency,2,FALSE)</f>
        <v>1</v>
      </c>
      <c r="W45" s="310" t="s">
        <v>30</v>
      </c>
      <c r="X45" s="310">
        <v>-1</v>
      </c>
      <c r="Y45" s="310">
        <v>0</v>
      </c>
      <c r="Z45" s="310">
        <v>-3</v>
      </c>
      <c r="AA45" s="310">
        <v>0</v>
      </c>
      <c r="AB45" s="310">
        <v>0</v>
      </c>
      <c r="AC45" s="310">
        <v>0</v>
      </c>
      <c r="AD45" s="310">
        <v>-3</v>
      </c>
      <c r="AE45" s="310"/>
      <c r="AF45" s="309" t="s">
        <v>29</v>
      </c>
      <c r="AG45" s="311">
        <f>VLOOKUP(Master20[[#This Row],[Elevated Priority]],Epriority,2,)</f>
        <v>0</v>
      </c>
      <c r="AH45" s="311">
        <f>IF(Master20[[#This Row],[Status]]="Active",Master20[[#This Row],[Status_Score]],IF(D45="","",R45+H45+T45+V45+AG45+AE45+Master20[[#This Row],[Risk Mitigation]]+Master20[[#This Row],[Master Plan]]+Master20[[#This Row],[Community Request]]+Master20[[#This Row],[Community need]]+Master20[[#This Row],[Offset Aging Inf.]]+Master20[[#This Row],[Energy Savings]]+Master20[[#This Row],[Gen Revenue]]-5))</f>
        <v>2</v>
      </c>
      <c r="AI45" s="310"/>
      <c r="AJ45" s="310"/>
      <c r="AK45" s="310"/>
      <c r="AL45" s="310">
        <v>2022</v>
      </c>
      <c r="AM45" s="310">
        <v>2023</v>
      </c>
      <c r="AN45" s="308"/>
    </row>
    <row r="46" spans="1:1402" s="298" customFormat="1" ht="60" hidden="1" x14ac:dyDescent="0.25">
      <c r="A46" s="307">
        <f t="shared" si="3"/>
        <v>45</v>
      </c>
      <c r="B46" s="378" t="s">
        <v>1199</v>
      </c>
      <c r="C46" s="300" t="s">
        <v>72</v>
      </c>
      <c r="D46" s="300" t="s">
        <v>1056</v>
      </c>
      <c r="E46" s="300" t="s">
        <v>1057</v>
      </c>
      <c r="F46" s="300" t="s">
        <v>771</v>
      </c>
      <c r="G46" s="300" t="s">
        <v>29</v>
      </c>
      <c r="H46" s="300">
        <f t="shared" si="6"/>
        <v>0</v>
      </c>
      <c r="I46" s="249"/>
      <c r="J46" s="249"/>
      <c r="K46" s="249">
        <f>Master20[[#This Row],[Initial Budget]]-Master20[[#This Row],[Previously Committed Funds]]</f>
        <v>0</v>
      </c>
      <c r="L46" s="249"/>
      <c r="M46" s="249"/>
      <c r="N46" s="258">
        <f>Master20[[#This Row],[Design $ (Add/Deduct)]]+Master20[[#This Row],[Construction $ (Add/Ded)]]</f>
        <v>0</v>
      </c>
      <c r="O46" s="256">
        <v>800000</v>
      </c>
      <c r="P46" s="301">
        <v>2018</v>
      </c>
      <c r="Q46" s="300" t="s">
        <v>1133</v>
      </c>
      <c r="R46" s="301">
        <f t="shared" si="7"/>
        <v>5</v>
      </c>
      <c r="S46" s="302">
        <v>2</v>
      </c>
      <c r="T46" s="299">
        <f t="shared" si="8"/>
        <v>6</v>
      </c>
      <c r="U46" s="302" t="s">
        <v>41</v>
      </c>
      <c r="V46" s="302">
        <f t="shared" si="10"/>
        <v>4</v>
      </c>
      <c r="W46" s="302" t="s">
        <v>34</v>
      </c>
      <c r="X46" s="302">
        <v>0</v>
      </c>
      <c r="Y46" s="302">
        <v>0</v>
      </c>
      <c r="Z46" s="302">
        <v>0</v>
      </c>
      <c r="AA46" s="302">
        <v>-3</v>
      </c>
      <c r="AB46" s="302">
        <v>0</v>
      </c>
      <c r="AC46" s="302">
        <v>0</v>
      </c>
      <c r="AD46" s="302">
        <v>-3</v>
      </c>
      <c r="AE46" s="302"/>
      <c r="AF46" s="303" t="s">
        <v>29</v>
      </c>
      <c r="AG46" s="305">
        <f>VLOOKUP(Master20[[#This Row],[Elevated Priority]],Epriority,2,)</f>
        <v>0</v>
      </c>
      <c r="AH46" s="321">
        <f>IF(Master20[[#This Row],[Status]]="Active",Master20[[#This Row],[Status_Score]],IF(D46="","",R46+H46+T46+V46+AG46+AE46+Master20[[#This Row],[Risk Mitigation]]+Master20[[#This Row],[Master Plan]]+Master20[[#This Row],[Community Request]]+Master20[[#This Row],[Community need]]+Master20[[#This Row],[Offset Aging Inf.]]+Master20[[#This Row],[Energy Savings]]+Master20[[#This Row],[Gen Revenue]]-5))</f>
        <v>4</v>
      </c>
      <c r="AI46" s="302" t="s">
        <v>1038</v>
      </c>
      <c r="AJ46" s="302">
        <v>2020</v>
      </c>
      <c r="AK46" s="302">
        <v>2022</v>
      </c>
      <c r="AL46" s="302">
        <v>2022</v>
      </c>
      <c r="AM46" s="302">
        <v>2024</v>
      </c>
      <c r="AN46" s="300"/>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row>
    <row r="47" spans="1:1402" s="298" customFormat="1" ht="60" hidden="1" x14ac:dyDescent="0.25">
      <c r="A47" s="307">
        <f t="shared" si="3"/>
        <v>46</v>
      </c>
      <c r="B47" s="300" t="s">
        <v>1212</v>
      </c>
      <c r="C47" s="300" t="s">
        <v>1201</v>
      </c>
      <c r="D47" s="300" t="s">
        <v>1086</v>
      </c>
      <c r="E47" s="300" t="s">
        <v>1119</v>
      </c>
      <c r="F47" s="300"/>
      <c r="G47" s="300" t="s">
        <v>29</v>
      </c>
      <c r="H47" s="300">
        <f t="shared" si="6"/>
        <v>0</v>
      </c>
      <c r="I47" s="249"/>
      <c r="J47" s="249"/>
      <c r="K47" s="249">
        <f>Master20[[#This Row],[Initial Budget]]-Master20[[#This Row],[Previously Committed Funds]]</f>
        <v>0</v>
      </c>
      <c r="L47" s="249"/>
      <c r="M47" s="249"/>
      <c r="N47" s="258">
        <f>Master20[[#This Row],[Design $ (Add/Deduct)]]+Master20[[#This Row],[Construction $ (Add/Ded)]]</f>
        <v>0</v>
      </c>
      <c r="O47" s="256">
        <v>350000</v>
      </c>
      <c r="P47" s="301">
        <v>2022</v>
      </c>
      <c r="Q47" s="300" t="s">
        <v>830</v>
      </c>
      <c r="R47" s="301">
        <f t="shared" si="7"/>
        <v>10</v>
      </c>
      <c r="S47" s="302">
        <v>5</v>
      </c>
      <c r="T47" s="299">
        <f t="shared" si="8"/>
        <v>15</v>
      </c>
      <c r="U47" s="302" t="s">
        <v>43</v>
      </c>
      <c r="V47" s="302">
        <f t="shared" si="10"/>
        <v>16</v>
      </c>
      <c r="W47" s="302" t="s">
        <v>1116</v>
      </c>
      <c r="X47" s="302">
        <v>0</v>
      </c>
      <c r="Y47" s="302">
        <v>0</v>
      </c>
      <c r="Z47" s="302">
        <v>0</v>
      </c>
      <c r="AA47" s="302">
        <v>0</v>
      </c>
      <c r="AB47" s="302">
        <v>-2</v>
      </c>
      <c r="AC47" s="302">
        <v>-3</v>
      </c>
      <c r="AD47" s="302">
        <v>-2</v>
      </c>
      <c r="AE47" s="302"/>
      <c r="AF47" s="303" t="s">
        <v>31</v>
      </c>
      <c r="AG47" s="305">
        <f>VLOOKUP(Master20[[#This Row],[Elevated Priority]],Epriority,2,)</f>
        <v>-25</v>
      </c>
      <c r="AH47" s="321">
        <f>IF(Master20[[#This Row],[Status]]="Active",Master20[[#This Row],[Status_Score]],IF(D47="","",R47+H47+T47+V47+AG47+AE47+Master20[[#This Row],[Risk Mitigation]]+Master20[[#This Row],[Master Plan]]+Master20[[#This Row],[Community Request]]+Master20[[#This Row],[Community need]]+Master20[[#This Row],[Offset Aging Inf.]]+Master20[[#This Row],[Energy Savings]]+Master20[[#This Row],[Gen Revenue]]-5))</f>
        <v>4</v>
      </c>
      <c r="AI47" s="302"/>
      <c r="AJ47" s="302"/>
      <c r="AK47" s="302"/>
      <c r="AL47" s="302">
        <v>2023</v>
      </c>
      <c r="AM47" s="302">
        <v>2024</v>
      </c>
      <c r="AN47" s="300"/>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row>
    <row r="48" spans="1:1402" ht="30" hidden="1" x14ac:dyDescent="0.25">
      <c r="A48" s="307">
        <f t="shared" si="3"/>
        <v>47</v>
      </c>
      <c r="B48" s="308" t="s">
        <v>65</v>
      </c>
      <c r="C48" s="308" t="s">
        <v>1045</v>
      </c>
      <c r="D48" s="358" t="s">
        <v>1117</v>
      </c>
      <c r="E48" s="308" t="s">
        <v>1118</v>
      </c>
      <c r="F48" s="308" t="s">
        <v>546</v>
      </c>
      <c r="G48" s="308" t="s">
        <v>29</v>
      </c>
      <c r="H48" s="308">
        <f t="shared" si="6"/>
        <v>0</v>
      </c>
      <c r="I48" s="263"/>
      <c r="J48" s="263"/>
      <c r="K48" s="263">
        <f>Master20[[#This Row],[Initial Budget]]-Master20[[#This Row],[Previously Committed Funds]]</f>
        <v>0</v>
      </c>
      <c r="L48" s="263">
        <v>100000</v>
      </c>
      <c r="M48" s="263"/>
      <c r="N48" s="268">
        <f>Master20[[#This Row],[Design $ (Add/Deduct)]]+Master20[[#This Row],[Construction $ (Add/Ded)]]</f>
        <v>100000</v>
      </c>
      <c r="O48" s="266">
        <v>1250000</v>
      </c>
      <c r="P48" s="311">
        <v>2018</v>
      </c>
      <c r="Q48" s="308" t="s">
        <v>36</v>
      </c>
      <c r="R48" s="311">
        <f t="shared" si="7"/>
        <v>10</v>
      </c>
      <c r="S48" s="310">
        <v>1</v>
      </c>
      <c r="T48" s="310">
        <f t="shared" si="8"/>
        <v>3</v>
      </c>
      <c r="U48" s="310" t="s">
        <v>37</v>
      </c>
      <c r="V48" s="310">
        <f t="shared" si="10"/>
        <v>3</v>
      </c>
      <c r="W48" s="310" t="s">
        <v>34</v>
      </c>
      <c r="X48" s="310">
        <v>0</v>
      </c>
      <c r="Y48" s="310">
        <v>0</v>
      </c>
      <c r="Z48" s="310">
        <v>-3</v>
      </c>
      <c r="AA48" s="310">
        <v>0</v>
      </c>
      <c r="AB48" s="310">
        <v>0</v>
      </c>
      <c r="AC48" s="310">
        <v>0</v>
      </c>
      <c r="AD48" s="310">
        <v>-3</v>
      </c>
      <c r="AE48" s="310"/>
      <c r="AF48" s="309" t="s">
        <v>29</v>
      </c>
      <c r="AG48" s="311">
        <f>VLOOKUP(Master20[[#This Row],[Elevated Priority]],Epriority,2,)</f>
        <v>0</v>
      </c>
      <c r="AH48" s="311">
        <f>IF(Master20[[#This Row],[Status]]="Active",Master20[[#This Row],[Status_Score]],IF(D48="","",R48+H48+T48+V48+AG48+AE48+Master20[[#This Row],[Risk Mitigation]]+Master20[[#This Row],[Master Plan]]+Master20[[#This Row],[Community Request]]+Master20[[#This Row],[Community need]]+Master20[[#This Row],[Offset Aging Inf.]]+Master20[[#This Row],[Energy Savings]]+Master20[[#This Row],[Gen Revenue]]-5))</f>
        <v>5</v>
      </c>
      <c r="AI48" s="310"/>
      <c r="AJ48" s="310">
        <v>2022</v>
      </c>
      <c r="AK48" s="310">
        <v>2023</v>
      </c>
      <c r="AL48" s="310">
        <v>2022</v>
      </c>
      <c r="AM48" s="310">
        <v>2023</v>
      </c>
      <c r="AN48" s="304"/>
    </row>
    <row r="49" spans="1:67" ht="45" hidden="1" x14ac:dyDescent="0.25">
      <c r="A49" s="307">
        <f t="shared" si="3"/>
        <v>48</v>
      </c>
      <c r="B49" s="308" t="s">
        <v>1200</v>
      </c>
      <c r="C49" s="308" t="s">
        <v>1045</v>
      </c>
      <c r="D49" s="358" t="s">
        <v>1120</v>
      </c>
      <c r="E49" s="308" t="s">
        <v>1121</v>
      </c>
      <c r="F49" s="308" t="s">
        <v>1122</v>
      </c>
      <c r="G49" s="308" t="s">
        <v>29</v>
      </c>
      <c r="H49" s="272">
        <f t="shared" si="6"/>
        <v>0</v>
      </c>
      <c r="I49" s="263"/>
      <c r="J49" s="263"/>
      <c r="K49" s="263">
        <f>Master20[[#This Row],[Initial Budget]]-Master20[[#This Row],[Previously Committed Funds]]</f>
        <v>0</v>
      </c>
      <c r="L49" s="263"/>
      <c r="M49" s="263"/>
      <c r="N49" s="268">
        <f>Master20[[#This Row],[Design $ (Add/Deduct)]]+Master20[[#This Row],[Construction $ (Add/Ded)]]</f>
        <v>0</v>
      </c>
      <c r="O49" s="266">
        <v>350000</v>
      </c>
      <c r="P49" s="311">
        <v>2022</v>
      </c>
      <c r="Q49" s="308" t="s">
        <v>688</v>
      </c>
      <c r="R49" s="311">
        <f t="shared" si="7"/>
        <v>20</v>
      </c>
      <c r="S49" s="310">
        <v>2</v>
      </c>
      <c r="T49" s="310">
        <f t="shared" si="8"/>
        <v>6</v>
      </c>
      <c r="U49" s="310" t="s">
        <v>41</v>
      </c>
      <c r="V49" s="310">
        <f t="shared" si="10"/>
        <v>4</v>
      </c>
      <c r="W49" s="310" t="s">
        <v>30</v>
      </c>
      <c r="X49" s="310">
        <v>-3</v>
      </c>
      <c r="Y49" s="310">
        <v>0</v>
      </c>
      <c r="Z49" s="310">
        <v>-3</v>
      </c>
      <c r="AA49" s="310">
        <v>-3</v>
      </c>
      <c r="AB49" s="310">
        <v>0</v>
      </c>
      <c r="AC49" s="310">
        <v>-5</v>
      </c>
      <c r="AD49" s="310">
        <v>0</v>
      </c>
      <c r="AE49" s="310"/>
      <c r="AF49" s="309" t="s">
        <v>29</v>
      </c>
      <c r="AG49" s="311">
        <f>VLOOKUP(Master20[[#This Row],[Elevated Priority]],Epriority,2,)</f>
        <v>0</v>
      </c>
      <c r="AH49" s="311">
        <f>IF(Master20[[#This Row],[Status]]="Active",Master20[[#This Row],[Status_Score]],IF(D49="","",R49+H49+T49+V49+AG49+AE49+Master20[[#This Row],[Risk Mitigation]]+Master20[[#This Row],[Master Plan]]+Master20[[#This Row],[Community Request]]+Master20[[#This Row],[Community need]]+Master20[[#This Row],[Offset Aging Inf.]]+Master20[[#This Row],[Energy Savings]]+Master20[[#This Row],[Gen Revenue]]-5))</f>
        <v>11</v>
      </c>
      <c r="AI49" s="310"/>
      <c r="AJ49" s="310"/>
      <c r="AK49" s="310"/>
      <c r="AL49" s="310">
        <v>2022</v>
      </c>
      <c r="AM49" s="310">
        <v>2023</v>
      </c>
      <c r="AN49" s="304"/>
    </row>
    <row r="50" spans="1:67" s="298" customFormat="1" ht="60" hidden="1" x14ac:dyDescent="0.25">
      <c r="A50" s="307">
        <f t="shared" si="3"/>
        <v>49</v>
      </c>
      <c r="B50" s="378" t="s">
        <v>1210</v>
      </c>
      <c r="C50" s="300" t="s">
        <v>70</v>
      </c>
      <c r="D50" s="300" t="s">
        <v>1000</v>
      </c>
      <c r="E50" s="300" t="s">
        <v>228</v>
      </c>
      <c r="F50" s="300" t="s">
        <v>229</v>
      </c>
      <c r="G50" s="300" t="s">
        <v>29</v>
      </c>
      <c r="H50" s="300">
        <f t="shared" si="6"/>
        <v>0</v>
      </c>
      <c r="I50" s="249"/>
      <c r="J50" s="249"/>
      <c r="K50" s="249">
        <f>Master20[[#This Row],[Initial Budget]]-Master20[[#This Row],[Previously Committed Funds]]</f>
        <v>0</v>
      </c>
      <c r="L50" s="249"/>
      <c r="M50" s="249"/>
      <c r="N50" s="258">
        <f>Master20[[#This Row],[Design $ (Add/Deduct)]]+Master20[[#This Row],[Construction $ (Add/Ded)]]</f>
        <v>0</v>
      </c>
      <c r="O50" s="256">
        <v>100000</v>
      </c>
      <c r="P50" s="301">
        <v>2018</v>
      </c>
      <c r="Q50" s="300" t="s">
        <v>36</v>
      </c>
      <c r="R50" s="301">
        <f t="shared" si="7"/>
        <v>10</v>
      </c>
      <c r="S50" s="302">
        <v>2</v>
      </c>
      <c r="T50" s="299">
        <f t="shared" si="8"/>
        <v>6</v>
      </c>
      <c r="U50" s="302" t="s">
        <v>37</v>
      </c>
      <c r="V50" s="302">
        <f t="shared" si="10"/>
        <v>3</v>
      </c>
      <c r="W50" s="302" t="s">
        <v>30</v>
      </c>
      <c r="X50" s="302">
        <v>0</v>
      </c>
      <c r="Y50" s="302">
        <v>0</v>
      </c>
      <c r="Z50" s="302">
        <v>0</v>
      </c>
      <c r="AA50" s="302">
        <v>0</v>
      </c>
      <c r="AB50" s="302">
        <v>0</v>
      </c>
      <c r="AC50" s="302">
        <v>0</v>
      </c>
      <c r="AD50" s="302">
        <v>0</v>
      </c>
      <c r="AE50" s="302"/>
      <c r="AF50" s="303" t="s">
        <v>29</v>
      </c>
      <c r="AG50" s="305">
        <f>VLOOKUP(Master20[[#This Row],[Elevated Priority]],Epriority,2,)</f>
        <v>0</v>
      </c>
      <c r="AH50" s="321">
        <f>IF(Master20[[#This Row],[Status]]="Active",Master20[[#This Row],[Status_Score]],IF(D50="","",R50+H50+T50+V50+AG50+AE50+Master20[[#This Row],[Risk Mitigation]]+Master20[[#This Row],[Master Plan]]+Master20[[#This Row],[Community Request]]+Master20[[#This Row],[Community need]]+Master20[[#This Row],[Offset Aging Inf.]]+Master20[[#This Row],[Energy Savings]]+Master20[[#This Row],[Gen Revenue]]-5))</f>
        <v>14</v>
      </c>
      <c r="AI50" s="302"/>
      <c r="AJ50" s="302">
        <v>2020</v>
      </c>
      <c r="AK50" s="302">
        <v>2021</v>
      </c>
      <c r="AL50" s="302">
        <v>2022</v>
      </c>
      <c r="AM50" s="302">
        <v>2023</v>
      </c>
      <c r="AN50" s="300" t="s">
        <v>974</v>
      </c>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row>
    <row r="51" spans="1:67" s="298" customFormat="1" ht="60" hidden="1" x14ac:dyDescent="0.25">
      <c r="A51" s="307">
        <f t="shared" si="3"/>
        <v>50</v>
      </c>
      <c r="B51" s="300" t="s">
        <v>70</v>
      </c>
      <c r="C51" s="300" t="s">
        <v>79</v>
      </c>
      <c r="D51" s="300" t="s">
        <v>780</v>
      </c>
      <c r="E51" s="300" t="s">
        <v>311</v>
      </c>
      <c r="F51" s="300" t="s">
        <v>312</v>
      </c>
      <c r="G51" s="300" t="s">
        <v>29</v>
      </c>
      <c r="H51" s="300">
        <f t="shared" si="6"/>
        <v>0</v>
      </c>
      <c r="I51" s="249"/>
      <c r="J51" s="249"/>
      <c r="K51" s="249">
        <f>Master20[[#This Row],[Initial Budget]]-Master20[[#This Row],[Previously Committed Funds]]</f>
        <v>0</v>
      </c>
      <c r="L51" s="249"/>
      <c r="M51" s="249"/>
      <c r="N51" s="258">
        <f>Master20[[#This Row],[Design $ (Add/Deduct)]]+Master20[[#This Row],[Construction $ (Add/Ded)]]</f>
        <v>0</v>
      </c>
      <c r="O51" s="256">
        <v>250000</v>
      </c>
      <c r="P51" s="301">
        <v>2018</v>
      </c>
      <c r="Q51" s="300" t="s">
        <v>36</v>
      </c>
      <c r="R51" s="301">
        <f t="shared" si="7"/>
        <v>10</v>
      </c>
      <c r="S51" s="302">
        <v>3</v>
      </c>
      <c r="T51" s="299">
        <f t="shared" si="8"/>
        <v>9</v>
      </c>
      <c r="U51" s="302" t="s">
        <v>41</v>
      </c>
      <c r="V51" s="302">
        <f t="shared" si="10"/>
        <v>4</v>
      </c>
      <c r="W51" s="302" t="s">
        <v>34</v>
      </c>
      <c r="X51" s="302">
        <v>0</v>
      </c>
      <c r="Y51" s="302">
        <v>0</v>
      </c>
      <c r="Z51" s="302">
        <v>0</v>
      </c>
      <c r="AA51" s="302">
        <v>0</v>
      </c>
      <c r="AB51" s="302">
        <v>0</v>
      </c>
      <c r="AC51" s="302">
        <v>0</v>
      </c>
      <c r="AD51" s="302">
        <v>-3</v>
      </c>
      <c r="AE51" s="302"/>
      <c r="AF51" s="303" t="s">
        <v>29</v>
      </c>
      <c r="AG51" s="305">
        <f>VLOOKUP(Master20[[#This Row],[Elevated Priority]],Epriority,2,)</f>
        <v>0</v>
      </c>
      <c r="AH51" s="321">
        <f>IF(Master20[[#This Row],[Status]]="Active",Master20[[#This Row],[Status_Score]],IF(D51="","",R51+H51+T51+V51+AG51+AE51+Master20[[#This Row],[Risk Mitigation]]+Master20[[#This Row],[Master Plan]]+Master20[[#This Row],[Community Request]]+Master20[[#This Row],[Community need]]+Master20[[#This Row],[Offset Aging Inf.]]+Master20[[#This Row],[Energy Savings]]+Master20[[#This Row],[Gen Revenue]]-5))</f>
        <v>15</v>
      </c>
      <c r="AI51" s="302"/>
      <c r="AJ51" s="302">
        <v>2022</v>
      </c>
      <c r="AK51" s="302">
        <v>2023</v>
      </c>
      <c r="AL51" s="302">
        <v>2022</v>
      </c>
      <c r="AM51" s="302">
        <v>2023</v>
      </c>
      <c r="AN51" s="300"/>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row>
    <row r="52" spans="1:67" s="298" customFormat="1" ht="60" hidden="1" x14ac:dyDescent="0.25">
      <c r="A52" s="307">
        <f t="shared" si="3"/>
        <v>51</v>
      </c>
      <c r="B52" s="378" t="s">
        <v>1200</v>
      </c>
      <c r="C52" s="300" t="s">
        <v>1202</v>
      </c>
      <c r="D52" s="300" t="s">
        <v>1129</v>
      </c>
      <c r="E52" s="300" t="s">
        <v>1130</v>
      </c>
      <c r="F52" s="300" t="s">
        <v>1131</v>
      </c>
      <c r="G52" s="300" t="s">
        <v>29</v>
      </c>
      <c r="H52" s="300">
        <f t="shared" si="6"/>
        <v>0</v>
      </c>
      <c r="I52" s="249"/>
      <c r="J52" s="249"/>
      <c r="K52" s="249">
        <f>Master20[[#This Row],[Initial Budget]]-Master20[[#This Row],[Previously Committed Funds]]</f>
        <v>0</v>
      </c>
      <c r="L52" s="249"/>
      <c r="M52" s="249"/>
      <c r="N52" s="258">
        <f>Master20[[#This Row],[Design $ (Add/Deduct)]]+Master20[[#This Row],[Construction $ (Add/Ded)]]</f>
        <v>0</v>
      </c>
      <c r="O52" s="256"/>
      <c r="P52" s="301">
        <v>2022</v>
      </c>
      <c r="Q52" s="300" t="s">
        <v>36</v>
      </c>
      <c r="R52" s="301">
        <f t="shared" si="7"/>
        <v>10</v>
      </c>
      <c r="S52" s="302">
        <v>4</v>
      </c>
      <c r="T52" s="299">
        <f t="shared" si="8"/>
        <v>12</v>
      </c>
      <c r="U52" s="302" t="s">
        <v>33</v>
      </c>
      <c r="V52" s="302">
        <f t="shared" si="10"/>
        <v>1</v>
      </c>
      <c r="W52" s="302"/>
      <c r="X52" s="302">
        <v>0</v>
      </c>
      <c r="Y52" s="302">
        <v>0</v>
      </c>
      <c r="Z52" s="302">
        <v>0</v>
      </c>
      <c r="AA52" s="302">
        <v>0</v>
      </c>
      <c r="AB52" s="302">
        <v>0</v>
      </c>
      <c r="AC52" s="302">
        <v>0</v>
      </c>
      <c r="AD52" s="302">
        <v>-1</v>
      </c>
      <c r="AE52" s="302"/>
      <c r="AF52" s="303" t="s">
        <v>29</v>
      </c>
      <c r="AG52" s="305">
        <f>VLOOKUP(Master20[[#This Row],[Elevated Priority]],Epriority,2,)</f>
        <v>0</v>
      </c>
      <c r="AH52" s="321">
        <f>IF(Master20[[#This Row],[Status]]="Active",Master20[[#This Row],[Status_Score]],IF(D52="","",R52+H52+T52+V52+AG52+AE52+Master20[[#This Row],[Risk Mitigation]]+Master20[[#This Row],[Master Plan]]+Master20[[#This Row],[Community Request]]+Master20[[#This Row],[Community need]]+Master20[[#This Row],[Offset Aging Inf.]]+Master20[[#This Row],[Energy Savings]]+Master20[[#This Row],[Gen Revenue]]-5))</f>
        <v>17</v>
      </c>
      <c r="AI52" s="302"/>
      <c r="AJ52" s="302"/>
      <c r="AK52" s="302"/>
      <c r="AL52" s="302">
        <v>2023</v>
      </c>
      <c r="AM52" s="302">
        <v>2024</v>
      </c>
      <c r="AN52" s="300"/>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row>
    <row r="53" spans="1:67" s="298" customFormat="1" ht="60" hidden="1" x14ac:dyDescent="0.25">
      <c r="A53" s="307">
        <f t="shared" si="3"/>
        <v>52</v>
      </c>
      <c r="B53" s="300" t="s">
        <v>1200</v>
      </c>
      <c r="C53" s="300" t="s">
        <v>1202</v>
      </c>
      <c r="D53" s="300" t="s">
        <v>1024</v>
      </c>
      <c r="E53" s="300" t="s">
        <v>1025</v>
      </c>
      <c r="F53" s="300" t="s">
        <v>1026</v>
      </c>
      <c r="G53" s="300" t="s">
        <v>29</v>
      </c>
      <c r="H53" s="300">
        <f t="shared" si="6"/>
        <v>0</v>
      </c>
      <c r="I53" s="249"/>
      <c r="J53" s="249"/>
      <c r="K53" s="249">
        <f>Master20[[#This Row],[Initial Budget]]-Master20[[#This Row],[Previously Committed Funds]]</f>
        <v>0</v>
      </c>
      <c r="L53" s="249"/>
      <c r="M53" s="249"/>
      <c r="N53" s="258">
        <f>Master20[[#This Row],[Design $ (Add/Deduct)]]+Master20[[#This Row],[Construction $ (Add/Ded)]]</f>
        <v>0</v>
      </c>
      <c r="O53" s="256">
        <v>650000</v>
      </c>
      <c r="P53" s="301">
        <v>2020</v>
      </c>
      <c r="Q53" s="300" t="s">
        <v>688</v>
      </c>
      <c r="R53" s="301">
        <f t="shared" si="7"/>
        <v>20</v>
      </c>
      <c r="S53" s="302">
        <v>2</v>
      </c>
      <c r="T53" s="299">
        <f t="shared" si="8"/>
        <v>6</v>
      </c>
      <c r="U53" s="302" t="s">
        <v>41</v>
      </c>
      <c r="V53" s="302">
        <f t="shared" si="10"/>
        <v>4</v>
      </c>
      <c r="W53" s="302" t="s">
        <v>30</v>
      </c>
      <c r="X53" s="302">
        <v>0</v>
      </c>
      <c r="Y53" s="302">
        <v>-5</v>
      </c>
      <c r="Z53" s="302">
        <v>-1</v>
      </c>
      <c r="AA53" s="302">
        <v>0</v>
      </c>
      <c r="AB53" s="302">
        <v>0</v>
      </c>
      <c r="AC53" s="302">
        <v>0</v>
      </c>
      <c r="AD53" s="302">
        <v>0</v>
      </c>
      <c r="AE53" s="302"/>
      <c r="AF53" s="303" t="s">
        <v>29</v>
      </c>
      <c r="AG53" s="305">
        <f>VLOOKUP(Master20[[#This Row],[Elevated Priority]],Epriority,2,)</f>
        <v>0</v>
      </c>
      <c r="AH53" s="321">
        <f>IF(Master20[[#This Row],[Status]]="Active",Master20[[#This Row],[Status_Score]],IF(D53="","",R53+H53+T53+V53+AG53+AE53+Master20[[#This Row],[Risk Mitigation]]+Master20[[#This Row],[Master Plan]]+Master20[[#This Row],[Community Request]]+Master20[[#This Row],[Community need]]+Master20[[#This Row],[Offset Aging Inf.]]+Master20[[#This Row],[Energy Savings]]+Master20[[#This Row],[Gen Revenue]]-5))</f>
        <v>19</v>
      </c>
      <c r="AI53" s="302"/>
      <c r="AJ53" s="302">
        <v>2023</v>
      </c>
      <c r="AK53" s="302">
        <v>2024</v>
      </c>
      <c r="AL53" s="302">
        <v>2023</v>
      </c>
      <c r="AM53" s="302">
        <v>2024</v>
      </c>
      <c r="AN53" s="300"/>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row>
    <row r="54" spans="1:67" s="298" customFormat="1" ht="60" hidden="1" x14ac:dyDescent="0.25">
      <c r="A54" s="307">
        <f t="shared" si="3"/>
        <v>53</v>
      </c>
      <c r="B54" s="378" t="s">
        <v>65</v>
      </c>
      <c r="C54" s="300" t="s">
        <v>1045</v>
      </c>
      <c r="D54" s="300" t="s">
        <v>1079</v>
      </c>
      <c r="E54" s="300" t="s">
        <v>1082</v>
      </c>
      <c r="F54" s="300"/>
      <c r="G54" s="300" t="s">
        <v>29</v>
      </c>
      <c r="H54" s="300">
        <f t="shared" si="6"/>
        <v>0</v>
      </c>
      <c r="I54" s="249"/>
      <c r="J54" s="249"/>
      <c r="K54" s="249">
        <f>Master20[[#This Row],[Initial Budget]]-Master20[[#This Row],[Previously Committed Funds]]</f>
        <v>0</v>
      </c>
      <c r="L54" s="249"/>
      <c r="M54" s="249"/>
      <c r="N54" s="258">
        <f>Master20[[#This Row],[Design $ (Add/Deduct)]]+Master20[[#This Row],[Construction $ (Add/Ded)]]</f>
        <v>0</v>
      </c>
      <c r="O54" s="256">
        <v>35000</v>
      </c>
      <c r="P54" s="301">
        <v>2022</v>
      </c>
      <c r="Q54" s="300" t="s">
        <v>688</v>
      </c>
      <c r="R54" s="301">
        <f t="shared" si="7"/>
        <v>20</v>
      </c>
      <c r="S54" s="302">
        <v>4</v>
      </c>
      <c r="T54" s="299">
        <f t="shared" si="8"/>
        <v>12</v>
      </c>
      <c r="U54" s="302" t="s">
        <v>41</v>
      </c>
      <c r="V54" s="302">
        <f t="shared" si="10"/>
        <v>4</v>
      </c>
      <c r="W54" s="302" t="s">
        <v>65</v>
      </c>
      <c r="X54" s="302">
        <v>0</v>
      </c>
      <c r="Y54" s="302">
        <v>-3</v>
      </c>
      <c r="Z54" s="302">
        <v>-1</v>
      </c>
      <c r="AA54" s="302">
        <v>0</v>
      </c>
      <c r="AB54" s="302">
        <v>0</v>
      </c>
      <c r="AC54" s="302">
        <v>0</v>
      </c>
      <c r="AD54" s="302">
        <v>-1</v>
      </c>
      <c r="AE54" s="302"/>
      <c r="AF54" s="303" t="s">
        <v>29</v>
      </c>
      <c r="AG54" s="305">
        <f>VLOOKUP(Master20[[#This Row],[Elevated Priority]],Epriority,2,)</f>
        <v>0</v>
      </c>
      <c r="AH54" s="321">
        <f>IF(Master20[[#This Row],[Status]]="Active",Master20[[#This Row],[Status_Score]],IF(D54="","",R54+H54+T54+V54+AG54+AE54+Master20[[#This Row],[Risk Mitigation]]+Master20[[#This Row],[Master Plan]]+Master20[[#This Row],[Community Request]]+Master20[[#This Row],[Community need]]+Master20[[#This Row],[Offset Aging Inf.]]+Master20[[#This Row],[Energy Savings]]+Master20[[#This Row],[Gen Revenue]]-5))</f>
        <v>26</v>
      </c>
      <c r="AI54" s="302"/>
      <c r="AJ54" s="302"/>
      <c r="AK54" s="302"/>
      <c r="AL54" s="302">
        <v>2023</v>
      </c>
      <c r="AM54" s="302">
        <v>2024</v>
      </c>
      <c r="AN54" s="300"/>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row>
    <row r="55" spans="1:67" s="298" customFormat="1" ht="60" hidden="1" x14ac:dyDescent="0.25">
      <c r="A55" s="307">
        <f t="shared" si="3"/>
        <v>54</v>
      </c>
      <c r="B55" s="300" t="s">
        <v>1211</v>
      </c>
      <c r="C55" s="300" t="s">
        <v>1201</v>
      </c>
      <c r="D55" s="300" t="s">
        <v>1032</v>
      </c>
      <c r="E55" s="300" t="s">
        <v>815</v>
      </c>
      <c r="F55" s="300" t="s">
        <v>853</v>
      </c>
      <c r="G55" s="300" t="s">
        <v>29</v>
      </c>
      <c r="H55" s="300">
        <f t="shared" si="6"/>
        <v>0</v>
      </c>
      <c r="I55" s="249"/>
      <c r="J55" s="249"/>
      <c r="K55" s="249">
        <f>Master20[[#This Row],[Initial Budget]]-Master20[[#This Row],[Previously Committed Funds]]</f>
        <v>0</v>
      </c>
      <c r="L55" s="249"/>
      <c r="M55" s="249">
        <v>0</v>
      </c>
      <c r="N55" s="258">
        <f>Master20[[#This Row],[Design $ (Add/Deduct)]]+Master20[[#This Row],[Construction $ (Add/Ded)]]</f>
        <v>0</v>
      </c>
      <c r="O55" s="256">
        <v>12000000</v>
      </c>
      <c r="P55" s="301">
        <v>2020</v>
      </c>
      <c r="Q55" s="300" t="s">
        <v>830</v>
      </c>
      <c r="R55" s="301">
        <f t="shared" si="7"/>
        <v>10</v>
      </c>
      <c r="S55" s="302">
        <v>2</v>
      </c>
      <c r="T55" s="299">
        <f t="shared" si="8"/>
        <v>6</v>
      </c>
      <c r="U55" s="302" t="s">
        <v>43</v>
      </c>
      <c r="V55" s="302">
        <f t="shared" si="10"/>
        <v>16</v>
      </c>
      <c r="W55" s="302" t="s">
        <v>34</v>
      </c>
      <c r="X55" s="302">
        <v>0</v>
      </c>
      <c r="Y55" s="302">
        <v>0</v>
      </c>
      <c r="Z55" s="302">
        <v>0</v>
      </c>
      <c r="AA55" s="302">
        <v>0</v>
      </c>
      <c r="AB55" s="302">
        <v>0</v>
      </c>
      <c r="AC55" s="302">
        <v>0</v>
      </c>
      <c r="AD55" s="302">
        <v>0</v>
      </c>
      <c r="AE55" s="302"/>
      <c r="AF55" s="303" t="s">
        <v>29</v>
      </c>
      <c r="AG55" s="305">
        <f>VLOOKUP(Master20[[#This Row],[Elevated Priority]],Epriority,2,)</f>
        <v>0</v>
      </c>
      <c r="AH55" s="321">
        <f>IF(Master20[[#This Row],[Status]]="Active",Master20[[#This Row],[Status_Score]],IF(D55="","",R55+H55+T55+V55+AG55+AE55+Master20[[#This Row],[Risk Mitigation]]+Master20[[#This Row],[Master Plan]]+Master20[[#This Row],[Community Request]]+Master20[[#This Row],[Community need]]+Master20[[#This Row],[Offset Aging Inf.]]+Master20[[#This Row],[Energy Savings]]+Master20[[#This Row],[Gen Revenue]]-5))</f>
        <v>27</v>
      </c>
      <c r="AI55" s="302" t="s">
        <v>716</v>
      </c>
      <c r="AJ55" s="302">
        <v>2020</v>
      </c>
      <c r="AK55" s="302">
        <v>2024</v>
      </c>
      <c r="AL55" s="302">
        <v>2020</v>
      </c>
      <c r="AM55" s="302">
        <v>2024</v>
      </c>
      <c r="AN55" s="300"/>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row>
    <row r="56" spans="1:67" s="298" customFormat="1" ht="60" hidden="1" x14ac:dyDescent="0.25">
      <c r="A56" s="307">
        <f t="shared" si="3"/>
        <v>55</v>
      </c>
      <c r="B56" s="378" t="s">
        <v>1200</v>
      </c>
      <c r="C56" s="300" t="s">
        <v>1045</v>
      </c>
      <c r="D56" s="300" t="s">
        <v>935</v>
      </c>
      <c r="E56" s="300" t="s">
        <v>662</v>
      </c>
      <c r="F56" s="300" t="s">
        <v>266</v>
      </c>
      <c r="G56" s="300" t="s">
        <v>29</v>
      </c>
      <c r="H56" s="300">
        <f t="shared" si="6"/>
        <v>0</v>
      </c>
      <c r="I56" s="249"/>
      <c r="J56" s="249"/>
      <c r="K56" s="249">
        <f>Master20[[#This Row],[Initial Budget]]-Master20[[#This Row],[Previously Committed Funds]]</f>
        <v>0</v>
      </c>
      <c r="L56" s="249"/>
      <c r="M56" s="249"/>
      <c r="N56" s="258">
        <f>Master20[[#This Row],[Design $ (Add/Deduct)]]+Master20[[#This Row],[Construction $ (Add/Ded)]]</f>
        <v>0</v>
      </c>
      <c r="O56" s="256">
        <v>50000</v>
      </c>
      <c r="P56" s="301">
        <v>2018</v>
      </c>
      <c r="Q56" s="300" t="s">
        <v>688</v>
      </c>
      <c r="R56" s="301">
        <f t="shared" si="7"/>
        <v>20</v>
      </c>
      <c r="S56" s="302">
        <v>3</v>
      </c>
      <c r="T56" s="299">
        <f t="shared" si="8"/>
        <v>9</v>
      </c>
      <c r="U56" s="302" t="s">
        <v>41</v>
      </c>
      <c r="V56" s="302">
        <f t="shared" si="10"/>
        <v>4</v>
      </c>
      <c r="W56" s="302" t="s">
        <v>30</v>
      </c>
      <c r="X56" s="302">
        <v>0</v>
      </c>
      <c r="Y56" s="302">
        <v>0</v>
      </c>
      <c r="Z56" s="302">
        <v>0</v>
      </c>
      <c r="AA56" s="302">
        <v>0</v>
      </c>
      <c r="AB56" s="302">
        <v>0</v>
      </c>
      <c r="AC56" s="302">
        <v>0</v>
      </c>
      <c r="AD56" s="302">
        <v>0</v>
      </c>
      <c r="AE56" s="302"/>
      <c r="AF56" s="303" t="s">
        <v>29</v>
      </c>
      <c r="AG56" s="305">
        <f>VLOOKUP(Master20[[#This Row],[Elevated Priority]],Epriority,2,)</f>
        <v>0</v>
      </c>
      <c r="AH56" s="321">
        <f>IF(Master20[[#This Row],[Status]]="Active",Master20[[#This Row],[Status_Score]],IF(D56="","",R56+H56+T56+V56+AG56+AE56+Master20[[#This Row],[Risk Mitigation]]+Master20[[#This Row],[Master Plan]]+Master20[[#This Row],[Community Request]]+Master20[[#This Row],[Community need]]+Master20[[#This Row],[Offset Aging Inf.]]+Master20[[#This Row],[Energy Savings]]+Master20[[#This Row],[Gen Revenue]]-5))</f>
        <v>28</v>
      </c>
      <c r="AI56" s="302"/>
      <c r="AJ56" s="302">
        <v>2023</v>
      </c>
      <c r="AK56" s="302">
        <v>2024</v>
      </c>
      <c r="AL56" s="302">
        <v>2023</v>
      </c>
      <c r="AM56" s="302">
        <v>2024</v>
      </c>
      <c r="AN56" s="300"/>
      <c r="AO56" s="306"/>
      <c r="AP56" s="306"/>
      <c r="AQ56" s="306"/>
      <c r="AR56" s="306"/>
      <c r="AS56" s="306"/>
      <c r="AT56" s="306"/>
      <c r="AU56" s="306"/>
      <c r="AV56" s="306"/>
      <c r="AW56" s="306"/>
      <c r="AX56" s="306"/>
      <c r="AY56" s="306"/>
      <c r="AZ56" s="306"/>
      <c r="BA56" s="306"/>
      <c r="BB56" s="306"/>
      <c r="BC56" s="306"/>
      <c r="BD56" s="306"/>
      <c r="BE56" s="306"/>
      <c r="BF56" s="306"/>
      <c r="BG56" s="306"/>
      <c r="BH56" s="306"/>
      <c r="BI56" s="306"/>
      <c r="BJ56" s="306"/>
      <c r="BK56" s="306"/>
      <c r="BL56" s="306"/>
      <c r="BM56" s="306"/>
      <c r="BN56" s="306"/>
      <c r="BO56" s="306"/>
    </row>
    <row r="57" spans="1:67" s="298" customFormat="1" ht="60" hidden="1" x14ac:dyDescent="0.25">
      <c r="A57" s="307">
        <f t="shared" si="3"/>
        <v>56</v>
      </c>
      <c r="B57" s="300" t="s">
        <v>65</v>
      </c>
      <c r="C57" s="300" t="s">
        <v>1045</v>
      </c>
      <c r="D57" s="300" t="s">
        <v>1078</v>
      </c>
      <c r="E57" s="300" t="s">
        <v>1081</v>
      </c>
      <c r="F57" s="300" t="s">
        <v>1084</v>
      </c>
      <c r="G57" s="300" t="s">
        <v>29</v>
      </c>
      <c r="H57" s="300">
        <f t="shared" si="6"/>
        <v>0</v>
      </c>
      <c r="I57" s="249"/>
      <c r="J57" s="249"/>
      <c r="K57" s="249">
        <f>Master20[[#This Row],[Initial Budget]]-Master20[[#This Row],[Previously Committed Funds]]</f>
        <v>0</v>
      </c>
      <c r="L57" s="249"/>
      <c r="M57" s="249"/>
      <c r="N57" s="258">
        <f>Master20[[#This Row],[Design $ (Add/Deduct)]]+Master20[[#This Row],[Construction $ (Add/Ded)]]</f>
        <v>0</v>
      </c>
      <c r="O57" s="256">
        <v>20000</v>
      </c>
      <c r="P57" s="301">
        <v>2022</v>
      </c>
      <c r="Q57" s="300" t="s">
        <v>688</v>
      </c>
      <c r="R57" s="301">
        <f t="shared" si="7"/>
        <v>20</v>
      </c>
      <c r="S57" s="302">
        <v>4</v>
      </c>
      <c r="T57" s="299">
        <f t="shared" si="8"/>
        <v>12</v>
      </c>
      <c r="U57" s="302" t="s">
        <v>41</v>
      </c>
      <c r="V57" s="302">
        <f t="shared" si="10"/>
        <v>4</v>
      </c>
      <c r="W57" s="302" t="s">
        <v>65</v>
      </c>
      <c r="X57" s="302">
        <v>0</v>
      </c>
      <c r="Y57" s="302">
        <v>0</v>
      </c>
      <c r="Z57" s="302">
        <v>0</v>
      </c>
      <c r="AA57" s="302">
        <v>0</v>
      </c>
      <c r="AB57" s="302">
        <v>0</v>
      </c>
      <c r="AC57" s="302">
        <v>0</v>
      </c>
      <c r="AD57" s="302">
        <v>-1</v>
      </c>
      <c r="AE57" s="302"/>
      <c r="AF57" s="303" t="s">
        <v>29</v>
      </c>
      <c r="AG57" s="305">
        <f>VLOOKUP(Master20[[#This Row],[Elevated Priority]],Epriority,2,)</f>
        <v>0</v>
      </c>
      <c r="AH57" s="321">
        <f>IF(Master20[[#This Row],[Status]]="Active",Master20[[#This Row],[Status_Score]],IF(D57="","",R57+H57+T57+V57+AG57+AE57+Master20[[#This Row],[Risk Mitigation]]+Master20[[#This Row],[Master Plan]]+Master20[[#This Row],[Community Request]]+Master20[[#This Row],[Community need]]+Master20[[#This Row],[Offset Aging Inf.]]+Master20[[#This Row],[Energy Savings]]+Master20[[#This Row],[Gen Revenue]]-5))</f>
        <v>30</v>
      </c>
      <c r="AI57" s="302"/>
      <c r="AJ57" s="302"/>
      <c r="AK57" s="302"/>
      <c r="AL57" s="302">
        <v>2023</v>
      </c>
      <c r="AM57" s="302">
        <v>2024</v>
      </c>
      <c r="AN57" s="300"/>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row>
    <row r="58" spans="1:67" s="298" customFormat="1" ht="60" hidden="1" x14ac:dyDescent="0.25">
      <c r="A58" s="307">
        <f t="shared" si="3"/>
        <v>57</v>
      </c>
      <c r="B58" s="378" t="s">
        <v>70</v>
      </c>
      <c r="C58" s="300" t="s">
        <v>1045</v>
      </c>
      <c r="D58" s="300" t="s">
        <v>291</v>
      </c>
      <c r="E58" s="300" t="s">
        <v>893</v>
      </c>
      <c r="F58" s="300" t="s">
        <v>293</v>
      </c>
      <c r="G58" s="300" t="s">
        <v>29</v>
      </c>
      <c r="H58" s="300">
        <f t="shared" si="6"/>
        <v>0</v>
      </c>
      <c r="I58" s="249"/>
      <c r="J58" s="249"/>
      <c r="K58" s="249">
        <f>Master20[[#This Row],[Initial Budget]]-Master20[[#This Row],[Previously Committed Funds]]</f>
        <v>0</v>
      </c>
      <c r="L58" s="249"/>
      <c r="M58" s="249"/>
      <c r="N58" s="258">
        <f>Master20[[#This Row],[Design $ (Add/Deduct)]]+Master20[[#This Row],[Construction $ (Add/Ded)]]</f>
        <v>0</v>
      </c>
      <c r="O58" s="256">
        <v>15000</v>
      </c>
      <c r="P58" s="301">
        <v>2018</v>
      </c>
      <c r="Q58" s="300" t="s">
        <v>688</v>
      </c>
      <c r="R58" s="301">
        <f t="shared" si="7"/>
        <v>20</v>
      </c>
      <c r="S58" s="302">
        <v>4</v>
      </c>
      <c r="T58" s="299">
        <f t="shared" si="8"/>
        <v>12</v>
      </c>
      <c r="U58" s="302" t="s">
        <v>41</v>
      </c>
      <c r="V58" s="302">
        <f t="shared" si="10"/>
        <v>4</v>
      </c>
      <c r="W58" s="302" t="s">
        <v>30</v>
      </c>
      <c r="X58" s="302">
        <v>0</v>
      </c>
      <c r="Y58" s="302">
        <v>0</v>
      </c>
      <c r="Z58" s="302">
        <v>0</v>
      </c>
      <c r="AA58" s="302">
        <v>0</v>
      </c>
      <c r="AB58" s="302">
        <v>0</v>
      </c>
      <c r="AC58" s="302">
        <v>0</v>
      </c>
      <c r="AD58" s="302">
        <v>0</v>
      </c>
      <c r="AE58" s="302"/>
      <c r="AF58" s="303" t="s">
        <v>29</v>
      </c>
      <c r="AG58" s="305">
        <f>VLOOKUP(Master20[[#This Row],[Elevated Priority]],Epriority,2,)</f>
        <v>0</v>
      </c>
      <c r="AH58" s="321">
        <f>IF(Master20[[#This Row],[Status]]="Active",Master20[[#This Row],[Status_Score]],IF(D58="","",R58+H58+T58+V58+AG58+AE58+Master20[[#This Row],[Risk Mitigation]]+Master20[[#This Row],[Master Plan]]+Master20[[#This Row],[Community Request]]+Master20[[#This Row],[Community need]]+Master20[[#This Row],[Offset Aging Inf.]]+Master20[[#This Row],[Energy Savings]]+Master20[[#This Row],[Gen Revenue]]-5))</f>
        <v>31</v>
      </c>
      <c r="AI58" s="302"/>
      <c r="AJ58" s="302">
        <v>2022</v>
      </c>
      <c r="AK58" s="302">
        <v>2023</v>
      </c>
      <c r="AL58" s="302">
        <v>2022</v>
      </c>
      <c r="AM58" s="302">
        <v>2023</v>
      </c>
      <c r="AN58" s="300"/>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row>
    <row r="59" spans="1:67" s="298" customFormat="1" hidden="1" x14ac:dyDescent="0.25">
      <c r="A59" s="307">
        <f t="shared" si="3"/>
        <v>58</v>
      </c>
      <c r="B59" s="300" t="s">
        <v>94</v>
      </c>
      <c r="C59" s="300" t="s">
        <v>1045</v>
      </c>
      <c r="D59" s="300" t="s">
        <v>319</v>
      </c>
      <c r="E59" s="300" t="s">
        <v>320</v>
      </c>
      <c r="F59" s="300" t="s">
        <v>321</v>
      </c>
      <c r="G59" s="300" t="s">
        <v>29</v>
      </c>
      <c r="H59" s="300">
        <f t="shared" si="6"/>
        <v>0</v>
      </c>
      <c r="I59" s="249"/>
      <c r="J59" s="249"/>
      <c r="K59" s="249">
        <f>Master20[[#This Row],[Initial Budget]]-Master20[[#This Row],[Previously Committed Funds]]</f>
        <v>0</v>
      </c>
      <c r="L59" s="249"/>
      <c r="M59" s="249"/>
      <c r="N59" s="258">
        <f>Master20[[#This Row],[Design $ (Add/Deduct)]]+Master20[[#This Row],[Construction $ (Add/Ded)]]</f>
        <v>0</v>
      </c>
      <c r="O59" s="256">
        <v>50000</v>
      </c>
      <c r="P59" s="301">
        <v>2018</v>
      </c>
      <c r="Q59" s="300" t="s">
        <v>36</v>
      </c>
      <c r="R59" s="301">
        <f t="shared" si="7"/>
        <v>10</v>
      </c>
      <c r="S59" s="302">
        <v>20</v>
      </c>
      <c r="T59" s="299">
        <f t="shared" si="8"/>
        <v>26</v>
      </c>
      <c r="U59" s="302" t="s">
        <v>33</v>
      </c>
      <c r="V59" s="302">
        <f t="shared" si="10"/>
        <v>1</v>
      </c>
      <c r="W59" s="302" t="s">
        <v>30</v>
      </c>
      <c r="X59" s="302">
        <v>0</v>
      </c>
      <c r="Y59" s="302">
        <v>0</v>
      </c>
      <c r="Z59" s="302">
        <v>0</v>
      </c>
      <c r="AA59" s="302">
        <v>0</v>
      </c>
      <c r="AB59" s="302">
        <v>0</v>
      </c>
      <c r="AC59" s="302">
        <v>0</v>
      </c>
      <c r="AD59" s="302">
        <v>0</v>
      </c>
      <c r="AE59" s="302"/>
      <c r="AF59" s="303" t="s">
        <v>29</v>
      </c>
      <c r="AG59" s="305">
        <f>VLOOKUP(Master20[[#This Row],[Elevated Priority]],Epriority,2,)</f>
        <v>0</v>
      </c>
      <c r="AH59" s="321">
        <f>IF(Master20[[#This Row],[Status]]="Active",Master20[[#This Row],[Status_Score]],IF(D59="","",R59+H59+T59+V59+AG59+AE59+Master20[[#This Row],[Risk Mitigation]]+Master20[[#This Row],[Master Plan]]+Master20[[#This Row],[Community Request]]+Master20[[#This Row],[Community need]]+Master20[[#This Row],[Offset Aging Inf.]]+Master20[[#This Row],[Energy Savings]]+Master20[[#This Row],[Gen Revenue]]-5))</f>
        <v>32</v>
      </c>
      <c r="AI59" s="302"/>
      <c r="AJ59" s="302">
        <v>2023</v>
      </c>
      <c r="AK59" s="302">
        <v>2024</v>
      </c>
      <c r="AL59" s="302">
        <v>2023</v>
      </c>
      <c r="AM59" s="302">
        <v>2024</v>
      </c>
      <c r="AN59" s="300"/>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row>
    <row r="60" spans="1:67" s="298" customFormat="1" ht="60" hidden="1" x14ac:dyDescent="0.25">
      <c r="A60" s="307">
        <f t="shared" si="3"/>
        <v>59</v>
      </c>
      <c r="B60" s="378" t="s">
        <v>67</v>
      </c>
      <c r="C60" s="300" t="s">
        <v>995</v>
      </c>
      <c r="D60" s="300" t="s">
        <v>242</v>
      </c>
      <c r="E60" s="300" t="s">
        <v>243</v>
      </c>
      <c r="F60" s="300" t="s">
        <v>999</v>
      </c>
      <c r="G60" s="300" t="s">
        <v>29</v>
      </c>
      <c r="H60" s="300">
        <f t="shared" si="6"/>
        <v>0</v>
      </c>
      <c r="I60" s="249"/>
      <c r="J60" s="249"/>
      <c r="K60" s="249">
        <f>Master20[[#This Row],[Initial Budget]]-Master20[[#This Row],[Previously Committed Funds]]</f>
        <v>0</v>
      </c>
      <c r="L60" s="249"/>
      <c r="M60" s="249"/>
      <c r="N60" s="258">
        <f>Master20[[#This Row],[Design $ (Add/Deduct)]]+Master20[[#This Row],[Construction $ (Add/Ded)]]</f>
        <v>0</v>
      </c>
      <c r="O60" s="256">
        <v>1600000</v>
      </c>
      <c r="P60" s="301">
        <v>2018</v>
      </c>
      <c r="Q60" s="300" t="s">
        <v>36</v>
      </c>
      <c r="R60" s="301">
        <f t="shared" si="7"/>
        <v>10</v>
      </c>
      <c r="S60" s="302">
        <v>4</v>
      </c>
      <c r="T60" s="299">
        <f t="shared" si="8"/>
        <v>12</v>
      </c>
      <c r="U60" s="302" t="s">
        <v>43</v>
      </c>
      <c r="V60" s="302">
        <f t="shared" si="10"/>
        <v>16</v>
      </c>
      <c r="W60" s="302" t="s">
        <v>30</v>
      </c>
      <c r="X60" s="302">
        <v>0</v>
      </c>
      <c r="Y60" s="302">
        <v>0</v>
      </c>
      <c r="Z60" s="302">
        <v>0</v>
      </c>
      <c r="AA60" s="302">
        <v>0</v>
      </c>
      <c r="AB60" s="302">
        <v>0</v>
      </c>
      <c r="AC60" s="302">
        <v>0</v>
      </c>
      <c r="AD60" s="302">
        <v>0</v>
      </c>
      <c r="AE60" s="302"/>
      <c r="AF60" s="303" t="s">
        <v>29</v>
      </c>
      <c r="AG60" s="305">
        <f>VLOOKUP(Master20[[#This Row],[Elevated Priority]],Epriority,2,)</f>
        <v>0</v>
      </c>
      <c r="AH60" s="321">
        <f>IF(Master20[[#This Row],[Status]]="Active",Master20[[#This Row],[Status_Score]],IF(D60="","",R60+H60+T60+V60+AG60+AE60+Master20[[#This Row],[Risk Mitigation]]+Master20[[#This Row],[Master Plan]]+Master20[[#This Row],[Community Request]]+Master20[[#This Row],[Community need]]+Master20[[#This Row],[Offset Aging Inf.]]+Master20[[#This Row],[Energy Savings]]+Master20[[#This Row],[Gen Revenue]]-5))</f>
        <v>33</v>
      </c>
      <c r="AI60" s="302"/>
      <c r="AJ60" s="302">
        <v>2022</v>
      </c>
      <c r="AK60" s="302">
        <v>2023</v>
      </c>
      <c r="AL60" s="302">
        <v>2023</v>
      </c>
      <c r="AM60" s="302">
        <v>2024</v>
      </c>
      <c r="AN60" s="300"/>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c r="BM60" s="306"/>
      <c r="BN60" s="306"/>
      <c r="BO60" s="306"/>
    </row>
    <row r="61" spans="1:67" s="298" customFormat="1" ht="60" hidden="1" x14ac:dyDescent="0.25">
      <c r="A61" s="307">
        <f t="shared" si="3"/>
        <v>60</v>
      </c>
      <c r="B61" s="300" t="s">
        <v>67</v>
      </c>
      <c r="C61" s="300" t="s">
        <v>73</v>
      </c>
      <c r="D61" s="300" t="s">
        <v>354</v>
      </c>
      <c r="E61" s="300" t="s">
        <v>819</v>
      </c>
      <c r="F61" s="300" t="s">
        <v>818</v>
      </c>
      <c r="G61" s="300" t="s">
        <v>29</v>
      </c>
      <c r="H61" s="300">
        <f t="shared" si="6"/>
        <v>0</v>
      </c>
      <c r="I61" s="249"/>
      <c r="J61" s="249"/>
      <c r="K61" s="249">
        <f>Master20[[#This Row],[Initial Budget]]-Master20[[#This Row],[Previously Committed Funds]]</f>
        <v>0</v>
      </c>
      <c r="L61" s="249"/>
      <c r="M61" s="249"/>
      <c r="N61" s="258">
        <f>Master20[[#This Row],[Design $ (Add/Deduct)]]+Master20[[#This Row],[Construction $ (Add/Ded)]]</f>
        <v>0</v>
      </c>
      <c r="O61" s="256">
        <v>300000</v>
      </c>
      <c r="P61" s="301">
        <v>2018</v>
      </c>
      <c r="Q61" s="300" t="s">
        <v>688</v>
      </c>
      <c r="R61" s="301">
        <f t="shared" si="7"/>
        <v>20</v>
      </c>
      <c r="S61" s="302">
        <v>1</v>
      </c>
      <c r="T61" s="299">
        <f t="shared" si="8"/>
        <v>3</v>
      </c>
      <c r="U61" s="302" t="s">
        <v>43</v>
      </c>
      <c r="V61" s="302">
        <f t="shared" si="10"/>
        <v>16</v>
      </c>
      <c r="W61" s="302" t="s">
        <v>30</v>
      </c>
      <c r="X61" s="302">
        <v>0</v>
      </c>
      <c r="Y61" s="302">
        <v>0</v>
      </c>
      <c r="Z61" s="302">
        <v>0</v>
      </c>
      <c r="AA61" s="302">
        <v>0</v>
      </c>
      <c r="AB61" s="302">
        <v>0</v>
      </c>
      <c r="AC61" s="302">
        <v>0</v>
      </c>
      <c r="AD61" s="302">
        <v>0</v>
      </c>
      <c r="AE61" s="302"/>
      <c r="AF61" s="303" t="s">
        <v>29</v>
      </c>
      <c r="AG61" s="305">
        <f>VLOOKUP(Master20[[#This Row],[Elevated Priority]],Epriority,2,)</f>
        <v>0</v>
      </c>
      <c r="AH61" s="321">
        <f>IF(Master20[[#This Row],[Status]]="Active",Master20[[#This Row],[Status_Score]],IF(D61="","",R61+H61+T61+V61+AG61+AE61+Master20[[#This Row],[Risk Mitigation]]+Master20[[#This Row],[Master Plan]]+Master20[[#This Row],[Community Request]]+Master20[[#This Row],[Community need]]+Master20[[#This Row],[Offset Aging Inf.]]+Master20[[#This Row],[Energy Savings]]+Master20[[#This Row],[Gen Revenue]]-5))</f>
        <v>34</v>
      </c>
      <c r="AI61" s="302"/>
      <c r="AJ61" s="302">
        <v>2023</v>
      </c>
      <c r="AK61" s="302">
        <v>2024</v>
      </c>
      <c r="AL61" s="302">
        <v>2023</v>
      </c>
      <c r="AM61" s="302">
        <v>2024</v>
      </c>
      <c r="AN61" s="300"/>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c r="BM61" s="306"/>
      <c r="BN61" s="306"/>
      <c r="BO61" s="306"/>
    </row>
    <row r="62" spans="1:67" s="298" customFormat="1" ht="60" hidden="1" x14ac:dyDescent="0.25">
      <c r="A62" s="307">
        <f t="shared" si="3"/>
        <v>61</v>
      </c>
      <c r="B62" s="378" t="s">
        <v>143</v>
      </c>
      <c r="C62" s="300" t="s">
        <v>1045</v>
      </c>
      <c r="D62" s="300" t="s">
        <v>163</v>
      </c>
      <c r="E62" s="300" t="s">
        <v>164</v>
      </c>
      <c r="F62" s="300" t="s">
        <v>165</v>
      </c>
      <c r="G62" s="300" t="s">
        <v>29</v>
      </c>
      <c r="H62" s="300">
        <f t="shared" si="6"/>
        <v>0</v>
      </c>
      <c r="I62" s="249"/>
      <c r="J62" s="249"/>
      <c r="K62" s="249">
        <f>Master20[[#This Row],[Initial Budget]]-Master20[[#This Row],[Previously Committed Funds]]</f>
        <v>0</v>
      </c>
      <c r="L62" s="249"/>
      <c r="M62" s="249"/>
      <c r="N62" s="258">
        <f>Master20[[#This Row],[Design $ (Add/Deduct)]]+Master20[[#This Row],[Construction $ (Add/Ded)]]</f>
        <v>0</v>
      </c>
      <c r="O62" s="256">
        <v>40000</v>
      </c>
      <c r="P62" s="301">
        <v>2018</v>
      </c>
      <c r="Q62" s="300" t="s">
        <v>687</v>
      </c>
      <c r="R62" s="301">
        <f t="shared" si="7"/>
        <v>30</v>
      </c>
      <c r="S62" s="302">
        <v>2</v>
      </c>
      <c r="T62" s="299">
        <f t="shared" si="8"/>
        <v>6</v>
      </c>
      <c r="U62" s="302" t="s">
        <v>41</v>
      </c>
      <c r="V62" s="302">
        <f t="shared" si="10"/>
        <v>4</v>
      </c>
      <c r="W62" s="302" t="s">
        <v>30</v>
      </c>
      <c r="X62" s="302">
        <v>0</v>
      </c>
      <c r="Y62" s="302">
        <v>0</v>
      </c>
      <c r="Z62" s="302">
        <v>0</v>
      </c>
      <c r="AA62" s="302">
        <v>0</v>
      </c>
      <c r="AB62" s="302">
        <v>0</v>
      </c>
      <c r="AC62" s="302">
        <v>0</v>
      </c>
      <c r="AD62" s="302">
        <v>0</v>
      </c>
      <c r="AE62" s="302"/>
      <c r="AF62" s="303" t="s">
        <v>29</v>
      </c>
      <c r="AG62" s="305">
        <f>VLOOKUP(Master20[[#This Row],[Elevated Priority]],Epriority,2,)</f>
        <v>0</v>
      </c>
      <c r="AH62" s="321">
        <f>IF(Master20[[#This Row],[Status]]="Active",Master20[[#This Row],[Status_Score]],IF(D62="","",R62+H62+T62+V62+AG62+AE62+Master20[[#This Row],[Risk Mitigation]]+Master20[[#This Row],[Master Plan]]+Master20[[#This Row],[Community Request]]+Master20[[#This Row],[Community need]]+Master20[[#This Row],[Offset Aging Inf.]]+Master20[[#This Row],[Energy Savings]]+Master20[[#This Row],[Gen Revenue]]-5))</f>
        <v>35</v>
      </c>
      <c r="AI62" s="302"/>
      <c r="AJ62" s="302">
        <v>2022</v>
      </c>
      <c r="AK62" s="302">
        <v>2023</v>
      </c>
      <c r="AL62" s="302">
        <v>2023</v>
      </c>
      <c r="AM62" s="302">
        <v>2024</v>
      </c>
      <c r="AN62" s="300"/>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row>
    <row r="63" spans="1:67" s="298" customFormat="1" ht="60" hidden="1" x14ac:dyDescent="0.25">
      <c r="A63" s="307">
        <f t="shared" si="3"/>
        <v>62</v>
      </c>
      <c r="B63" s="300" t="s">
        <v>65</v>
      </c>
      <c r="C63" s="300" t="s">
        <v>1045</v>
      </c>
      <c r="D63" s="300" t="s">
        <v>1080</v>
      </c>
      <c r="E63" s="300" t="s">
        <v>1083</v>
      </c>
      <c r="F63" s="300" t="s">
        <v>1085</v>
      </c>
      <c r="G63" s="300" t="s">
        <v>29</v>
      </c>
      <c r="H63" s="300">
        <f t="shared" si="6"/>
        <v>0</v>
      </c>
      <c r="I63" s="249"/>
      <c r="J63" s="249"/>
      <c r="K63" s="249">
        <f>Master20[[#This Row],[Initial Budget]]-Master20[[#This Row],[Previously Committed Funds]]</f>
        <v>0</v>
      </c>
      <c r="L63" s="249"/>
      <c r="M63" s="249"/>
      <c r="N63" s="258">
        <f>Master20[[#This Row],[Design $ (Add/Deduct)]]+Master20[[#This Row],[Construction $ (Add/Ded)]]</f>
        <v>0</v>
      </c>
      <c r="O63" s="256">
        <v>215000</v>
      </c>
      <c r="P63" s="301">
        <v>2022</v>
      </c>
      <c r="Q63" s="300" t="s">
        <v>688</v>
      </c>
      <c r="R63" s="301">
        <f t="shared" si="7"/>
        <v>20</v>
      </c>
      <c r="S63" s="302">
        <v>5</v>
      </c>
      <c r="T63" s="299">
        <f t="shared" si="8"/>
        <v>15</v>
      </c>
      <c r="U63" s="302" t="s">
        <v>43</v>
      </c>
      <c r="V63" s="302">
        <f t="shared" si="10"/>
        <v>16</v>
      </c>
      <c r="W63" s="302" t="s">
        <v>65</v>
      </c>
      <c r="X63" s="302">
        <v>0</v>
      </c>
      <c r="Y63" s="302">
        <v>-5</v>
      </c>
      <c r="Z63" s="302">
        <v>-3</v>
      </c>
      <c r="AA63" s="302">
        <v>0</v>
      </c>
      <c r="AB63" s="302">
        <v>0</v>
      </c>
      <c r="AC63" s="302">
        <v>0</v>
      </c>
      <c r="AD63" s="302">
        <v>-3</v>
      </c>
      <c r="AE63" s="302"/>
      <c r="AF63" s="303" t="s">
        <v>29</v>
      </c>
      <c r="AG63" s="305">
        <f>VLOOKUP(Master20[[#This Row],[Elevated Priority]],Epriority,2,)</f>
        <v>0</v>
      </c>
      <c r="AH63" s="321">
        <f>IF(Master20[[#This Row],[Status]]="Active",Master20[[#This Row],[Status_Score]],IF(D63="","",R63+H63+T63+V63+AG63+AE63+Master20[[#This Row],[Risk Mitigation]]+Master20[[#This Row],[Master Plan]]+Master20[[#This Row],[Community Request]]+Master20[[#This Row],[Community need]]+Master20[[#This Row],[Offset Aging Inf.]]+Master20[[#This Row],[Energy Savings]]+Master20[[#This Row],[Gen Revenue]]-5))</f>
        <v>35</v>
      </c>
      <c r="AI63" s="302"/>
      <c r="AJ63" s="302"/>
      <c r="AK63" s="302"/>
      <c r="AL63" s="302">
        <v>2023</v>
      </c>
      <c r="AM63" s="302">
        <v>2024</v>
      </c>
      <c r="AN63" s="300"/>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row>
    <row r="64" spans="1:67" s="298" customFormat="1" ht="60" hidden="1" x14ac:dyDescent="0.25">
      <c r="A64" s="307">
        <f t="shared" si="3"/>
        <v>63</v>
      </c>
      <c r="B64" s="378" t="s">
        <v>94</v>
      </c>
      <c r="C64" s="300" t="s">
        <v>1045</v>
      </c>
      <c r="D64" s="300" t="s">
        <v>235</v>
      </c>
      <c r="E64" s="300" t="s">
        <v>236</v>
      </c>
      <c r="F64" s="300" t="s">
        <v>879</v>
      </c>
      <c r="G64" s="300" t="s">
        <v>29</v>
      </c>
      <c r="H64" s="300">
        <f t="shared" si="6"/>
        <v>0</v>
      </c>
      <c r="I64" s="249"/>
      <c r="J64" s="249"/>
      <c r="K64" s="249">
        <f>Master20[[#This Row],[Initial Budget]]-Master20[[#This Row],[Previously Committed Funds]]</f>
        <v>0</v>
      </c>
      <c r="L64" s="249"/>
      <c r="M64" s="249"/>
      <c r="N64" s="258">
        <f>Master20[[#This Row],[Design $ (Add/Deduct)]]+Master20[[#This Row],[Construction $ (Add/Ded)]]</f>
        <v>0</v>
      </c>
      <c r="O64" s="256">
        <v>150000</v>
      </c>
      <c r="P64" s="301">
        <v>2018</v>
      </c>
      <c r="Q64" s="300" t="s">
        <v>688</v>
      </c>
      <c r="R64" s="301">
        <f t="shared" si="7"/>
        <v>20</v>
      </c>
      <c r="S64" s="302">
        <v>25</v>
      </c>
      <c r="T64" s="299">
        <f t="shared" si="8"/>
        <v>29</v>
      </c>
      <c r="U64" s="302" t="s">
        <v>41</v>
      </c>
      <c r="V64" s="302">
        <f t="shared" si="10"/>
        <v>4</v>
      </c>
      <c r="W64" s="302" t="s">
        <v>30</v>
      </c>
      <c r="X64" s="302">
        <v>0</v>
      </c>
      <c r="Y64" s="302">
        <v>0</v>
      </c>
      <c r="Z64" s="302">
        <v>-1</v>
      </c>
      <c r="AA64" s="302">
        <v>0</v>
      </c>
      <c r="AB64" s="302">
        <v>0</v>
      </c>
      <c r="AC64" s="302">
        <v>-9</v>
      </c>
      <c r="AD64" s="302">
        <v>-3</v>
      </c>
      <c r="AE64" s="302"/>
      <c r="AF64" s="303" t="s">
        <v>29</v>
      </c>
      <c r="AG64" s="305">
        <f>VLOOKUP(Master20[[#This Row],[Elevated Priority]],Epriority,2,)</f>
        <v>0</v>
      </c>
      <c r="AH64" s="321">
        <f>IF(Master20[[#This Row],[Status]]="Active",Master20[[#This Row],[Status_Score]],IF(D64="","",R64+H64+T64+V64+AG64+AE64+Master20[[#This Row],[Risk Mitigation]]+Master20[[#This Row],[Master Plan]]+Master20[[#This Row],[Community Request]]+Master20[[#This Row],[Community need]]+Master20[[#This Row],[Offset Aging Inf.]]+Master20[[#This Row],[Energy Savings]]+Master20[[#This Row],[Gen Revenue]]-5))</f>
        <v>35</v>
      </c>
      <c r="AI64" s="302"/>
      <c r="AJ64" s="302">
        <v>2022</v>
      </c>
      <c r="AK64" s="302">
        <v>2023</v>
      </c>
      <c r="AL64" s="302">
        <v>2023</v>
      </c>
      <c r="AM64" s="302">
        <v>2024</v>
      </c>
      <c r="AN64" s="300"/>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c r="BM64" s="306"/>
      <c r="BN64" s="306"/>
      <c r="BO64" s="306"/>
    </row>
    <row r="65" spans="1:67" s="298" customFormat="1" ht="60" hidden="1" x14ac:dyDescent="0.25">
      <c r="A65" s="307">
        <f t="shared" si="3"/>
        <v>64</v>
      </c>
      <c r="B65" s="300" t="s">
        <v>1200</v>
      </c>
      <c r="C65" s="300" t="s">
        <v>1045</v>
      </c>
      <c r="D65" s="300" t="s">
        <v>348</v>
      </c>
      <c r="E65" s="300" t="s">
        <v>349</v>
      </c>
      <c r="F65" s="300" t="s">
        <v>350</v>
      </c>
      <c r="G65" s="300" t="s">
        <v>29</v>
      </c>
      <c r="H65" s="300">
        <f t="shared" si="6"/>
        <v>0</v>
      </c>
      <c r="I65" s="249"/>
      <c r="J65" s="249"/>
      <c r="K65" s="249">
        <f>Master20[[#This Row],[Initial Budget]]-Master20[[#This Row],[Previously Committed Funds]]</f>
        <v>0</v>
      </c>
      <c r="L65" s="249"/>
      <c r="M65" s="249"/>
      <c r="N65" s="258">
        <f>Master20[[#This Row],[Design $ (Add/Deduct)]]+Master20[[#This Row],[Construction $ (Add/Ded)]]</f>
        <v>0</v>
      </c>
      <c r="O65" s="256">
        <v>125000</v>
      </c>
      <c r="P65" s="301">
        <v>2018</v>
      </c>
      <c r="Q65" s="300" t="s">
        <v>687</v>
      </c>
      <c r="R65" s="301">
        <f t="shared" si="7"/>
        <v>30</v>
      </c>
      <c r="S65" s="302">
        <v>3</v>
      </c>
      <c r="T65" s="299">
        <f t="shared" si="8"/>
        <v>9</v>
      </c>
      <c r="U65" s="302" t="s">
        <v>41</v>
      </c>
      <c r="V65" s="302">
        <f t="shared" si="10"/>
        <v>4</v>
      </c>
      <c r="W65" s="302" t="s">
        <v>30</v>
      </c>
      <c r="X65" s="302">
        <v>0</v>
      </c>
      <c r="Y65" s="302">
        <v>0</v>
      </c>
      <c r="Z65" s="302">
        <v>0</v>
      </c>
      <c r="AA65" s="302">
        <v>0</v>
      </c>
      <c r="AB65" s="302">
        <v>0</v>
      </c>
      <c r="AC65" s="302">
        <v>0</v>
      </c>
      <c r="AD65" s="302">
        <v>0</v>
      </c>
      <c r="AE65" s="302"/>
      <c r="AF65" s="303" t="s">
        <v>29</v>
      </c>
      <c r="AG65" s="305">
        <f>VLOOKUP(Master20[[#This Row],[Elevated Priority]],Epriority,2,)</f>
        <v>0</v>
      </c>
      <c r="AH65" s="321">
        <f>IF(Master20[[#This Row],[Status]]="Active",Master20[[#This Row],[Status_Score]],IF(D65="","",R65+H65+T65+V65+AG65+AE65+Master20[[#This Row],[Risk Mitigation]]+Master20[[#This Row],[Master Plan]]+Master20[[#This Row],[Community Request]]+Master20[[#This Row],[Community need]]+Master20[[#This Row],[Offset Aging Inf.]]+Master20[[#This Row],[Energy Savings]]+Master20[[#This Row],[Gen Revenue]]-5))</f>
        <v>38</v>
      </c>
      <c r="AI65" s="302"/>
      <c r="AJ65" s="302">
        <v>2022</v>
      </c>
      <c r="AK65" s="302">
        <v>2023</v>
      </c>
      <c r="AL65" s="302">
        <v>2023</v>
      </c>
      <c r="AM65" s="302">
        <v>2024</v>
      </c>
      <c r="AN65" s="300"/>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06"/>
    </row>
    <row r="66" spans="1:67" s="298" customFormat="1" ht="60" hidden="1" x14ac:dyDescent="0.25">
      <c r="A66" s="307">
        <f t="shared" si="3"/>
        <v>65</v>
      </c>
      <c r="B66" s="378" t="s">
        <v>70</v>
      </c>
      <c r="C66" s="300" t="s">
        <v>1045</v>
      </c>
      <c r="D66" s="300" t="s">
        <v>276</v>
      </c>
      <c r="E66" s="300" t="s">
        <v>951</v>
      </c>
      <c r="F66" s="300" t="s">
        <v>278</v>
      </c>
      <c r="G66" s="300" t="s">
        <v>29</v>
      </c>
      <c r="H66" s="300">
        <f t="shared" ref="H66:H76" si="11">VLOOKUP(G66,Status_Score,2,FALSE)</f>
        <v>0</v>
      </c>
      <c r="I66" s="249"/>
      <c r="J66" s="249"/>
      <c r="K66" s="249">
        <f>Master20[[#This Row],[Initial Budget]]-Master20[[#This Row],[Previously Committed Funds]]</f>
        <v>0</v>
      </c>
      <c r="L66" s="249"/>
      <c r="M66" s="249"/>
      <c r="N66" s="258">
        <f>Master20[[#This Row],[Design $ (Add/Deduct)]]+Master20[[#This Row],[Construction $ (Add/Ded)]]</f>
        <v>0</v>
      </c>
      <c r="O66" s="256">
        <v>10000</v>
      </c>
      <c r="P66" s="301">
        <v>2018</v>
      </c>
      <c r="Q66" s="300" t="s">
        <v>687</v>
      </c>
      <c r="R66" s="301">
        <f t="shared" si="7"/>
        <v>30</v>
      </c>
      <c r="S66" s="302">
        <v>3</v>
      </c>
      <c r="T66" s="299">
        <f t="shared" si="8"/>
        <v>9</v>
      </c>
      <c r="U66" s="302" t="s">
        <v>41</v>
      </c>
      <c r="V66" s="302">
        <f t="shared" si="10"/>
        <v>4</v>
      </c>
      <c r="W66" s="302" t="s">
        <v>30</v>
      </c>
      <c r="X66" s="302">
        <v>0</v>
      </c>
      <c r="Y66" s="302">
        <v>0</v>
      </c>
      <c r="Z66" s="302">
        <v>0</v>
      </c>
      <c r="AA66" s="302">
        <v>0</v>
      </c>
      <c r="AB66" s="302">
        <v>0</v>
      </c>
      <c r="AC66" s="302">
        <v>0</v>
      </c>
      <c r="AD66" s="302">
        <v>0</v>
      </c>
      <c r="AE66" s="302"/>
      <c r="AF66" s="303" t="s">
        <v>29</v>
      </c>
      <c r="AG66" s="305">
        <f>VLOOKUP(Master20[[#This Row],[Elevated Priority]],Epriority,2,)</f>
        <v>0</v>
      </c>
      <c r="AH66" s="321">
        <f>IF(Master20[[#This Row],[Status]]="Active",Master20[[#This Row],[Status_Score]],IF(D66="","",R66+H66+T66+V66+AG66+AE66+Master20[[#This Row],[Risk Mitigation]]+Master20[[#This Row],[Master Plan]]+Master20[[#This Row],[Community Request]]+Master20[[#This Row],[Community need]]+Master20[[#This Row],[Offset Aging Inf.]]+Master20[[#This Row],[Energy Savings]]+Master20[[#This Row],[Gen Revenue]]-5))</f>
        <v>38</v>
      </c>
      <c r="AI66" s="302"/>
      <c r="AJ66" s="302">
        <v>2022</v>
      </c>
      <c r="AK66" s="302">
        <v>2023</v>
      </c>
      <c r="AL66" s="302">
        <v>2023</v>
      </c>
      <c r="AM66" s="302">
        <v>2024</v>
      </c>
      <c r="AN66" s="300" t="s">
        <v>978</v>
      </c>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row>
    <row r="67" spans="1:67" s="298" customFormat="1" ht="60" hidden="1" x14ac:dyDescent="0.25">
      <c r="A67" s="307">
        <f t="shared" ref="A67:A130" si="12">A66+1</f>
        <v>66</v>
      </c>
      <c r="B67" s="300" t="s">
        <v>70</v>
      </c>
      <c r="C67" s="300" t="s">
        <v>1045</v>
      </c>
      <c r="D67" s="300" t="s">
        <v>282</v>
      </c>
      <c r="E67" s="300" t="s">
        <v>283</v>
      </c>
      <c r="F67" s="300" t="s">
        <v>892</v>
      </c>
      <c r="G67" s="300" t="s">
        <v>29</v>
      </c>
      <c r="H67" s="300">
        <f t="shared" si="11"/>
        <v>0</v>
      </c>
      <c r="I67" s="249"/>
      <c r="J67" s="249"/>
      <c r="K67" s="249">
        <f>Master20[[#This Row],[Initial Budget]]-Master20[[#This Row],[Previously Committed Funds]]</f>
        <v>0</v>
      </c>
      <c r="L67" s="249"/>
      <c r="M67" s="249"/>
      <c r="N67" s="258">
        <f>Master20[[#This Row],[Design $ (Add/Deduct)]]+Master20[[#This Row],[Construction $ (Add/Ded)]]</f>
        <v>0</v>
      </c>
      <c r="O67" s="256">
        <v>60000</v>
      </c>
      <c r="P67" s="301">
        <v>2018</v>
      </c>
      <c r="Q67" s="300" t="s">
        <v>687</v>
      </c>
      <c r="R67" s="301">
        <f t="shared" si="7"/>
        <v>30</v>
      </c>
      <c r="S67" s="302">
        <v>3</v>
      </c>
      <c r="T67" s="299">
        <f t="shared" si="8"/>
        <v>9</v>
      </c>
      <c r="U67" s="302" t="s">
        <v>41</v>
      </c>
      <c r="V67" s="302">
        <f t="shared" si="10"/>
        <v>4</v>
      </c>
      <c r="W67" s="302" t="s">
        <v>30</v>
      </c>
      <c r="X67" s="302">
        <v>0</v>
      </c>
      <c r="Y67" s="302">
        <v>0</v>
      </c>
      <c r="Z67" s="302">
        <v>0</v>
      </c>
      <c r="AA67" s="302">
        <v>0</v>
      </c>
      <c r="AB67" s="302">
        <v>0</v>
      </c>
      <c r="AC67" s="302">
        <v>0</v>
      </c>
      <c r="AD67" s="302">
        <v>0</v>
      </c>
      <c r="AE67" s="302"/>
      <c r="AF67" s="303" t="s">
        <v>29</v>
      </c>
      <c r="AG67" s="305">
        <f>VLOOKUP(Master20[[#This Row],[Elevated Priority]],Epriority,2,)</f>
        <v>0</v>
      </c>
      <c r="AH67" s="321">
        <f>IF(Master20[[#This Row],[Status]]="Active",Master20[[#This Row],[Status_Score]],IF(D67="","",R67+H67+T67+V67+AG67+AE67+Master20[[#This Row],[Risk Mitigation]]+Master20[[#This Row],[Master Plan]]+Master20[[#This Row],[Community Request]]+Master20[[#This Row],[Community need]]+Master20[[#This Row],[Offset Aging Inf.]]+Master20[[#This Row],[Energy Savings]]+Master20[[#This Row],[Gen Revenue]]-5))</f>
        <v>38</v>
      </c>
      <c r="AI67" s="302"/>
      <c r="AJ67" s="302">
        <v>2022</v>
      </c>
      <c r="AK67" s="302">
        <v>2023</v>
      </c>
      <c r="AL67" s="302">
        <v>2023</v>
      </c>
      <c r="AM67" s="302">
        <v>2024</v>
      </c>
      <c r="AN67" s="300"/>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06"/>
    </row>
    <row r="68" spans="1:67" s="298" customFormat="1" ht="60" hidden="1" x14ac:dyDescent="0.25">
      <c r="A68" s="307">
        <f t="shared" si="12"/>
        <v>67</v>
      </c>
      <c r="B68" s="378" t="s">
        <v>143</v>
      </c>
      <c r="C68" s="300" t="s">
        <v>299</v>
      </c>
      <c r="D68" s="300" t="s">
        <v>300</v>
      </c>
      <c r="E68" s="300" t="s">
        <v>301</v>
      </c>
      <c r="F68" s="300" t="s">
        <v>302</v>
      </c>
      <c r="G68" s="300" t="s">
        <v>29</v>
      </c>
      <c r="H68" s="300">
        <f t="shared" si="11"/>
        <v>0</v>
      </c>
      <c r="I68" s="249"/>
      <c r="J68" s="249"/>
      <c r="K68" s="249">
        <f>Master20[[#This Row],[Initial Budget]]-Master20[[#This Row],[Previously Committed Funds]]</f>
        <v>0</v>
      </c>
      <c r="L68" s="249"/>
      <c r="M68" s="249"/>
      <c r="N68" s="258">
        <f>Master20[[#This Row],[Design $ (Add/Deduct)]]+Master20[[#This Row],[Construction $ (Add/Ded)]]</f>
        <v>0</v>
      </c>
      <c r="O68" s="256">
        <v>135000</v>
      </c>
      <c r="P68" s="301">
        <v>2018</v>
      </c>
      <c r="Q68" s="300" t="s">
        <v>688</v>
      </c>
      <c r="R68" s="301">
        <f t="shared" si="7"/>
        <v>20</v>
      </c>
      <c r="S68" s="302">
        <v>2</v>
      </c>
      <c r="T68" s="299">
        <f t="shared" si="8"/>
        <v>6</v>
      </c>
      <c r="U68" s="302" t="s">
        <v>41</v>
      </c>
      <c r="V68" s="302">
        <f t="shared" si="10"/>
        <v>4</v>
      </c>
      <c r="W68" s="302" t="s">
        <v>30</v>
      </c>
      <c r="X68" s="302">
        <v>0</v>
      </c>
      <c r="Y68" s="302">
        <v>0</v>
      </c>
      <c r="Z68" s="302">
        <v>0</v>
      </c>
      <c r="AA68" s="302">
        <v>0</v>
      </c>
      <c r="AB68" s="302">
        <v>0</v>
      </c>
      <c r="AC68" s="302">
        <v>0</v>
      </c>
      <c r="AD68" s="302">
        <v>0</v>
      </c>
      <c r="AE68" s="302"/>
      <c r="AF68" s="303" t="s">
        <v>833</v>
      </c>
      <c r="AG68" s="305">
        <f>VLOOKUP(Master20[[#This Row],[Elevated Priority]],Epriority,2,)</f>
        <v>15</v>
      </c>
      <c r="AH68" s="321">
        <f>IF(Master20[[#This Row],[Status]]="Active",Master20[[#This Row],[Status_Score]],IF(D68="","",R68+H68+T68+V68+AG68+AE68+Master20[[#This Row],[Risk Mitigation]]+Master20[[#This Row],[Master Plan]]+Master20[[#This Row],[Community Request]]+Master20[[#This Row],[Community need]]+Master20[[#This Row],[Offset Aging Inf.]]+Master20[[#This Row],[Energy Savings]]+Master20[[#This Row],[Gen Revenue]]-5))</f>
        <v>40</v>
      </c>
      <c r="AI68" s="302"/>
      <c r="AJ68" s="302">
        <v>2022</v>
      </c>
      <c r="AK68" s="302">
        <v>2023</v>
      </c>
      <c r="AL68" s="302">
        <v>2023</v>
      </c>
      <c r="AM68" s="302">
        <v>2024</v>
      </c>
      <c r="AN68" s="300"/>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06"/>
    </row>
    <row r="69" spans="1:67" s="298" customFormat="1" ht="60" hidden="1" x14ac:dyDescent="0.25">
      <c r="A69" s="307">
        <f t="shared" si="12"/>
        <v>68</v>
      </c>
      <c r="B69" s="300" t="s">
        <v>70</v>
      </c>
      <c r="C69" s="300" t="s">
        <v>79</v>
      </c>
      <c r="D69" s="300" t="s">
        <v>325</v>
      </c>
      <c r="E69" s="300" t="s">
        <v>326</v>
      </c>
      <c r="F69" s="300" t="s">
        <v>663</v>
      </c>
      <c r="G69" s="300" t="s">
        <v>29</v>
      </c>
      <c r="H69" s="300">
        <f t="shared" si="11"/>
        <v>0</v>
      </c>
      <c r="I69" s="249"/>
      <c r="J69" s="249"/>
      <c r="K69" s="249">
        <f>Master20[[#This Row],[Initial Budget]]-Master20[[#This Row],[Previously Committed Funds]]</f>
        <v>0</v>
      </c>
      <c r="L69" s="249"/>
      <c r="M69" s="249"/>
      <c r="N69" s="258">
        <f>Master20[[#This Row],[Design $ (Add/Deduct)]]+Master20[[#This Row],[Construction $ (Add/Ded)]]</f>
        <v>0</v>
      </c>
      <c r="O69" s="256">
        <v>500000</v>
      </c>
      <c r="P69" s="301">
        <v>2018</v>
      </c>
      <c r="Q69" s="300" t="s">
        <v>36</v>
      </c>
      <c r="R69" s="301">
        <f t="shared" si="7"/>
        <v>10</v>
      </c>
      <c r="S69" s="302">
        <v>8</v>
      </c>
      <c r="T69" s="299">
        <f t="shared" ref="T69:T100" si="13">VLOOKUP(S69,Department,2,FALSE)</f>
        <v>20</v>
      </c>
      <c r="U69" s="302" t="s">
        <v>43</v>
      </c>
      <c r="V69" s="302">
        <f t="shared" si="10"/>
        <v>16</v>
      </c>
      <c r="W69" s="302" t="s">
        <v>30</v>
      </c>
      <c r="X69" s="302">
        <v>0</v>
      </c>
      <c r="Y69" s="302">
        <v>0</v>
      </c>
      <c r="Z69" s="302">
        <v>0</v>
      </c>
      <c r="AA69" s="302">
        <v>0</v>
      </c>
      <c r="AB69" s="302">
        <v>0</v>
      </c>
      <c r="AC69" s="302">
        <v>0</v>
      </c>
      <c r="AD69" s="302">
        <v>0</v>
      </c>
      <c r="AE69" s="302"/>
      <c r="AF69" s="303" t="s">
        <v>29</v>
      </c>
      <c r="AG69" s="305">
        <f>VLOOKUP(Master20[[#This Row],[Elevated Priority]],Epriority,2,)</f>
        <v>0</v>
      </c>
      <c r="AH69" s="321">
        <f>IF(Master20[[#This Row],[Status]]="Active",Master20[[#This Row],[Status_Score]],IF(D69="","",R69+H69+T69+V69+AG69+AE69+Master20[[#This Row],[Risk Mitigation]]+Master20[[#This Row],[Master Plan]]+Master20[[#This Row],[Community Request]]+Master20[[#This Row],[Community need]]+Master20[[#This Row],[Offset Aging Inf.]]+Master20[[#This Row],[Energy Savings]]+Master20[[#This Row],[Gen Revenue]]-5))</f>
        <v>41</v>
      </c>
      <c r="AI69" s="302"/>
      <c r="AJ69" s="302">
        <v>2022</v>
      </c>
      <c r="AK69" s="302">
        <v>2023</v>
      </c>
      <c r="AL69" s="302">
        <v>2023</v>
      </c>
      <c r="AM69" s="302">
        <v>2024</v>
      </c>
      <c r="AN69" s="300"/>
      <c r="AO69" s="306"/>
      <c r="AP69" s="306"/>
      <c r="AQ69" s="306"/>
      <c r="AR69" s="306"/>
      <c r="AS69" s="306"/>
      <c r="AT69" s="306"/>
      <c r="AU69" s="306"/>
      <c r="AV69" s="306"/>
      <c r="AW69" s="306"/>
      <c r="AX69" s="306"/>
      <c r="AY69" s="306"/>
      <c r="AZ69" s="306"/>
      <c r="BA69" s="306"/>
      <c r="BB69" s="306"/>
      <c r="BC69" s="306"/>
      <c r="BD69" s="306"/>
      <c r="BE69" s="306"/>
      <c r="BF69" s="306"/>
      <c r="BG69" s="306"/>
      <c r="BH69" s="306"/>
      <c r="BI69" s="306"/>
      <c r="BJ69" s="306"/>
      <c r="BK69" s="306"/>
      <c r="BL69" s="306"/>
      <c r="BM69" s="306"/>
      <c r="BN69" s="306"/>
      <c r="BO69" s="306"/>
    </row>
    <row r="70" spans="1:67" s="298" customFormat="1" ht="60" hidden="1" x14ac:dyDescent="0.25">
      <c r="A70" s="307">
        <f t="shared" si="12"/>
        <v>69</v>
      </c>
      <c r="B70" s="378" t="s">
        <v>1196</v>
      </c>
      <c r="C70" s="300" t="s">
        <v>79</v>
      </c>
      <c r="D70" s="300" t="s">
        <v>245</v>
      </c>
      <c r="E70" s="300" t="s">
        <v>246</v>
      </c>
      <c r="F70" s="300" t="s">
        <v>247</v>
      </c>
      <c r="G70" s="300" t="s">
        <v>29</v>
      </c>
      <c r="H70" s="300">
        <f t="shared" si="11"/>
        <v>0</v>
      </c>
      <c r="I70" s="249"/>
      <c r="J70" s="249"/>
      <c r="K70" s="249">
        <f>Master20[[#This Row],[Initial Budget]]-Master20[[#This Row],[Previously Committed Funds]]</f>
        <v>0</v>
      </c>
      <c r="L70" s="249"/>
      <c r="M70" s="249"/>
      <c r="N70" s="258">
        <f>Master20[[#This Row],[Design $ (Add/Deduct)]]+Master20[[#This Row],[Construction $ (Add/Ded)]]</f>
        <v>0</v>
      </c>
      <c r="O70" s="256">
        <v>20000</v>
      </c>
      <c r="P70" s="301">
        <v>2018</v>
      </c>
      <c r="Q70" s="300" t="s">
        <v>687</v>
      </c>
      <c r="R70" s="301">
        <f t="shared" si="7"/>
        <v>30</v>
      </c>
      <c r="S70" s="302">
        <v>4</v>
      </c>
      <c r="T70" s="299">
        <f t="shared" si="13"/>
        <v>12</v>
      </c>
      <c r="U70" s="302" t="s">
        <v>41</v>
      </c>
      <c r="V70" s="302">
        <f t="shared" si="10"/>
        <v>4</v>
      </c>
      <c r="W70" s="302" t="s">
        <v>30</v>
      </c>
      <c r="X70" s="302">
        <v>0</v>
      </c>
      <c r="Y70" s="302">
        <v>0</v>
      </c>
      <c r="Z70" s="302">
        <v>0</v>
      </c>
      <c r="AA70" s="302">
        <v>0</v>
      </c>
      <c r="AB70" s="302">
        <v>0</v>
      </c>
      <c r="AC70" s="302">
        <v>0</v>
      </c>
      <c r="AD70" s="302">
        <v>0</v>
      </c>
      <c r="AE70" s="302"/>
      <c r="AF70" s="303" t="s">
        <v>29</v>
      </c>
      <c r="AG70" s="305">
        <f>VLOOKUP(Master20[[#This Row],[Elevated Priority]],Epriority,2,)</f>
        <v>0</v>
      </c>
      <c r="AH70" s="321">
        <f>IF(Master20[[#This Row],[Status]]="Active",Master20[[#This Row],[Status_Score]],IF(D70="","",R70+H70+T70+V70+AG70+AE70+Master20[[#This Row],[Risk Mitigation]]+Master20[[#This Row],[Master Plan]]+Master20[[#This Row],[Community Request]]+Master20[[#This Row],[Community need]]+Master20[[#This Row],[Offset Aging Inf.]]+Master20[[#This Row],[Energy Savings]]+Master20[[#This Row],[Gen Revenue]]-5))</f>
        <v>41</v>
      </c>
      <c r="AI70" s="302"/>
      <c r="AJ70" s="302">
        <v>2022</v>
      </c>
      <c r="AK70" s="302">
        <v>2023</v>
      </c>
      <c r="AL70" s="302">
        <v>2023</v>
      </c>
      <c r="AM70" s="302">
        <v>2024</v>
      </c>
      <c r="AN70" s="300"/>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6"/>
      <c r="BO70" s="306"/>
    </row>
    <row r="71" spans="1:67" s="298" customFormat="1" ht="60" hidden="1" x14ac:dyDescent="0.25">
      <c r="A71" s="307">
        <f t="shared" si="12"/>
        <v>70</v>
      </c>
      <c r="B71" s="300" t="s">
        <v>1200</v>
      </c>
      <c r="C71" s="300" t="s">
        <v>1045</v>
      </c>
      <c r="D71" s="300" t="s">
        <v>316</v>
      </c>
      <c r="E71" s="300" t="s">
        <v>891</v>
      </c>
      <c r="F71" s="300" t="s">
        <v>318</v>
      </c>
      <c r="G71" s="300" t="s">
        <v>29</v>
      </c>
      <c r="H71" s="300">
        <f t="shared" si="11"/>
        <v>0</v>
      </c>
      <c r="I71" s="249"/>
      <c r="J71" s="249"/>
      <c r="K71" s="249">
        <f>Master20[[#This Row],[Initial Budget]]-Master20[[#This Row],[Previously Committed Funds]]</f>
        <v>0</v>
      </c>
      <c r="L71" s="249"/>
      <c r="M71" s="249"/>
      <c r="N71" s="258">
        <f>Master20[[#This Row],[Design $ (Add/Deduct)]]+Master20[[#This Row],[Construction $ (Add/Ded)]]</f>
        <v>0</v>
      </c>
      <c r="O71" s="256">
        <v>3000000</v>
      </c>
      <c r="P71" s="301">
        <v>2018</v>
      </c>
      <c r="Q71" s="300" t="s">
        <v>687</v>
      </c>
      <c r="R71" s="301">
        <f t="shared" si="7"/>
        <v>30</v>
      </c>
      <c r="S71" s="302">
        <v>2</v>
      </c>
      <c r="T71" s="299">
        <f t="shared" si="13"/>
        <v>6</v>
      </c>
      <c r="U71" s="302" t="s">
        <v>43</v>
      </c>
      <c r="V71" s="302">
        <f t="shared" si="10"/>
        <v>16</v>
      </c>
      <c r="W71" s="302" t="s">
        <v>34</v>
      </c>
      <c r="X71" s="302">
        <v>0</v>
      </c>
      <c r="Y71" s="302">
        <v>0</v>
      </c>
      <c r="Z71" s="302">
        <v>-1</v>
      </c>
      <c r="AA71" s="302">
        <v>0</v>
      </c>
      <c r="AB71" s="302">
        <v>0</v>
      </c>
      <c r="AC71" s="302">
        <v>-5</v>
      </c>
      <c r="AD71" s="302">
        <v>0</v>
      </c>
      <c r="AE71" s="302"/>
      <c r="AF71" s="303" t="s">
        <v>29</v>
      </c>
      <c r="AG71" s="305">
        <f>VLOOKUP(Master20[[#This Row],[Elevated Priority]],Epriority,2,)</f>
        <v>0</v>
      </c>
      <c r="AH71" s="321">
        <f>IF(Master20[[#This Row],[Status]]="Active",Master20[[#This Row],[Status_Score]],IF(D71="","",R71+H71+T71+V71+AG71+AE71+Master20[[#This Row],[Risk Mitigation]]+Master20[[#This Row],[Master Plan]]+Master20[[#This Row],[Community Request]]+Master20[[#This Row],[Community need]]+Master20[[#This Row],[Offset Aging Inf.]]+Master20[[#This Row],[Energy Savings]]+Master20[[#This Row],[Gen Revenue]]-5))</f>
        <v>41</v>
      </c>
      <c r="AI71" s="302"/>
      <c r="AJ71" s="302">
        <v>2022</v>
      </c>
      <c r="AK71" s="302">
        <v>2024</v>
      </c>
      <c r="AL71" s="302">
        <v>2023</v>
      </c>
      <c r="AM71" s="302">
        <v>2025</v>
      </c>
      <c r="AN71" s="300"/>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6"/>
      <c r="BO71" s="306"/>
    </row>
    <row r="72" spans="1:67" s="298" customFormat="1" ht="60" hidden="1" x14ac:dyDescent="0.25">
      <c r="A72" s="307">
        <f t="shared" si="12"/>
        <v>71</v>
      </c>
      <c r="B72" s="378" t="s">
        <v>94</v>
      </c>
      <c r="C72" s="300" t="s">
        <v>1045</v>
      </c>
      <c r="D72" s="300" t="s">
        <v>1123</v>
      </c>
      <c r="E72" s="300" t="s">
        <v>1124</v>
      </c>
      <c r="F72" s="300" t="s">
        <v>1125</v>
      </c>
      <c r="G72" s="300" t="s">
        <v>29</v>
      </c>
      <c r="H72" s="300">
        <f t="shared" si="11"/>
        <v>0</v>
      </c>
      <c r="I72" s="249"/>
      <c r="J72" s="249"/>
      <c r="K72" s="249">
        <f>Master20[[#This Row],[Initial Budget]]-Master20[[#This Row],[Previously Committed Funds]]</f>
        <v>0</v>
      </c>
      <c r="L72" s="249"/>
      <c r="M72" s="249"/>
      <c r="N72" s="258">
        <f>Master20[[#This Row],[Design $ (Add/Deduct)]]+Master20[[#This Row],[Construction $ (Add/Ded)]]</f>
        <v>0</v>
      </c>
      <c r="O72" s="256">
        <v>120000</v>
      </c>
      <c r="P72" s="301">
        <v>2022</v>
      </c>
      <c r="Q72" s="300" t="s">
        <v>36</v>
      </c>
      <c r="R72" s="301">
        <f t="shared" si="7"/>
        <v>10</v>
      </c>
      <c r="S72" s="302">
        <v>10</v>
      </c>
      <c r="T72" s="299">
        <f t="shared" si="13"/>
        <v>21</v>
      </c>
      <c r="U72" s="302" t="s">
        <v>43</v>
      </c>
      <c r="V72" s="302">
        <f t="shared" si="10"/>
        <v>16</v>
      </c>
      <c r="W72" s="302" t="s">
        <v>30</v>
      </c>
      <c r="X72" s="302">
        <v>0</v>
      </c>
      <c r="Y72" s="302">
        <v>0</v>
      </c>
      <c r="Z72" s="302">
        <v>-1</v>
      </c>
      <c r="AA72" s="302">
        <v>0</v>
      </c>
      <c r="AB72" s="302">
        <v>0</v>
      </c>
      <c r="AC72" s="302">
        <v>0</v>
      </c>
      <c r="AD72" s="302">
        <v>0</v>
      </c>
      <c r="AE72" s="302"/>
      <c r="AF72" s="303" t="s">
        <v>29</v>
      </c>
      <c r="AG72" s="305">
        <f>VLOOKUP(Master20[[#This Row],[Elevated Priority]],Epriority,2,)</f>
        <v>0</v>
      </c>
      <c r="AH72" s="321">
        <f>IF(Master20[[#This Row],[Status]]="Active",Master20[[#This Row],[Status_Score]],IF(D72="","",R72+H72+T72+V72+AG72+AE72+Master20[[#This Row],[Risk Mitigation]]+Master20[[#This Row],[Master Plan]]+Master20[[#This Row],[Community Request]]+Master20[[#This Row],[Community need]]+Master20[[#This Row],[Offset Aging Inf.]]+Master20[[#This Row],[Energy Savings]]+Master20[[#This Row],[Gen Revenue]]-5))</f>
        <v>41</v>
      </c>
      <c r="AI72" s="302"/>
      <c r="AJ72" s="302"/>
      <c r="AK72" s="302"/>
      <c r="AL72" s="302">
        <v>2024</v>
      </c>
      <c r="AM72" s="302">
        <v>2025</v>
      </c>
      <c r="AN72" s="300"/>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6"/>
      <c r="BO72" s="306"/>
    </row>
    <row r="73" spans="1:67" s="298" customFormat="1" ht="60" hidden="1" x14ac:dyDescent="0.25">
      <c r="A73" s="307">
        <f t="shared" si="12"/>
        <v>72</v>
      </c>
      <c r="B73" s="300" t="s">
        <v>1200</v>
      </c>
      <c r="C73" s="300" t="s">
        <v>1045</v>
      </c>
      <c r="D73" s="300" t="s">
        <v>528</v>
      </c>
      <c r="E73" s="300" t="s">
        <v>529</v>
      </c>
      <c r="F73" s="300" t="s">
        <v>908</v>
      </c>
      <c r="G73" s="300" t="s">
        <v>29</v>
      </c>
      <c r="H73" s="300">
        <f t="shared" si="11"/>
        <v>0</v>
      </c>
      <c r="I73" s="249"/>
      <c r="J73" s="249"/>
      <c r="K73" s="249">
        <f>Master20[[#This Row],[Initial Budget]]-Master20[[#This Row],[Previously Committed Funds]]</f>
        <v>0</v>
      </c>
      <c r="L73" s="249"/>
      <c r="M73" s="249"/>
      <c r="N73" s="258">
        <f>Master20[[#This Row],[Design $ (Add/Deduct)]]+Master20[[#This Row],[Construction $ (Add/Ded)]]</f>
        <v>0</v>
      </c>
      <c r="O73" s="256">
        <v>4500000</v>
      </c>
      <c r="P73" s="301">
        <v>2018</v>
      </c>
      <c r="Q73" s="300" t="s">
        <v>46</v>
      </c>
      <c r="R73" s="301">
        <f t="shared" si="7"/>
        <v>50</v>
      </c>
      <c r="S73" s="302">
        <v>4</v>
      </c>
      <c r="T73" s="299">
        <f t="shared" si="13"/>
        <v>12</v>
      </c>
      <c r="U73" s="302" t="s">
        <v>41</v>
      </c>
      <c r="V73" s="302">
        <f t="shared" si="10"/>
        <v>4</v>
      </c>
      <c r="W73" s="302" t="s">
        <v>34</v>
      </c>
      <c r="X73" s="302">
        <v>-9</v>
      </c>
      <c r="Y73" s="302">
        <v>0</v>
      </c>
      <c r="Z73" s="302">
        <v>-1</v>
      </c>
      <c r="AA73" s="302">
        <v>-3</v>
      </c>
      <c r="AB73" s="302">
        <v>-2</v>
      </c>
      <c r="AC73" s="302">
        <v>-5</v>
      </c>
      <c r="AD73" s="302">
        <v>0</v>
      </c>
      <c r="AE73" s="302"/>
      <c r="AF73" s="303" t="s">
        <v>29</v>
      </c>
      <c r="AG73" s="305">
        <f>VLOOKUP(Master20[[#This Row],[Elevated Priority]],Epriority,2,)</f>
        <v>0</v>
      </c>
      <c r="AH73" s="321">
        <f>IF(Master20[[#This Row],[Status]]="Active",Master20[[#This Row],[Status_Score]],IF(D73="","",R73+H73+T73+V73+AG73+AE73+Master20[[#This Row],[Risk Mitigation]]+Master20[[#This Row],[Master Plan]]+Master20[[#This Row],[Community Request]]+Master20[[#This Row],[Community need]]+Master20[[#This Row],[Offset Aging Inf.]]+Master20[[#This Row],[Energy Savings]]+Master20[[#This Row],[Gen Revenue]]-5))</f>
        <v>41</v>
      </c>
      <c r="AI73" s="302"/>
      <c r="AJ73" s="302">
        <v>2020</v>
      </c>
      <c r="AK73" s="302">
        <v>2021</v>
      </c>
      <c r="AL73" s="302">
        <v>2023</v>
      </c>
      <c r="AM73" s="302">
        <v>2025</v>
      </c>
      <c r="AN73" s="300"/>
      <c r="AO73" s="306"/>
      <c r="AP73" s="306"/>
      <c r="AQ73" s="306"/>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06"/>
    </row>
    <row r="74" spans="1:67" s="298" customFormat="1" ht="60" hidden="1" x14ac:dyDescent="0.25">
      <c r="A74" s="307">
        <f t="shared" si="12"/>
        <v>73</v>
      </c>
      <c r="B74" s="378" t="s">
        <v>70</v>
      </c>
      <c r="C74" s="300" t="s">
        <v>1045</v>
      </c>
      <c r="D74" s="300" t="s">
        <v>840</v>
      </c>
      <c r="E74" s="300" t="s">
        <v>841</v>
      </c>
      <c r="F74" s="300" t="s">
        <v>903</v>
      </c>
      <c r="G74" s="300" t="s">
        <v>29</v>
      </c>
      <c r="H74" s="300">
        <f t="shared" si="11"/>
        <v>0</v>
      </c>
      <c r="I74" s="249"/>
      <c r="J74" s="249"/>
      <c r="K74" s="249">
        <f>Master20[[#This Row],[Initial Budget]]-Master20[[#This Row],[Previously Committed Funds]]</f>
        <v>0</v>
      </c>
      <c r="L74" s="249"/>
      <c r="M74" s="249"/>
      <c r="N74" s="258">
        <f>Master20[[#This Row],[Design $ (Add/Deduct)]]+Master20[[#This Row],[Construction $ (Add/Ded)]]</f>
        <v>0</v>
      </c>
      <c r="O74" s="256">
        <v>50000</v>
      </c>
      <c r="P74" s="301">
        <v>2018</v>
      </c>
      <c r="Q74" s="300" t="s">
        <v>687</v>
      </c>
      <c r="R74" s="301">
        <f t="shared" si="7"/>
        <v>30</v>
      </c>
      <c r="S74" s="302">
        <v>4</v>
      </c>
      <c r="T74" s="299">
        <f t="shared" si="13"/>
        <v>12</v>
      </c>
      <c r="U74" s="302" t="s">
        <v>41</v>
      </c>
      <c r="V74" s="302">
        <f t="shared" si="10"/>
        <v>4</v>
      </c>
      <c r="W74" s="302" t="s">
        <v>30</v>
      </c>
      <c r="X74" s="302">
        <v>0</v>
      </c>
      <c r="Y74" s="302">
        <v>0</v>
      </c>
      <c r="Z74" s="302">
        <v>0</v>
      </c>
      <c r="AA74" s="302">
        <v>0</v>
      </c>
      <c r="AB74" s="302">
        <v>0</v>
      </c>
      <c r="AC74" s="302">
        <v>0</v>
      </c>
      <c r="AD74" s="302">
        <v>0</v>
      </c>
      <c r="AE74" s="302"/>
      <c r="AF74" s="303" t="s">
        <v>29</v>
      </c>
      <c r="AG74" s="305">
        <f>VLOOKUP(Master20[[#This Row],[Elevated Priority]],Epriority,2,)</f>
        <v>0</v>
      </c>
      <c r="AH74" s="321">
        <f>IF(Master20[[#This Row],[Status]]="Active",Master20[[#This Row],[Status_Score]],IF(D74="","",R74+H74+T74+V74+AG74+AE74+Master20[[#This Row],[Risk Mitigation]]+Master20[[#This Row],[Master Plan]]+Master20[[#This Row],[Community Request]]+Master20[[#This Row],[Community need]]+Master20[[#This Row],[Offset Aging Inf.]]+Master20[[#This Row],[Energy Savings]]+Master20[[#This Row],[Gen Revenue]]-5))</f>
        <v>41</v>
      </c>
      <c r="AI74" s="302"/>
      <c r="AJ74" s="302">
        <v>2022</v>
      </c>
      <c r="AK74" s="302">
        <v>2023</v>
      </c>
      <c r="AL74" s="302">
        <v>2023</v>
      </c>
      <c r="AM74" s="302">
        <v>2024</v>
      </c>
      <c r="AN74" s="300"/>
      <c r="AO74" s="306"/>
      <c r="AP74" s="306"/>
      <c r="AQ74" s="306"/>
      <c r="AR74" s="306"/>
      <c r="AS74" s="306"/>
      <c r="AT74" s="306"/>
      <c r="AU74" s="306"/>
      <c r="AV74" s="306"/>
      <c r="AW74" s="306"/>
      <c r="AX74" s="306"/>
      <c r="AY74" s="306"/>
      <c r="AZ74" s="306"/>
      <c r="BA74" s="306"/>
      <c r="BB74" s="306"/>
      <c r="BC74" s="306"/>
      <c r="BD74" s="306"/>
      <c r="BE74" s="306"/>
      <c r="BF74" s="306"/>
      <c r="BG74" s="306"/>
      <c r="BH74" s="306"/>
      <c r="BI74" s="306"/>
      <c r="BJ74" s="306"/>
      <c r="BK74" s="306"/>
      <c r="BL74" s="306"/>
      <c r="BM74" s="306"/>
      <c r="BN74" s="306"/>
      <c r="BO74" s="306"/>
    </row>
    <row r="75" spans="1:67" s="298" customFormat="1" ht="60" hidden="1" x14ac:dyDescent="0.25">
      <c r="A75" s="307">
        <f t="shared" si="12"/>
        <v>74</v>
      </c>
      <c r="B75" s="300" t="s">
        <v>1200</v>
      </c>
      <c r="C75" s="300" t="s">
        <v>1045</v>
      </c>
      <c r="D75" s="300" t="s">
        <v>895</v>
      </c>
      <c r="E75" s="300" t="s">
        <v>896</v>
      </c>
      <c r="F75" s="300" t="s">
        <v>371</v>
      </c>
      <c r="G75" s="300" t="s">
        <v>29</v>
      </c>
      <c r="H75" s="300">
        <f t="shared" si="11"/>
        <v>0</v>
      </c>
      <c r="I75" s="249"/>
      <c r="J75" s="249"/>
      <c r="K75" s="249">
        <f>Master20[[#This Row],[Initial Budget]]-Master20[[#This Row],[Previously Committed Funds]]</f>
        <v>0</v>
      </c>
      <c r="L75" s="249"/>
      <c r="M75" s="249"/>
      <c r="N75" s="258">
        <f>Master20[[#This Row],[Design $ (Add/Deduct)]]+Master20[[#This Row],[Construction $ (Add/Ded)]]</f>
        <v>0</v>
      </c>
      <c r="O75" s="256">
        <v>250000</v>
      </c>
      <c r="P75" s="301">
        <v>2018</v>
      </c>
      <c r="Q75" s="300" t="s">
        <v>687</v>
      </c>
      <c r="R75" s="301">
        <f t="shared" si="7"/>
        <v>30</v>
      </c>
      <c r="S75" s="302">
        <v>1</v>
      </c>
      <c r="T75" s="299">
        <f t="shared" si="13"/>
        <v>3</v>
      </c>
      <c r="U75" s="302" t="s">
        <v>43</v>
      </c>
      <c r="V75" s="302">
        <f t="shared" si="10"/>
        <v>16</v>
      </c>
      <c r="W75" s="302" t="s">
        <v>30</v>
      </c>
      <c r="X75" s="302">
        <v>0</v>
      </c>
      <c r="Y75" s="302">
        <v>0</v>
      </c>
      <c r="Z75" s="302">
        <v>0</v>
      </c>
      <c r="AA75" s="302">
        <v>0</v>
      </c>
      <c r="AB75" s="302">
        <v>0</v>
      </c>
      <c r="AC75" s="302">
        <v>0</v>
      </c>
      <c r="AD75" s="302">
        <v>0</v>
      </c>
      <c r="AE75" s="302"/>
      <c r="AF75" s="303" t="s">
        <v>29</v>
      </c>
      <c r="AG75" s="305">
        <f>VLOOKUP(Master20[[#This Row],[Elevated Priority]],Epriority,2,)</f>
        <v>0</v>
      </c>
      <c r="AH75" s="321">
        <f>IF(Master20[[#This Row],[Status]]="Active",Master20[[#This Row],[Status_Score]],IF(D75="","",R75+H75+T75+V75+AG75+AE75+Master20[[#This Row],[Risk Mitigation]]+Master20[[#This Row],[Master Plan]]+Master20[[#This Row],[Community Request]]+Master20[[#This Row],[Community need]]+Master20[[#This Row],[Offset Aging Inf.]]+Master20[[#This Row],[Energy Savings]]+Master20[[#This Row],[Gen Revenue]]-5))</f>
        <v>44</v>
      </c>
      <c r="AI75" s="302"/>
      <c r="AJ75" s="302">
        <v>2023</v>
      </c>
      <c r="AK75" s="302">
        <v>2024</v>
      </c>
      <c r="AL75" s="302">
        <v>2023</v>
      </c>
      <c r="AM75" s="302">
        <v>2024</v>
      </c>
      <c r="AN75" s="300"/>
      <c r="AO75" s="306"/>
      <c r="AP75" s="306"/>
      <c r="AQ75" s="306"/>
      <c r="AR75" s="306"/>
      <c r="AS75" s="306"/>
      <c r="AT75" s="306"/>
      <c r="AU75" s="306"/>
      <c r="AV75" s="306"/>
      <c r="AW75" s="306"/>
      <c r="AX75" s="306"/>
      <c r="AY75" s="306"/>
      <c r="AZ75" s="306"/>
      <c r="BA75" s="306"/>
      <c r="BB75" s="306"/>
      <c r="BC75" s="306"/>
      <c r="BD75" s="306"/>
      <c r="BE75" s="306"/>
      <c r="BF75" s="306"/>
      <c r="BG75" s="306"/>
      <c r="BH75" s="306"/>
      <c r="BI75" s="306"/>
      <c r="BJ75" s="306"/>
      <c r="BK75" s="306"/>
      <c r="BL75" s="306"/>
      <c r="BM75" s="306"/>
      <c r="BN75" s="306"/>
      <c r="BO75" s="306"/>
    </row>
    <row r="76" spans="1:67" s="298" customFormat="1" ht="60" hidden="1" x14ac:dyDescent="0.25">
      <c r="A76" s="307">
        <f t="shared" si="12"/>
        <v>75</v>
      </c>
      <c r="B76" s="378" t="s">
        <v>1211</v>
      </c>
      <c r="C76" s="300" t="s">
        <v>1201</v>
      </c>
      <c r="D76" s="300" t="s">
        <v>696</v>
      </c>
      <c r="E76" s="300" t="s">
        <v>1141</v>
      </c>
      <c r="F76" s="300"/>
      <c r="G76" s="300" t="s">
        <v>29</v>
      </c>
      <c r="H76" s="300">
        <f t="shared" si="11"/>
        <v>0</v>
      </c>
      <c r="I76" s="249"/>
      <c r="J76" s="249"/>
      <c r="K76" s="249">
        <f>Master20[[#This Row],[Initial Budget]]-Master20[[#This Row],[Previously Committed Funds]]</f>
        <v>0</v>
      </c>
      <c r="L76" s="249"/>
      <c r="M76" s="249"/>
      <c r="N76" s="258">
        <f>Master20[[#This Row],[Design $ (Add/Deduct)]]+Master20[[#This Row],[Construction $ (Add/Ded)]]</f>
        <v>0</v>
      </c>
      <c r="O76" s="256">
        <v>5000000</v>
      </c>
      <c r="P76" s="301">
        <v>2019</v>
      </c>
      <c r="Q76" s="300" t="s">
        <v>46</v>
      </c>
      <c r="R76" s="301">
        <v>50</v>
      </c>
      <c r="S76" s="302">
        <v>3</v>
      </c>
      <c r="T76" s="299">
        <f t="shared" si="13"/>
        <v>9</v>
      </c>
      <c r="U76" s="302" t="s">
        <v>43</v>
      </c>
      <c r="V76" s="302"/>
      <c r="W76" s="302" t="s">
        <v>34</v>
      </c>
      <c r="X76" s="302">
        <v>0</v>
      </c>
      <c r="Y76" s="302">
        <v>0</v>
      </c>
      <c r="Z76" s="302">
        <v>-3</v>
      </c>
      <c r="AA76" s="302">
        <v>-3</v>
      </c>
      <c r="AB76" s="302">
        <v>-2</v>
      </c>
      <c r="AC76" s="302">
        <v>0</v>
      </c>
      <c r="AD76" s="302">
        <v>0</v>
      </c>
      <c r="AE76" s="302"/>
      <c r="AF76" s="303" t="s">
        <v>29</v>
      </c>
      <c r="AG76" s="305">
        <f>VLOOKUP(Master20[[#This Row],[Elevated Priority]],Epriority,2,)</f>
        <v>0</v>
      </c>
      <c r="AH76" s="321">
        <f>IF(Master20[[#This Row],[Status]]="Active",Master20[[#This Row],[Status_Score]],IF(D76="","",R76+H76+T76+V76+AG76+AE76+Master20[[#This Row],[Risk Mitigation]]+Master20[[#This Row],[Master Plan]]+Master20[[#This Row],[Community Request]]+Master20[[#This Row],[Community need]]+Master20[[#This Row],[Offset Aging Inf.]]+Master20[[#This Row],[Energy Savings]]+Master20[[#This Row],[Gen Revenue]]-5))</f>
        <v>46</v>
      </c>
      <c r="AI76" s="302"/>
      <c r="AJ76" s="302">
        <v>2022</v>
      </c>
      <c r="AK76" s="302">
        <v>2024</v>
      </c>
      <c r="AL76" s="302">
        <v>2022</v>
      </c>
      <c r="AM76" s="302">
        <v>2025</v>
      </c>
      <c r="AN76" s="300"/>
      <c r="AO76" s="306"/>
      <c r="AP76" s="306"/>
      <c r="AQ76" s="306"/>
      <c r="AR76" s="306"/>
      <c r="AS76" s="306"/>
      <c r="AT76" s="306"/>
      <c r="AU76" s="306"/>
      <c r="AV76" s="306"/>
      <c r="AW76" s="306"/>
      <c r="AX76" s="306"/>
      <c r="AY76" s="306"/>
      <c r="AZ76" s="306"/>
      <c r="BA76" s="306"/>
      <c r="BB76" s="306"/>
      <c r="BC76" s="306"/>
      <c r="BD76" s="306"/>
      <c r="BE76" s="306"/>
      <c r="BF76" s="306"/>
      <c r="BG76" s="306"/>
      <c r="BH76" s="306"/>
      <c r="BI76" s="306"/>
      <c r="BJ76" s="306"/>
      <c r="BK76" s="306"/>
      <c r="BL76" s="306"/>
      <c r="BM76" s="306"/>
      <c r="BN76" s="306"/>
      <c r="BO76" s="306"/>
    </row>
    <row r="77" spans="1:67" s="298" customFormat="1" ht="60" hidden="1" x14ac:dyDescent="0.25">
      <c r="A77" s="307">
        <f t="shared" si="12"/>
        <v>76</v>
      </c>
      <c r="B77" s="300" t="s">
        <v>1200</v>
      </c>
      <c r="C77" s="300" t="s">
        <v>1194</v>
      </c>
      <c r="D77" s="300" t="s">
        <v>541</v>
      </c>
      <c r="E77" s="300" t="s">
        <v>542</v>
      </c>
      <c r="F77" s="300" t="s">
        <v>543</v>
      </c>
      <c r="G77" s="300" t="s">
        <v>29</v>
      </c>
      <c r="H77" s="300">
        <f t="shared" ref="H77:H92" si="14">VLOOKUP(G77,Status_Score,2,FALSE)</f>
        <v>0</v>
      </c>
      <c r="I77" s="249"/>
      <c r="J77" s="249"/>
      <c r="K77" s="249">
        <f>Master20[[#This Row],[Initial Budget]]-Master20[[#This Row],[Previously Committed Funds]]</f>
        <v>0</v>
      </c>
      <c r="L77" s="249"/>
      <c r="M77" s="249"/>
      <c r="N77" s="258">
        <f>Master20[[#This Row],[Design $ (Add/Deduct)]]+Master20[[#This Row],[Construction $ (Add/Ded)]]</f>
        <v>0</v>
      </c>
      <c r="O77" s="256">
        <v>10000000</v>
      </c>
      <c r="P77" s="301">
        <v>2018</v>
      </c>
      <c r="Q77" s="300" t="s">
        <v>46</v>
      </c>
      <c r="R77" s="301">
        <f t="shared" ref="R77:R108" si="15">VLOOKUP(Q77,Importance,2,FALSE)</f>
        <v>50</v>
      </c>
      <c r="S77" s="302">
        <v>4</v>
      </c>
      <c r="T77" s="299">
        <f t="shared" si="13"/>
        <v>12</v>
      </c>
      <c r="U77" s="302" t="s">
        <v>43</v>
      </c>
      <c r="V77" s="302">
        <f>VLOOKUP(U77,Urgency,2,FALSE)</f>
        <v>16</v>
      </c>
      <c r="W77" s="302" t="s">
        <v>34</v>
      </c>
      <c r="X77" s="302">
        <v>-9</v>
      </c>
      <c r="Y77" s="302">
        <v>0</v>
      </c>
      <c r="Z77" s="302">
        <v>0</v>
      </c>
      <c r="AA77" s="302">
        <v>-3</v>
      </c>
      <c r="AB77" s="302">
        <v>-2</v>
      </c>
      <c r="AC77" s="302">
        <v>-9</v>
      </c>
      <c r="AD77" s="302">
        <v>-3</v>
      </c>
      <c r="AE77" s="302"/>
      <c r="AF77" s="303" t="s">
        <v>29</v>
      </c>
      <c r="AG77" s="305">
        <f>VLOOKUP(Master20[[#This Row],[Elevated Priority]],Epriority,2,)</f>
        <v>0</v>
      </c>
      <c r="AH77" s="321">
        <f>IF(Master20[[#This Row],[Status]]="Active",Master20[[#This Row],[Status_Score]],IF(D77="","",R77+H77+T77+V77+AG77+AE77+Master20[[#This Row],[Risk Mitigation]]+Master20[[#This Row],[Master Plan]]+Master20[[#This Row],[Community Request]]+Master20[[#This Row],[Community need]]+Master20[[#This Row],[Offset Aging Inf.]]+Master20[[#This Row],[Energy Savings]]+Master20[[#This Row],[Gen Revenue]]-5))</f>
        <v>47</v>
      </c>
      <c r="AI77" s="302"/>
      <c r="AJ77" s="302">
        <v>2020</v>
      </c>
      <c r="AK77" s="302">
        <v>2024</v>
      </c>
      <c r="AL77" s="302">
        <v>2022</v>
      </c>
      <c r="AM77" s="302">
        <v>2025</v>
      </c>
      <c r="AN77" s="300"/>
      <c r="AO77" s="306"/>
      <c r="AP77" s="306"/>
      <c r="AQ77" s="306"/>
      <c r="AR77" s="306"/>
      <c r="AS77" s="306"/>
      <c r="AT77" s="306"/>
      <c r="AU77" s="306"/>
      <c r="AV77" s="306"/>
      <c r="AW77" s="306"/>
      <c r="AX77" s="306"/>
      <c r="AY77" s="306"/>
      <c r="AZ77" s="306"/>
      <c r="BA77" s="306"/>
      <c r="BB77" s="306"/>
      <c r="BC77" s="306"/>
      <c r="BD77" s="306"/>
      <c r="BE77" s="306"/>
      <c r="BF77" s="306"/>
      <c r="BG77" s="306"/>
      <c r="BH77" s="306"/>
      <c r="BI77" s="306"/>
      <c r="BJ77" s="306"/>
      <c r="BK77" s="306"/>
      <c r="BL77" s="306"/>
      <c r="BM77" s="306"/>
      <c r="BN77" s="306"/>
      <c r="BO77" s="306"/>
    </row>
    <row r="78" spans="1:67" s="298" customFormat="1" ht="60" hidden="1" x14ac:dyDescent="0.25">
      <c r="A78" s="307">
        <f t="shared" si="12"/>
        <v>77</v>
      </c>
      <c r="B78" s="378" t="s">
        <v>1213</v>
      </c>
      <c r="C78" s="300" t="s">
        <v>70</v>
      </c>
      <c r="D78" s="300" t="s">
        <v>455</v>
      </c>
      <c r="E78" s="300" t="s">
        <v>904</v>
      </c>
      <c r="F78" s="300" t="s">
        <v>905</v>
      </c>
      <c r="G78" s="300" t="s">
        <v>29</v>
      </c>
      <c r="H78" s="300">
        <f t="shared" si="14"/>
        <v>0</v>
      </c>
      <c r="I78" s="249"/>
      <c r="J78" s="249"/>
      <c r="K78" s="249">
        <f>Master20[[#This Row],[Initial Budget]]-Master20[[#This Row],[Previously Committed Funds]]</f>
        <v>0</v>
      </c>
      <c r="L78" s="249"/>
      <c r="M78" s="249"/>
      <c r="N78" s="258">
        <f>Master20[[#This Row],[Design $ (Add/Deduct)]]+Master20[[#This Row],[Construction $ (Add/Ded)]]</f>
        <v>0</v>
      </c>
      <c r="O78" s="256">
        <v>8000000</v>
      </c>
      <c r="P78" s="301">
        <v>2018</v>
      </c>
      <c r="Q78" s="300" t="s">
        <v>46</v>
      </c>
      <c r="R78" s="301">
        <f t="shared" si="15"/>
        <v>50</v>
      </c>
      <c r="S78" s="302">
        <v>1</v>
      </c>
      <c r="T78" s="299">
        <f t="shared" si="13"/>
        <v>3</v>
      </c>
      <c r="U78" s="302" t="s">
        <v>37</v>
      </c>
      <c r="V78" s="302">
        <f>VLOOKUP(U78,Urgency,2,FALSE)</f>
        <v>3</v>
      </c>
      <c r="W78" s="302" t="s">
        <v>34</v>
      </c>
      <c r="X78" s="302">
        <v>0</v>
      </c>
      <c r="Y78" s="302">
        <v>0</v>
      </c>
      <c r="Z78" s="302">
        <v>0</v>
      </c>
      <c r="AA78" s="302">
        <v>0</v>
      </c>
      <c r="AB78" s="302">
        <v>-2</v>
      </c>
      <c r="AC78" s="302">
        <v>-1</v>
      </c>
      <c r="AD78" s="302">
        <v>0</v>
      </c>
      <c r="AE78" s="302"/>
      <c r="AF78" s="303" t="s">
        <v>29</v>
      </c>
      <c r="AG78" s="305">
        <f>VLOOKUP(Master20[[#This Row],[Elevated Priority]],Epriority,2,)</f>
        <v>0</v>
      </c>
      <c r="AH78" s="321">
        <f>IF(Master20[[#This Row],[Status]]="Active",Master20[[#This Row],[Status_Score]],IF(D78="","",R78+H78+T78+V78+AG78+AE78+Master20[[#This Row],[Risk Mitigation]]+Master20[[#This Row],[Master Plan]]+Master20[[#This Row],[Community Request]]+Master20[[#This Row],[Community need]]+Master20[[#This Row],[Offset Aging Inf.]]+Master20[[#This Row],[Energy Savings]]+Master20[[#This Row],[Gen Revenue]]-5))</f>
        <v>48</v>
      </c>
      <c r="AI78" s="302"/>
      <c r="AJ78" s="302">
        <v>2022</v>
      </c>
      <c r="AK78" s="302">
        <v>2024</v>
      </c>
      <c r="AL78" s="302">
        <v>2024</v>
      </c>
      <c r="AM78" s="302">
        <v>2026</v>
      </c>
      <c r="AN78" s="300" t="s">
        <v>982</v>
      </c>
      <c r="AO78" s="306"/>
      <c r="AP78" s="306"/>
      <c r="AQ78" s="306"/>
      <c r="AR78" s="306"/>
      <c r="AS78" s="306"/>
      <c r="AT78" s="306"/>
      <c r="AU78" s="306"/>
      <c r="AV78" s="306"/>
      <c r="AW78" s="306"/>
      <c r="AX78" s="306"/>
      <c r="AY78" s="306"/>
      <c r="AZ78" s="306"/>
      <c r="BA78" s="306"/>
      <c r="BB78" s="306"/>
      <c r="BC78" s="306"/>
      <c r="BD78" s="306"/>
      <c r="BE78" s="306"/>
      <c r="BF78" s="306"/>
      <c r="BG78" s="306"/>
      <c r="BH78" s="306"/>
      <c r="BI78" s="306"/>
      <c r="BJ78" s="306"/>
      <c r="BK78" s="306"/>
      <c r="BL78" s="306"/>
      <c r="BM78" s="306"/>
      <c r="BN78" s="306"/>
      <c r="BO78" s="306"/>
    </row>
    <row r="79" spans="1:67" s="298" customFormat="1" ht="60" hidden="1" x14ac:dyDescent="0.25">
      <c r="A79" s="307">
        <f t="shared" si="12"/>
        <v>78</v>
      </c>
      <c r="B79" s="300" t="s">
        <v>1213</v>
      </c>
      <c r="C79" s="300" t="s">
        <v>70</v>
      </c>
      <c r="D79" s="300" t="s">
        <v>943</v>
      </c>
      <c r="E79" s="300" t="s">
        <v>946</v>
      </c>
      <c r="F79" s="300" t="s">
        <v>944</v>
      </c>
      <c r="G79" s="300" t="s">
        <v>29</v>
      </c>
      <c r="H79" s="300">
        <f t="shared" si="14"/>
        <v>0</v>
      </c>
      <c r="I79" s="249"/>
      <c r="J79" s="249"/>
      <c r="K79" s="249">
        <f>Master20[[#This Row],[Initial Budget]]-Master20[[#This Row],[Previously Committed Funds]]</f>
        <v>0</v>
      </c>
      <c r="L79" s="249"/>
      <c r="M79" s="249"/>
      <c r="N79" s="258">
        <f>Master20[[#This Row],[Design $ (Add/Deduct)]]+Master20[[#This Row],[Construction $ (Add/Ded)]]</f>
        <v>0</v>
      </c>
      <c r="O79" s="256">
        <v>8000000</v>
      </c>
      <c r="P79" s="301">
        <v>2018</v>
      </c>
      <c r="Q79" s="300" t="s">
        <v>46</v>
      </c>
      <c r="R79" s="301">
        <f t="shared" si="15"/>
        <v>50</v>
      </c>
      <c r="S79" s="302">
        <v>2</v>
      </c>
      <c r="T79" s="299">
        <f t="shared" si="13"/>
        <v>6</v>
      </c>
      <c r="U79" s="302" t="s">
        <v>37</v>
      </c>
      <c r="V79" s="302">
        <f>VLOOKUP(U79,Urgency,2,FALSE)</f>
        <v>3</v>
      </c>
      <c r="W79" s="302" t="s">
        <v>34</v>
      </c>
      <c r="X79" s="302">
        <v>-1</v>
      </c>
      <c r="Y79" s="302">
        <v>0</v>
      </c>
      <c r="Z79" s="302">
        <v>0</v>
      </c>
      <c r="AA79" s="302">
        <v>0</v>
      </c>
      <c r="AB79" s="302">
        <v>-2</v>
      </c>
      <c r="AC79" s="302">
        <v>0</v>
      </c>
      <c r="AD79" s="302">
        <v>-3</v>
      </c>
      <c r="AE79" s="302"/>
      <c r="AF79" s="303" t="s">
        <v>29</v>
      </c>
      <c r="AG79" s="305">
        <f>VLOOKUP(Master20[[#This Row],[Elevated Priority]],Epriority,2,)</f>
        <v>0</v>
      </c>
      <c r="AH79" s="321">
        <f>IF(Master20[[#This Row],[Status]]="Active",Master20[[#This Row],[Status_Score]],IF(D79="","",R79+H79+T79+V79+AG79+AE79+Master20[[#This Row],[Risk Mitigation]]+Master20[[#This Row],[Master Plan]]+Master20[[#This Row],[Community Request]]+Master20[[#This Row],[Community need]]+Master20[[#This Row],[Offset Aging Inf.]]+Master20[[#This Row],[Energy Savings]]+Master20[[#This Row],[Gen Revenue]]-5))</f>
        <v>48</v>
      </c>
      <c r="AI79" s="302"/>
      <c r="AJ79" s="302">
        <v>2022</v>
      </c>
      <c r="AK79" s="302">
        <v>2024</v>
      </c>
      <c r="AL79" s="302">
        <v>2024</v>
      </c>
      <c r="AM79" s="302">
        <v>2025</v>
      </c>
      <c r="AN79" s="300"/>
      <c r="AO79" s="306"/>
      <c r="AP79" s="306"/>
      <c r="AQ79" s="306"/>
      <c r="AR79" s="306"/>
      <c r="AS79" s="306"/>
      <c r="AT79" s="306"/>
      <c r="AU79" s="306"/>
      <c r="AV79" s="306"/>
      <c r="AW79" s="306"/>
      <c r="AX79" s="306"/>
      <c r="AY79" s="306"/>
      <c r="AZ79" s="306"/>
      <c r="BA79" s="306"/>
      <c r="BB79" s="306"/>
      <c r="BC79" s="306"/>
      <c r="BD79" s="306"/>
      <c r="BE79" s="306"/>
      <c r="BF79" s="306"/>
      <c r="BG79" s="306"/>
      <c r="BH79" s="306"/>
      <c r="BI79" s="306"/>
      <c r="BJ79" s="306"/>
      <c r="BK79" s="306"/>
      <c r="BL79" s="306"/>
      <c r="BM79" s="306"/>
      <c r="BN79" s="306"/>
      <c r="BO79" s="306"/>
    </row>
    <row r="80" spans="1:67" s="298" customFormat="1" ht="60" hidden="1" x14ac:dyDescent="0.25">
      <c r="A80" s="307">
        <f t="shared" si="12"/>
        <v>79</v>
      </c>
      <c r="B80" s="378" t="s">
        <v>94</v>
      </c>
      <c r="C80" s="300" t="s">
        <v>1045</v>
      </c>
      <c r="D80" s="300" t="s">
        <v>611</v>
      </c>
      <c r="E80" s="300" t="s">
        <v>612</v>
      </c>
      <c r="F80" s="300" t="s">
        <v>879</v>
      </c>
      <c r="G80" s="300" t="s">
        <v>29</v>
      </c>
      <c r="H80" s="300">
        <f t="shared" si="14"/>
        <v>0</v>
      </c>
      <c r="I80" s="249"/>
      <c r="J80" s="249"/>
      <c r="K80" s="249">
        <f>Master20[[#This Row],[Initial Budget]]-Master20[[#This Row],[Previously Committed Funds]]</f>
        <v>0</v>
      </c>
      <c r="L80" s="249"/>
      <c r="M80" s="249"/>
      <c r="N80" s="258">
        <f>Master20[[#This Row],[Design $ (Add/Deduct)]]+Master20[[#This Row],[Construction $ (Add/Ded)]]</f>
        <v>0</v>
      </c>
      <c r="O80" s="256">
        <v>250000</v>
      </c>
      <c r="P80" s="301">
        <v>2019</v>
      </c>
      <c r="Q80" s="300" t="s">
        <v>688</v>
      </c>
      <c r="R80" s="301">
        <f t="shared" si="15"/>
        <v>20</v>
      </c>
      <c r="S80" s="302">
        <v>27</v>
      </c>
      <c r="T80" s="299">
        <f t="shared" si="13"/>
        <v>30</v>
      </c>
      <c r="U80" s="302" t="s">
        <v>41</v>
      </c>
      <c r="V80" s="302">
        <f>VLOOKUP(U80,Urgency,2,FALSE)</f>
        <v>4</v>
      </c>
      <c r="W80" s="302" t="s">
        <v>30</v>
      </c>
      <c r="X80" s="302">
        <v>0</v>
      </c>
      <c r="Y80" s="302">
        <v>0</v>
      </c>
      <c r="Z80" s="302">
        <v>0</v>
      </c>
      <c r="AA80" s="302">
        <v>0</v>
      </c>
      <c r="AB80" s="302">
        <v>0</v>
      </c>
      <c r="AC80" s="302">
        <v>0</v>
      </c>
      <c r="AD80" s="302">
        <v>0</v>
      </c>
      <c r="AE80" s="302"/>
      <c r="AF80" s="303" t="s">
        <v>29</v>
      </c>
      <c r="AG80" s="305">
        <f>VLOOKUP(Master20[[#This Row],[Elevated Priority]],Epriority,2,)</f>
        <v>0</v>
      </c>
      <c r="AH80" s="321">
        <f>IF(Master20[[#This Row],[Status]]="Active",Master20[[#This Row],[Status_Score]],IF(D80="","",R80+H80+T80+V80+AG80+AE80+Master20[[#This Row],[Risk Mitigation]]+Master20[[#This Row],[Master Plan]]+Master20[[#This Row],[Community Request]]+Master20[[#This Row],[Community need]]+Master20[[#This Row],[Offset Aging Inf.]]+Master20[[#This Row],[Energy Savings]]+Master20[[#This Row],[Gen Revenue]]-5))</f>
        <v>49</v>
      </c>
      <c r="AI80" s="302"/>
      <c r="AJ80" s="302">
        <v>2022</v>
      </c>
      <c r="AK80" s="302">
        <v>2023</v>
      </c>
      <c r="AL80" s="302">
        <v>2024</v>
      </c>
      <c r="AM80" s="302">
        <v>2025</v>
      </c>
      <c r="AN80" s="300"/>
      <c r="AO80" s="306"/>
      <c r="AP80" s="306"/>
      <c r="AQ80" s="306"/>
      <c r="AR80" s="306"/>
      <c r="AS80" s="306"/>
      <c r="AT80" s="306"/>
      <c r="AU80" s="306"/>
      <c r="AV80" s="306"/>
      <c r="AW80" s="306"/>
      <c r="AX80" s="306"/>
      <c r="AY80" s="306"/>
      <c r="AZ80" s="306"/>
      <c r="BA80" s="306"/>
      <c r="BB80" s="306"/>
      <c r="BC80" s="306"/>
      <c r="BD80" s="306"/>
      <c r="BE80" s="306"/>
      <c r="BF80" s="306"/>
      <c r="BG80" s="306"/>
      <c r="BH80" s="306"/>
      <c r="BI80" s="306"/>
      <c r="BJ80" s="306"/>
      <c r="BK80" s="306"/>
      <c r="BL80" s="306"/>
      <c r="BM80" s="306"/>
      <c r="BN80" s="306"/>
      <c r="BO80" s="306"/>
    </row>
    <row r="81" spans="1:67" s="298" customFormat="1" ht="60" hidden="1" x14ac:dyDescent="0.25">
      <c r="A81" s="307">
        <f t="shared" si="12"/>
        <v>80</v>
      </c>
      <c r="B81" s="300" t="s">
        <v>1211</v>
      </c>
      <c r="C81" s="300" t="s">
        <v>1201</v>
      </c>
      <c r="D81" s="300" t="s">
        <v>1135</v>
      </c>
      <c r="E81" s="300" t="s">
        <v>1142</v>
      </c>
      <c r="F81" s="300"/>
      <c r="G81" s="300" t="s">
        <v>29</v>
      </c>
      <c r="H81" s="300">
        <f t="shared" si="14"/>
        <v>0</v>
      </c>
      <c r="I81" s="249"/>
      <c r="J81" s="249"/>
      <c r="K81" s="249">
        <f>Master20[[#This Row],[Initial Budget]]-Master20[[#This Row],[Previously Committed Funds]]</f>
        <v>0</v>
      </c>
      <c r="L81" s="249"/>
      <c r="M81" s="249"/>
      <c r="N81" s="258">
        <f>Master20[[#This Row],[Design $ (Add/Deduct)]]+Master20[[#This Row],[Construction $ (Add/Ded)]]</f>
        <v>0</v>
      </c>
      <c r="O81" s="256">
        <v>5000000</v>
      </c>
      <c r="P81" s="301">
        <v>2019</v>
      </c>
      <c r="Q81" s="300" t="s">
        <v>46</v>
      </c>
      <c r="R81" s="301">
        <f t="shared" si="15"/>
        <v>50</v>
      </c>
      <c r="S81" s="302">
        <v>4</v>
      </c>
      <c r="T81" s="299">
        <f t="shared" si="13"/>
        <v>12</v>
      </c>
      <c r="U81" s="302" t="s">
        <v>43</v>
      </c>
      <c r="V81" s="302"/>
      <c r="W81" s="302" t="s">
        <v>34</v>
      </c>
      <c r="X81" s="302">
        <v>0</v>
      </c>
      <c r="Y81" s="302">
        <v>0</v>
      </c>
      <c r="Z81" s="302">
        <v>-3</v>
      </c>
      <c r="AA81" s="302">
        <v>-3</v>
      </c>
      <c r="AB81" s="302">
        <v>-2</v>
      </c>
      <c r="AC81" s="302">
        <v>0</v>
      </c>
      <c r="AD81" s="302">
        <v>0</v>
      </c>
      <c r="AE81" s="302"/>
      <c r="AF81" s="303" t="s">
        <v>29</v>
      </c>
      <c r="AG81" s="305">
        <f>VLOOKUP(Master20[[#This Row],[Elevated Priority]],Epriority,2,)</f>
        <v>0</v>
      </c>
      <c r="AH81" s="321">
        <f>IF(Master20[[#This Row],[Status]]="Active",Master20[[#This Row],[Status_Score]],IF(D81="","",R81+H81+T81+V81+AG81+AE81+Master20[[#This Row],[Risk Mitigation]]+Master20[[#This Row],[Master Plan]]+Master20[[#This Row],[Community Request]]+Master20[[#This Row],[Community need]]+Master20[[#This Row],[Offset Aging Inf.]]+Master20[[#This Row],[Energy Savings]]+Master20[[#This Row],[Gen Revenue]]-5))</f>
        <v>49</v>
      </c>
      <c r="AI81" s="302"/>
      <c r="AJ81" s="302">
        <v>2022</v>
      </c>
      <c r="AK81" s="302">
        <v>2024</v>
      </c>
      <c r="AL81" s="302">
        <v>2024</v>
      </c>
      <c r="AM81" s="302">
        <v>2026</v>
      </c>
      <c r="AN81" s="300"/>
      <c r="AO81" s="306"/>
      <c r="AP81" s="306"/>
      <c r="AQ81" s="306"/>
      <c r="AR81" s="306"/>
      <c r="AS81" s="306"/>
      <c r="AT81" s="306"/>
      <c r="AU81" s="306"/>
      <c r="AV81" s="306"/>
      <c r="AW81" s="306"/>
      <c r="AX81" s="306"/>
      <c r="AY81" s="306"/>
      <c r="AZ81" s="306"/>
      <c r="BA81" s="306"/>
      <c r="BB81" s="306"/>
      <c r="BC81" s="306"/>
      <c r="BD81" s="306"/>
      <c r="BE81" s="306"/>
      <c r="BF81" s="306"/>
      <c r="BG81" s="306"/>
      <c r="BH81" s="306"/>
      <c r="BI81" s="306"/>
      <c r="BJ81" s="306"/>
      <c r="BK81" s="306"/>
      <c r="BL81" s="306"/>
      <c r="BM81" s="306"/>
      <c r="BN81" s="306"/>
      <c r="BO81" s="306"/>
    </row>
    <row r="82" spans="1:67" s="298" customFormat="1" ht="30" x14ac:dyDescent="0.25">
      <c r="A82" s="307">
        <f t="shared" si="12"/>
        <v>81</v>
      </c>
      <c r="B82" s="300" t="s">
        <v>214</v>
      </c>
      <c r="C82" s="300" t="s">
        <v>1045</v>
      </c>
      <c r="D82" s="300" t="s">
        <v>447</v>
      </c>
      <c r="E82" s="300" t="s">
        <v>448</v>
      </c>
      <c r="F82" s="300" t="s">
        <v>449</v>
      </c>
      <c r="G82" s="300" t="s">
        <v>29</v>
      </c>
      <c r="H82" s="300">
        <f t="shared" si="14"/>
        <v>0</v>
      </c>
      <c r="I82" s="249"/>
      <c r="J82" s="249"/>
      <c r="K82" s="249">
        <f>Master20[[#This Row],[Initial Budget]]-Master20[[#This Row],[Previously Committed Funds]]</f>
        <v>0</v>
      </c>
      <c r="L82" s="249"/>
      <c r="M82" s="249"/>
      <c r="N82" s="258">
        <f>Master20[[#This Row],[Design $ (Add/Deduct)]]+Master20[[#This Row],[Construction $ (Add/Ded)]]</f>
        <v>0</v>
      </c>
      <c r="O82" s="256">
        <v>200000</v>
      </c>
      <c r="P82" s="301">
        <v>2024</v>
      </c>
      <c r="Q82" s="300" t="s">
        <v>688</v>
      </c>
      <c r="R82" s="301">
        <f t="shared" si="15"/>
        <v>20</v>
      </c>
      <c r="S82" s="302">
        <v>1</v>
      </c>
      <c r="T82" s="299">
        <f t="shared" si="13"/>
        <v>3</v>
      </c>
      <c r="U82" s="302" t="s">
        <v>41</v>
      </c>
      <c r="V82" s="302">
        <f>VLOOKUP(U82,Urgency,2,FALSE)</f>
        <v>4</v>
      </c>
      <c r="W82" s="302" t="s">
        <v>30</v>
      </c>
      <c r="X82" s="302">
        <v>0</v>
      </c>
      <c r="Y82" s="302">
        <v>0</v>
      </c>
      <c r="Z82" s="302">
        <v>0</v>
      </c>
      <c r="AA82" s="302">
        <v>0</v>
      </c>
      <c r="AB82" s="302">
        <v>0</v>
      </c>
      <c r="AC82" s="302">
        <v>0</v>
      </c>
      <c r="AD82" s="302">
        <v>0</v>
      </c>
      <c r="AE82" s="302"/>
      <c r="AF82" s="303" t="s">
        <v>29</v>
      </c>
      <c r="AG82" s="305">
        <f>VLOOKUP(Master20[[#This Row],[Elevated Priority]],Epriority,2,)</f>
        <v>0</v>
      </c>
      <c r="AH82" s="321">
        <f>IF(Master20[[#This Row],[Status]]="Active",Master20[[#This Row],[Status_Score]],IF(D82="","",R82+H82+T82+V82+AG82+AE82+Master20[[#This Row],[Risk Mitigation]]+Master20[[#This Row],[Master Plan]]+Master20[[#This Row],[Community Request]]+Master20[[#This Row],[Community need]]+Master20[[#This Row],[Offset Aging Inf.]]+Master20[[#This Row],[Energy Savings]]+Master20[[#This Row],[Gen Revenue]]-5))</f>
        <v>22</v>
      </c>
      <c r="AI82" s="302"/>
      <c r="AJ82" s="302"/>
      <c r="AK82" s="302"/>
      <c r="AL82" s="302">
        <v>2024</v>
      </c>
      <c r="AM82" s="302">
        <v>2025</v>
      </c>
      <c r="AN82" s="300"/>
      <c r="AO82" s="306"/>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06"/>
    </row>
    <row r="83" spans="1:67" s="298" customFormat="1" ht="60" hidden="1" x14ac:dyDescent="0.25">
      <c r="A83" s="307">
        <f t="shared" si="12"/>
        <v>82</v>
      </c>
      <c r="B83" s="300" t="s">
        <v>67</v>
      </c>
      <c r="C83" s="300" t="s">
        <v>995</v>
      </c>
      <c r="D83" s="300" t="s">
        <v>393</v>
      </c>
      <c r="E83" s="300" t="s">
        <v>394</v>
      </c>
      <c r="F83" s="300" t="s">
        <v>395</v>
      </c>
      <c r="G83" s="300" t="s">
        <v>29</v>
      </c>
      <c r="H83" s="300">
        <f t="shared" si="14"/>
        <v>0</v>
      </c>
      <c r="I83" s="249"/>
      <c r="J83" s="249"/>
      <c r="K83" s="249">
        <f>Master20[[#This Row],[Initial Budget]]-Master20[[#This Row],[Previously Committed Funds]]</f>
        <v>0</v>
      </c>
      <c r="L83" s="249"/>
      <c r="M83" s="249"/>
      <c r="N83" s="258">
        <f>Master20[[#This Row],[Design $ (Add/Deduct)]]+Master20[[#This Row],[Construction $ (Add/Ded)]]</f>
        <v>0</v>
      </c>
      <c r="O83" s="256">
        <v>85000</v>
      </c>
      <c r="P83" s="301">
        <v>2018</v>
      </c>
      <c r="Q83" s="300" t="s">
        <v>688</v>
      </c>
      <c r="R83" s="301">
        <f t="shared" si="15"/>
        <v>20</v>
      </c>
      <c r="S83" s="302">
        <v>7</v>
      </c>
      <c r="T83" s="299">
        <f t="shared" si="13"/>
        <v>20</v>
      </c>
      <c r="U83" s="302" t="s">
        <v>43</v>
      </c>
      <c r="V83" s="302">
        <f>VLOOKUP(U83,Urgency,2,FALSE)</f>
        <v>16</v>
      </c>
      <c r="W83" s="302" t="s">
        <v>30</v>
      </c>
      <c r="X83" s="302">
        <v>0</v>
      </c>
      <c r="Y83" s="302">
        <v>0</v>
      </c>
      <c r="Z83" s="302">
        <v>0</v>
      </c>
      <c r="AA83" s="302">
        <v>0</v>
      </c>
      <c r="AB83" s="302">
        <v>0</v>
      </c>
      <c r="AC83" s="302">
        <v>0</v>
      </c>
      <c r="AD83" s="302">
        <v>0</v>
      </c>
      <c r="AE83" s="302"/>
      <c r="AF83" s="303" t="s">
        <v>29</v>
      </c>
      <c r="AG83" s="305">
        <f>VLOOKUP(Master20[[#This Row],[Elevated Priority]],Epriority,2,)</f>
        <v>0</v>
      </c>
      <c r="AH83" s="321">
        <f>IF(Master20[[#This Row],[Status]]="Active",Master20[[#This Row],[Status_Score]],IF(D83="","",R83+H83+T83+V83+AG83+AE83+Master20[[#This Row],[Risk Mitigation]]+Master20[[#This Row],[Master Plan]]+Master20[[#This Row],[Community Request]]+Master20[[#This Row],[Community need]]+Master20[[#This Row],[Offset Aging Inf.]]+Master20[[#This Row],[Energy Savings]]+Master20[[#This Row],[Gen Revenue]]-5))</f>
        <v>51</v>
      </c>
      <c r="AI83" s="302"/>
      <c r="AJ83" s="302">
        <v>2023</v>
      </c>
      <c r="AK83" s="302">
        <v>2024</v>
      </c>
      <c r="AL83" s="302">
        <v>2023</v>
      </c>
      <c r="AM83" s="302">
        <v>2024</v>
      </c>
      <c r="AN83" s="300"/>
      <c r="AO83" s="306"/>
      <c r="AP83" s="306"/>
      <c r="AQ83" s="306"/>
      <c r="AR83" s="306"/>
      <c r="AS83" s="306"/>
      <c r="AT83" s="306"/>
      <c r="AU83" s="306"/>
      <c r="AV83" s="306"/>
      <c r="AW83" s="306"/>
      <c r="AX83" s="306"/>
      <c r="AY83" s="306"/>
      <c r="AZ83" s="306"/>
      <c r="BA83" s="306"/>
      <c r="BB83" s="306"/>
      <c r="BC83" s="306"/>
      <c r="BD83" s="306"/>
      <c r="BE83" s="306"/>
      <c r="BF83" s="306"/>
      <c r="BG83" s="306"/>
      <c r="BH83" s="306"/>
      <c r="BI83" s="306"/>
      <c r="BJ83" s="306"/>
      <c r="BK83" s="306"/>
      <c r="BL83" s="306"/>
      <c r="BM83" s="306"/>
      <c r="BN83" s="306"/>
      <c r="BO83" s="306"/>
    </row>
    <row r="84" spans="1:67" s="298" customFormat="1" ht="60" hidden="1" x14ac:dyDescent="0.25">
      <c r="A84" s="307">
        <f t="shared" si="12"/>
        <v>83</v>
      </c>
      <c r="B84" s="378" t="s">
        <v>220</v>
      </c>
      <c r="C84" s="300" t="s">
        <v>1045</v>
      </c>
      <c r="D84" s="300" t="s">
        <v>339</v>
      </c>
      <c r="E84" s="300" t="s">
        <v>340</v>
      </c>
      <c r="F84" s="300" t="s">
        <v>341</v>
      </c>
      <c r="G84" s="300" t="s">
        <v>29</v>
      </c>
      <c r="H84" s="300">
        <f t="shared" si="14"/>
        <v>0</v>
      </c>
      <c r="I84" s="249"/>
      <c r="J84" s="249"/>
      <c r="K84" s="249">
        <f>Master20[[#This Row],[Initial Budget]]-Master20[[#This Row],[Previously Committed Funds]]</f>
        <v>0</v>
      </c>
      <c r="L84" s="249"/>
      <c r="M84" s="249"/>
      <c r="N84" s="258">
        <f>Master20[[#This Row],[Design $ (Add/Deduct)]]+Master20[[#This Row],[Construction $ (Add/Ded)]]</f>
        <v>0</v>
      </c>
      <c r="O84" s="256" t="s">
        <v>224</v>
      </c>
      <c r="P84" s="301">
        <v>2018</v>
      </c>
      <c r="Q84" s="300" t="s">
        <v>686</v>
      </c>
      <c r="R84" s="301">
        <f t="shared" si="15"/>
        <v>60</v>
      </c>
      <c r="S84" s="302">
        <v>1</v>
      </c>
      <c r="T84" s="299">
        <f t="shared" si="13"/>
        <v>3</v>
      </c>
      <c r="U84" s="302" t="s">
        <v>37</v>
      </c>
      <c r="V84" s="302">
        <f>VLOOKUP(U84,Urgency,2,FALSE)</f>
        <v>3</v>
      </c>
      <c r="W84" s="302" t="s">
        <v>34</v>
      </c>
      <c r="X84" s="302">
        <v>0</v>
      </c>
      <c r="Y84" s="302">
        <v>-5</v>
      </c>
      <c r="Z84" s="302">
        <v>-3</v>
      </c>
      <c r="AA84" s="302">
        <v>0</v>
      </c>
      <c r="AB84" s="302">
        <v>0</v>
      </c>
      <c r="AC84" s="302">
        <v>-1</v>
      </c>
      <c r="AD84" s="302">
        <v>-1</v>
      </c>
      <c r="AE84" s="302"/>
      <c r="AF84" s="303" t="s">
        <v>29</v>
      </c>
      <c r="AG84" s="305">
        <f>VLOOKUP(Master20[[#This Row],[Elevated Priority]],Epriority,2,)</f>
        <v>0</v>
      </c>
      <c r="AH84" s="321">
        <f>IF(Master20[[#This Row],[Status]]="Active",Master20[[#This Row],[Status_Score]],IF(D84="","",R84+H84+T84+V84+AG84+AE84+Master20[[#This Row],[Risk Mitigation]]+Master20[[#This Row],[Master Plan]]+Master20[[#This Row],[Community Request]]+Master20[[#This Row],[Community need]]+Master20[[#This Row],[Offset Aging Inf.]]+Master20[[#This Row],[Energy Savings]]+Master20[[#This Row],[Gen Revenue]]-5))</f>
        <v>51</v>
      </c>
      <c r="AI84" s="302"/>
      <c r="AJ84" s="302"/>
      <c r="AK84" s="302"/>
      <c r="AL84" s="302">
        <v>2023</v>
      </c>
      <c r="AM84" s="302">
        <v>2026</v>
      </c>
      <c r="AN84" s="300"/>
      <c r="AO84" s="306"/>
      <c r="AP84" s="306"/>
      <c r="AQ84" s="306"/>
      <c r="AR84" s="306"/>
      <c r="AS84" s="306"/>
      <c r="AT84" s="306"/>
      <c r="AU84" s="306"/>
      <c r="AV84" s="306"/>
      <c r="AW84" s="306"/>
      <c r="AX84" s="306"/>
      <c r="AY84" s="306"/>
      <c r="AZ84" s="306"/>
      <c r="BA84" s="306"/>
      <c r="BB84" s="306"/>
      <c r="BC84" s="306"/>
      <c r="BD84" s="306"/>
      <c r="BE84" s="306"/>
      <c r="BF84" s="306"/>
      <c r="BG84" s="306"/>
      <c r="BH84" s="306"/>
      <c r="BI84" s="306"/>
      <c r="BJ84" s="306"/>
      <c r="BK84" s="306"/>
      <c r="BL84" s="306"/>
      <c r="BM84" s="306"/>
      <c r="BN84" s="306"/>
      <c r="BO84" s="306"/>
    </row>
    <row r="85" spans="1:67" s="298" customFormat="1" ht="60" hidden="1" x14ac:dyDescent="0.25">
      <c r="A85" s="307">
        <f t="shared" si="12"/>
        <v>84</v>
      </c>
      <c r="B85" s="300" t="s">
        <v>94</v>
      </c>
      <c r="C85" s="300" t="s">
        <v>1045</v>
      </c>
      <c r="D85" s="300" t="s">
        <v>270</v>
      </c>
      <c r="E85" s="300" t="s">
        <v>271</v>
      </c>
      <c r="F85" s="300" t="s">
        <v>902</v>
      </c>
      <c r="G85" s="300" t="s">
        <v>29</v>
      </c>
      <c r="H85" s="300">
        <f t="shared" si="14"/>
        <v>0</v>
      </c>
      <c r="I85" s="249"/>
      <c r="J85" s="249"/>
      <c r="K85" s="249">
        <f>Master20[[#This Row],[Initial Budget]]-Master20[[#This Row],[Previously Committed Funds]]</f>
        <v>0</v>
      </c>
      <c r="L85" s="249"/>
      <c r="M85" s="249"/>
      <c r="N85" s="258">
        <f>Master20[[#This Row],[Design $ (Add/Deduct)]]+Master20[[#This Row],[Construction $ (Add/Ded)]]</f>
        <v>0</v>
      </c>
      <c r="O85" s="256">
        <v>5000</v>
      </c>
      <c r="P85" s="301">
        <v>2018</v>
      </c>
      <c r="Q85" s="300" t="s">
        <v>688</v>
      </c>
      <c r="R85" s="301">
        <f t="shared" si="15"/>
        <v>20</v>
      </c>
      <c r="S85" s="302">
        <v>34</v>
      </c>
      <c r="T85" s="299">
        <f t="shared" si="13"/>
        <v>33</v>
      </c>
      <c r="U85" s="302" t="s">
        <v>41</v>
      </c>
      <c r="V85" s="302">
        <f>VLOOKUP(U85,Urgency,2,FALSE)</f>
        <v>4</v>
      </c>
      <c r="W85" s="302" t="s">
        <v>30</v>
      </c>
      <c r="X85" s="302">
        <v>0</v>
      </c>
      <c r="Y85" s="302">
        <v>0</v>
      </c>
      <c r="Z85" s="302">
        <v>0</v>
      </c>
      <c r="AA85" s="302">
        <v>0</v>
      </c>
      <c r="AB85" s="302">
        <v>0</v>
      </c>
      <c r="AC85" s="302">
        <v>0</v>
      </c>
      <c r="AD85" s="302">
        <v>0</v>
      </c>
      <c r="AE85" s="302"/>
      <c r="AF85" s="303" t="s">
        <v>29</v>
      </c>
      <c r="AG85" s="305">
        <f>VLOOKUP(Master20[[#This Row],[Elevated Priority]],Epriority,2,)</f>
        <v>0</v>
      </c>
      <c r="AH85" s="321">
        <f>IF(Master20[[#This Row],[Status]]="Active",Master20[[#This Row],[Status_Score]],IF(D85="","",R85+H85+T85+V85+AG85+AE85+Master20[[#This Row],[Risk Mitigation]]+Master20[[#This Row],[Master Plan]]+Master20[[#This Row],[Community Request]]+Master20[[#This Row],[Community need]]+Master20[[#This Row],[Offset Aging Inf.]]+Master20[[#This Row],[Energy Savings]]+Master20[[#This Row],[Gen Revenue]]-5))</f>
        <v>52</v>
      </c>
      <c r="AI85" s="302"/>
      <c r="AJ85" s="302">
        <v>2023</v>
      </c>
      <c r="AK85" s="302">
        <v>2024</v>
      </c>
      <c r="AL85" s="302">
        <v>2023</v>
      </c>
      <c r="AM85" s="302">
        <v>2024</v>
      </c>
      <c r="AN85" s="300"/>
      <c r="AO85" s="306"/>
      <c r="AP85" s="306"/>
      <c r="AQ85" s="306"/>
      <c r="AR85" s="306"/>
      <c r="AS85" s="306"/>
      <c r="AT85" s="306"/>
      <c r="AU85" s="306"/>
      <c r="AV85" s="306"/>
      <c r="AW85" s="306"/>
      <c r="AX85" s="306"/>
      <c r="AY85" s="306"/>
      <c r="AZ85" s="306"/>
      <c r="BA85" s="306"/>
      <c r="BB85" s="306"/>
      <c r="BC85" s="306"/>
      <c r="BD85" s="306"/>
      <c r="BE85" s="306"/>
      <c r="BF85" s="306"/>
      <c r="BG85" s="306"/>
      <c r="BH85" s="306"/>
      <c r="BI85" s="306"/>
      <c r="BJ85" s="306"/>
      <c r="BK85" s="306"/>
      <c r="BL85" s="306"/>
      <c r="BM85" s="306"/>
      <c r="BN85" s="306"/>
      <c r="BO85" s="306"/>
    </row>
    <row r="86" spans="1:67" s="298" customFormat="1" ht="60" hidden="1" x14ac:dyDescent="0.25">
      <c r="A86" s="307">
        <f t="shared" si="12"/>
        <v>85</v>
      </c>
      <c r="B86" s="378" t="s">
        <v>1211</v>
      </c>
      <c r="C86" s="300" t="s">
        <v>1201</v>
      </c>
      <c r="D86" s="300" t="s">
        <v>1136</v>
      </c>
      <c r="E86" s="300" t="s">
        <v>1137</v>
      </c>
      <c r="F86" s="300"/>
      <c r="G86" s="300" t="s">
        <v>29</v>
      </c>
      <c r="H86" s="300">
        <f t="shared" si="14"/>
        <v>0</v>
      </c>
      <c r="I86" s="249"/>
      <c r="J86" s="249"/>
      <c r="K86" s="249">
        <f>Master20[[#This Row],[Initial Budget]]-Master20[[#This Row],[Previously Committed Funds]]</f>
        <v>0</v>
      </c>
      <c r="L86" s="249"/>
      <c r="M86" s="249"/>
      <c r="N86" s="258">
        <f>Master20[[#This Row],[Design $ (Add/Deduct)]]+Master20[[#This Row],[Construction $ (Add/Ded)]]</f>
        <v>0</v>
      </c>
      <c r="O86" s="256">
        <v>5000000</v>
      </c>
      <c r="P86" s="301">
        <v>2019</v>
      </c>
      <c r="Q86" s="300" t="s">
        <v>46</v>
      </c>
      <c r="R86" s="301">
        <f t="shared" si="15"/>
        <v>50</v>
      </c>
      <c r="S86" s="302">
        <v>5</v>
      </c>
      <c r="T86" s="299">
        <f t="shared" si="13"/>
        <v>15</v>
      </c>
      <c r="U86" s="302" t="s">
        <v>45</v>
      </c>
      <c r="V86" s="302"/>
      <c r="W86" s="302" t="s">
        <v>34</v>
      </c>
      <c r="X86" s="302">
        <v>0</v>
      </c>
      <c r="Y86" s="302">
        <v>0</v>
      </c>
      <c r="Z86" s="302">
        <v>-3</v>
      </c>
      <c r="AA86" s="302">
        <v>-3</v>
      </c>
      <c r="AB86" s="302">
        <v>-2</v>
      </c>
      <c r="AC86" s="302">
        <v>0</v>
      </c>
      <c r="AD86" s="302">
        <v>0</v>
      </c>
      <c r="AE86" s="302"/>
      <c r="AF86" s="303" t="s">
        <v>29</v>
      </c>
      <c r="AG86" s="305">
        <f>VLOOKUP(Master20[[#This Row],[Elevated Priority]],Epriority,2,)</f>
        <v>0</v>
      </c>
      <c r="AH86" s="321">
        <f>IF(Master20[[#This Row],[Status]]="Active",Master20[[#This Row],[Status_Score]],IF(D86="","",R86+H86+T86+V86+AG86+AE86+Master20[[#This Row],[Risk Mitigation]]+Master20[[#This Row],[Master Plan]]+Master20[[#This Row],[Community Request]]+Master20[[#This Row],[Community need]]+Master20[[#This Row],[Offset Aging Inf.]]+Master20[[#This Row],[Energy Savings]]+Master20[[#This Row],[Gen Revenue]]-5))</f>
        <v>52</v>
      </c>
      <c r="AI86" s="302"/>
      <c r="AJ86" s="302">
        <v>2023</v>
      </c>
      <c r="AK86" s="302">
        <v>2024</v>
      </c>
      <c r="AL86" s="302">
        <v>2025</v>
      </c>
      <c r="AM86" s="302">
        <v>2027</v>
      </c>
      <c r="AN86" s="300"/>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row>
    <row r="87" spans="1:67" s="298" customFormat="1" ht="60" hidden="1" x14ac:dyDescent="0.25">
      <c r="A87" s="307">
        <f t="shared" si="12"/>
        <v>86</v>
      </c>
      <c r="B87" s="300" t="s">
        <v>67</v>
      </c>
      <c r="C87" s="300" t="s">
        <v>159</v>
      </c>
      <c r="D87" s="300" t="s">
        <v>416</v>
      </c>
      <c r="E87" s="300" t="s">
        <v>417</v>
      </c>
      <c r="F87" s="300" t="s">
        <v>418</v>
      </c>
      <c r="G87" s="300" t="s">
        <v>29</v>
      </c>
      <c r="H87" s="300">
        <f t="shared" si="14"/>
        <v>0</v>
      </c>
      <c r="I87" s="249"/>
      <c r="J87" s="249"/>
      <c r="K87" s="249">
        <f>Master20[[#This Row],[Initial Budget]]-Master20[[#This Row],[Previously Committed Funds]]</f>
        <v>0</v>
      </c>
      <c r="L87" s="249"/>
      <c r="M87" s="249"/>
      <c r="N87" s="258">
        <f>Master20[[#This Row],[Design $ (Add/Deduct)]]+Master20[[#This Row],[Construction $ (Add/Ded)]]</f>
        <v>0</v>
      </c>
      <c r="O87" s="256">
        <v>45000</v>
      </c>
      <c r="P87" s="301">
        <v>2018</v>
      </c>
      <c r="Q87" s="300" t="s">
        <v>687</v>
      </c>
      <c r="R87" s="301">
        <f t="shared" si="15"/>
        <v>30</v>
      </c>
      <c r="S87" s="302">
        <v>4</v>
      </c>
      <c r="T87" s="299">
        <f t="shared" si="13"/>
        <v>12</v>
      </c>
      <c r="U87" s="302" t="s">
        <v>43</v>
      </c>
      <c r="V87" s="302">
        <f t="shared" ref="V87:V105" si="16">VLOOKUP(U87,Urgency,2,FALSE)</f>
        <v>16</v>
      </c>
      <c r="W87" s="302" t="s">
        <v>30</v>
      </c>
      <c r="X87" s="302">
        <v>0</v>
      </c>
      <c r="Y87" s="302">
        <v>0</v>
      </c>
      <c r="Z87" s="302">
        <v>0</v>
      </c>
      <c r="AA87" s="302">
        <v>0</v>
      </c>
      <c r="AB87" s="302">
        <v>0</v>
      </c>
      <c r="AC87" s="302">
        <v>0</v>
      </c>
      <c r="AD87" s="302">
        <v>0</v>
      </c>
      <c r="AE87" s="302"/>
      <c r="AF87" s="303" t="s">
        <v>29</v>
      </c>
      <c r="AG87" s="305">
        <f>VLOOKUP(Master20[[#This Row],[Elevated Priority]],Epriority,2,)</f>
        <v>0</v>
      </c>
      <c r="AH87" s="321">
        <f>IF(Master20[[#This Row],[Status]]="Active",Master20[[#This Row],[Status_Score]],IF(D87="","",R87+H87+T87+V87+AG87+AE87+Master20[[#This Row],[Risk Mitigation]]+Master20[[#This Row],[Master Plan]]+Master20[[#This Row],[Community Request]]+Master20[[#This Row],[Community need]]+Master20[[#This Row],[Offset Aging Inf.]]+Master20[[#This Row],[Energy Savings]]+Master20[[#This Row],[Gen Revenue]]-5))</f>
        <v>53</v>
      </c>
      <c r="AI87" s="302"/>
      <c r="AJ87" s="302">
        <v>2021</v>
      </c>
      <c r="AK87" s="302">
        <v>2022</v>
      </c>
      <c r="AL87" s="302">
        <v>2024</v>
      </c>
      <c r="AM87" s="302">
        <v>2025</v>
      </c>
      <c r="AN87" s="300"/>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306"/>
      <c r="BN87" s="306"/>
      <c r="BO87" s="306"/>
    </row>
    <row r="88" spans="1:67" s="298" customFormat="1" ht="60" hidden="1" x14ac:dyDescent="0.25">
      <c r="A88" s="307">
        <f t="shared" si="12"/>
        <v>87</v>
      </c>
      <c r="B88" s="378" t="s">
        <v>1200</v>
      </c>
      <c r="C88" s="300" t="s">
        <v>1045</v>
      </c>
      <c r="D88" s="300" t="s">
        <v>796</v>
      </c>
      <c r="E88" s="300" t="s">
        <v>808</v>
      </c>
      <c r="F88" s="300" t="s">
        <v>907</v>
      </c>
      <c r="G88" s="300" t="s">
        <v>29</v>
      </c>
      <c r="H88" s="300">
        <f t="shared" si="14"/>
        <v>0</v>
      </c>
      <c r="I88" s="249"/>
      <c r="J88" s="249"/>
      <c r="K88" s="249">
        <f>Master20[[#This Row],[Initial Budget]]-Master20[[#This Row],[Previously Committed Funds]]</f>
        <v>0</v>
      </c>
      <c r="L88" s="249"/>
      <c r="M88" s="249"/>
      <c r="N88" s="258">
        <f>Master20[[#This Row],[Design $ (Add/Deduct)]]+Master20[[#This Row],[Construction $ (Add/Ded)]]</f>
        <v>0</v>
      </c>
      <c r="O88" s="256">
        <v>350000</v>
      </c>
      <c r="P88" s="301">
        <v>2020</v>
      </c>
      <c r="Q88" s="300" t="s">
        <v>46</v>
      </c>
      <c r="R88" s="301">
        <f t="shared" si="15"/>
        <v>50</v>
      </c>
      <c r="S88" s="302">
        <v>2</v>
      </c>
      <c r="T88" s="299">
        <f t="shared" si="13"/>
        <v>6</v>
      </c>
      <c r="U88" s="302" t="s">
        <v>41</v>
      </c>
      <c r="V88" s="302">
        <f t="shared" si="16"/>
        <v>4</v>
      </c>
      <c r="W88" s="302" t="s">
        <v>34</v>
      </c>
      <c r="X88" s="302">
        <v>0</v>
      </c>
      <c r="Y88" s="302">
        <v>0</v>
      </c>
      <c r="Z88" s="302">
        <v>0</v>
      </c>
      <c r="AA88" s="302">
        <v>0</v>
      </c>
      <c r="AB88" s="302">
        <v>0</v>
      </c>
      <c r="AC88" s="302">
        <v>0</v>
      </c>
      <c r="AD88" s="302">
        <v>0</v>
      </c>
      <c r="AE88" s="302"/>
      <c r="AF88" s="303" t="s">
        <v>29</v>
      </c>
      <c r="AG88" s="305">
        <f>VLOOKUP(Master20[[#This Row],[Elevated Priority]],Epriority,2,)</f>
        <v>0</v>
      </c>
      <c r="AH88" s="321">
        <f>IF(Master20[[#This Row],[Status]]="Active",Master20[[#This Row],[Status_Score]],IF(D88="","",R88+H88+T88+V88+AG88+AE88+Master20[[#This Row],[Risk Mitigation]]+Master20[[#This Row],[Master Plan]]+Master20[[#This Row],[Community Request]]+Master20[[#This Row],[Community need]]+Master20[[#This Row],[Offset Aging Inf.]]+Master20[[#This Row],[Energy Savings]]+Master20[[#This Row],[Gen Revenue]]-5))</f>
        <v>55</v>
      </c>
      <c r="AI88" s="302"/>
      <c r="AJ88" s="302">
        <v>2024</v>
      </c>
      <c r="AK88" s="302">
        <v>2025</v>
      </c>
      <c r="AL88" s="302">
        <v>2024</v>
      </c>
      <c r="AM88" s="302">
        <v>2025</v>
      </c>
      <c r="AN88" s="300"/>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6"/>
    </row>
    <row r="89" spans="1:67" s="298" customFormat="1" ht="60" hidden="1" x14ac:dyDescent="0.25">
      <c r="A89" s="307">
        <f t="shared" si="12"/>
        <v>88</v>
      </c>
      <c r="B89" s="300" t="s">
        <v>1200</v>
      </c>
      <c r="C89" s="300" t="s">
        <v>1045</v>
      </c>
      <c r="D89" s="300" t="s">
        <v>795</v>
      </c>
      <c r="E89" s="300" t="s">
        <v>442</v>
      </c>
      <c r="F89" s="300" t="s">
        <v>443</v>
      </c>
      <c r="G89" s="300" t="s">
        <v>29</v>
      </c>
      <c r="H89" s="300">
        <f t="shared" si="14"/>
        <v>0</v>
      </c>
      <c r="I89" s="249"/>
      <c r="J89" s="249"/>
      <c r="K89" s="249">
        <f>Master20[[#This Row],[Initial Budget]]-Master20[[#This Row],[Previously Committed Funds]]</f>
        <v>0</v>
      </c>
      <c r="L89" s="249"/>
      <c r="M89" s="249"/>
      <c r="N89" s="258">
        <f>Master20[[#This Row],[Design $ (Add/Deduct)]]+Master20[[#This Row],[Construction $ (Add/Ded)]]</f>
        <v>0</v>
      </c>
      <c r="O89" s="256">
        <v>100000</v>
      </c>
      <c r="P89" s="301">
        <v>2018</v>
      </c>
      <c r="Q89" s="300" t="s">
        <v>687</v>
      </c>
      <c r="R89" s="301">
        <f t="shared" si="15"/>
        <v>30</v>
      </c>
      <c r="S89" s="302">
        <v>5</v>
      </c>
      <c r="T89" s="299">
        <f t="shared" si="13"/>
        <v>15</v>
      </c>
      <c r="U89" s="302" t="s">
        <v>43</v>
      </c>
      <c r="V89" s="302">
        <f t="shared" si="16"/>
        <v>16</v>
      </c>
      <c r="W89" s="302" t="s">
        <v>30</v>
      </c>
      <c r="X89" s="302">
        <v>0</v>
      </c>
      <c r="Y89" s="302">
        <v>0</v>
      </c>
      <c r="Z89" s="302">
        <v>0</v>
      </c>
      <c r="AA89" s="302">
        <v>0</v>
      </c>
      <c r="AB89" s="302">
        <v>0</v>
      </c>
      <c r="AC89" s="302">
        <v>0</v>
      </c>
      <c r="AD89" s="302">
        <v>0</v>
      </c>
      <c r="AE89" s="302"/>
      <c r="AF89" s="303" t="s">
        <v>29</v>
      </c>
      <c r="AG89" s="305">
        <f>VLOOKUP(Master20[[#This Row],[Elevated Priority]],Epriority,2,)</f>
        <v>0</v>
      </c>
      <c r="AH89" s="321">
        <f>IF(Master20[[#This Row],[Status]]="Active",Master20[[#This Row],[Status_Score]],IF(D89="","",R89+H89+T89+V89+AG89+AE89+Master20[[#This Row],[Risk Mitigation]]+Master20[[#This Row],[Master Plan]]+Master20[[#This Row],[Community Request]]+Master20[[#This Row],[Community need]]+Master20[[#This Row],[Offset Aging Inf.]]+Master20[[#This Row],[Energy Savings]]+Master20[[#This Row],[Gen Revenue]]-5))</f>
        <v>56</v>
      </c>
      <c r="AI89" s="302"/>
      <c r="AJ89" s="302">
        <v>2024</v>
      </c>
      <c r="AK89" s="302">
        <v>2025</v>
      </c>
      <c r="AL89" s="302">
        <v>2024</v>
      </c>
      <c r="AM89" s="302">
        <v>2025</v>
      </c>
      <c r="AN89" s="300"/>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row>
    <row r="90" spans="1:67" s="298" customFormat="1" ht="60" hidden="1" x14ac:dyDescent="0.25">
      <c r="A90" s="307">
        <f t="shared" si="12"/>
        <v>89</v>
      </c>
      <c r="B90" s="378" t="s">
        <v>1196</v>
      </c>
      <c r="C90" s="300" t="s">
        <v>79</v>
      </c>
      <c r="D90" s="300" t="s">
        <v>254</v>
      </c>
      <c r="E90" s="300" t="s">
        <v>255</v>
      </c>
      <c r="F90" s="300" t="s">
        <v>256</v>
      </c>
      <c r="G90" s="300" t="s">
        <v>29</v>
      </c>
      <c r="H90" s="300">
        <f t="shared" si="14"/>
        <v>0</v>
      </c>
      <c r="I90" s="249"/>
      <c r="J90" s="249"/>
      <c r="K90" s="249">
        <f>Master20[[#This Row],[Initial Budget]]-Master20[[#This Row],[Previously Committed Funds]]</f>
        <v>0</v>
      </c>
      <c r="L90" s="249"/>
      <c r="M90" s="249"/>
      <c r="N90" s="258">
        <f>Master20[[#This Row],[Design $ (Add/Deduct)]]+Master20[[#This Row],[Construction $ (Add/Ded)]]</f>
        <v>0</v>
      </c>
      <c r="O90" s="256">
        <v>50000</v>
      </c>
      <c r="P90" s="301">
        <v>2018</v>
      </c>
      <c r="Q90" s="300" t="s">
        <v>688</v>
      </c>
      <c r="R90" s="301">
        <f t="shared" si="15"/>
        <v>20</v>
      </c>
      <c r="S90" s="302">
        <v>3</v>
      </c>
      <c r="T90" s="299">
        <f t="shared" si="13"/>
        <v>9</v>
      </c>
      <c r="U90" s="302" t="s">
        <v>45</v>
      </c>
      <c r="V90" s="302">
        <f t="shared" si="16"/>
        <v>32</v>
      </c>
      <c r="W90" s="302" t="s">
        <v>30</v>
      </c>
      <c r="X90" s="302">
        <v>0</v>
      </c>
      <c r="Y90" s="302">
        <v>0</v>
      </c>
      <c r="Z90" s="302">
        <v>0</v>
      </c>
      <c r="AA90" s="302">
        <v>0</v>
      </c>
      <c r="AB90" s="302">
        <v>0</v>
      </c>
      <c r="AC90" s="302">
        <v>0</v>
      </c>
      <c r="AD90" s="302">
        <v>0</v>
      </c>
      <c r="AE90" s="302"/>
      <c r="AF90" s="303" t="s">
        <v>29</v>
      </c>
      <c r="AG90" s="305">
        <f>VLOOKUP(Master20[[#This Row],[Elevated Priority]],Epriority,2,)</f>
        <v>0</v>
      </c>
      <c r="AH90" s="321">
        <f>IF(Master20[[#This Row],[Status]]="Active",Master20[[#This Row],[Status_Score]],IF(D90="","",R90+H90+T90+V90+AG90+AE90+Master20[[#This Row],[Risk Mitigation]]+Master20[[#This Row],[Master Plan]]+Master20[[#This Row],[Community Request]]+Master20[[#This Row],[Community need]]+Master20[[#This Row],[Offset Aging Inf.]]+Master20[[#This Row],[Energy Savings]]+Master20[[#This Row],[Gen Revenue]]-5))</f>
        <v>56</v>
      </c>
      <c r="AI90" s="302"/>
      <c r="AJ90" s="302">
        <v>2026</v>
      </c>
      <c r="AK90" s="302">
        <v>2027</v>
      </c>
      <c r="AL90" s="302">
        <v>2026</v>
      </c>
      <c r="AM90" s="302">
        <v>2027</v>
      </c>
      <c r="AN90" s="300" t="s">
        <v>1192</v>
      </c>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row>
    <row r="91" spans="1:67" s="298" customFormat="1" ht="60" hidden="1" x14ac:dyDescent="0.25">
      <c r="A91" s="307">
        <f t="shared" si="12"/>
        <v>90</v>
      </c>
      <c r="B91" s="300" t="s">
        <v>1213</v>
      </c>
      <c r="C91" s="300" t="s">
        <v>70</v>
      </c>
      <c r="D91" s="300" t="s">
        <v>516</v>
      </c>
      <c r="E91" s="300" t="s">
        <v>517</v>
      </c>
      <c r="F91" s="300" t="s">
        <v>518</v>
      </c>
      <c r="G91" s="300" t="s">
        <v>29</v>
      </c>
      <c r="H91" s="300">
        <f t="shared" si="14"/>
        <v>0</v>
      </c>
      <c r="I91" s="249"/>
      <c r="J91" s="249"/>
      <c r="K91" s="249">
        <f>Master20[[#This Row],[Initial Budget]]-Master20[[#This Row],[Previously Committed Funds]]</f>
        <v>0</v>
      </c>
      <c r="L91" s="249"/>
      <c r="M91" s="249"/>
      <c r="N91" s="258">
        <f>Master20[[#This Row],[Design $ (Add/Deduct)]]+Master20[[#This Row],[Construction $ (Add/Ded)]]</f>
        <v>0</v>
      </c>
      <c r="O91" s="256">
        <v>1500000</v>
      </c>
      <c r="P91" s="301">
        <v>2018</v>
      </c>
      <c r="Q91" s="300" t="s">
        <v>46</v>
      </c>
      <c r="R91" s="301">
        <f t="shared" si="15"/>
        <v>50</v>
      </c>
      <c r="S91" s="302">
        <v>3</v>
      </c>
      <c r="T91" s="299">
        <f t="shared" si="13"/>
        <v>9</v>
      </c>
      <c r="U91" s="302" t="s">
        <v>41</v>
      </c>
      <c r="V91" s="302">
        <f t="shared" si="16"/>
        <v>4</v>
      </c>
      <c r="W91" s="302" t="s">
        <v>34</v>
      </c>
      <c r="X91" s="302">
        <v>-1</v>
      </c>
      <c r="Y91" s="302">
        <v>0</v>
      </c>
      <c r="Z91" s="302">
        <v>0</v>
      </c>
      <c r="AA91" s="302">
        <v>0</v>
      </c>
      <c r="AB91" s="302">
        <v>0</v>
      </c>
      <c r="AC91" s="302">
        <v>0</v>
      </c>
      <c r="AD91" s="302">
        <v>0</v>
      </c>
      <c r="AE91" s="302"/>
      <c r="AF91" s="303" t="s">
        <v>29</v>
      </c>
      <c r="AG91" s="305">
        <f>VLOOKUP(Master20[[#This Row],[Elevated Priority]],Epriority,2,)</f>
        <v>0</v>
      </c>
      <c r="AH91" s="321">
        <f>IF(Master20[[#This Row],[Status]]="Active",Master20[[#This Row],[Status_Score]],IF(D91="","",R91+H91+T91+V91+AG91+AE91+Master20[[#This Row],[Risk Mitigation]]+Master20[[#This Row],[Master Plan]]+Master20[[#This Row],[Community Request]]+Master20[[#This Row],[Community need]]+Master20[[#This Row],[Offset Aging Inf.]]+Master20[[#This Row],[Energy Savings]]+Master20[[#This Row],[Gen Revenue]]-5))</f>
        <v>57</v>
      </c>
      <c r="AI91" s="302"/>
      <c r="AJ91" s="302"/>
      <c r="AK91" s="302"/>
      <c r="AL91" s="302">
        <v>2024</v>
      </c>
      <c r="AM91" s="302">
        <v>2026</v>
      </c>
      <c r="AN91" s="300"/>
      <c r="AO91" s="306"/>
      <c r="AP91" s="306"/>
      <c r="AQ91" s="306"/>
      <c r="AR91" s="306"/>
      <c r="AS91" s="306"/>
      <c r="AT91" s="306"/>
      <c r="AU91" s="306"/>
      <c r="AV91" s="306"/>
      <c r="AW91" s="306"/>
      <c r="AX91" s="306"/>
      <c r="AY91" s="306"/>
      <c r="AZ91" s="306"/>
      <c r="BA91" s="306"/>
      <c r="BB91" s="306"/>
      <c r="BC91" s="306"/>
      <c r="BD91" s="306"/>
      <c r="BE91" s="306"/>
      <c r="BF91" s="306"/>
      <c r="BG91" s="306"/>
      <c r="BH91" s="306"/>
      <c r="BI91" s="306"/>
      <c r="BJ91" s="306"/>
      <c r="BK91" s="306"/>
      <c r="BL91" s="306"/>
      <c r="BM91" s="306"/>
      <c r="BN91" s="306"/>
      <c r="BO91" s="306"/>
    </row>
    <row r="92" spans="1:67" s="298" customFormat="1" ht="60" hidden="1" x14ac:dyDescent="0.25">
      <c r="A92" s="307">
        <f t="shared" si="12"/>
        <v>91</v>
      </c>
      <c r="B92" s="378" t="s">
        <v>72</v>
      </c>
      <c r="C92" s="300" t="s">
        <v>1045</v>
      </c>
      <c r="D92" s="300" t="s">
        <v>336</v>
      </c>
      <c r="E92" s="300" t="s">
        <v>1076</v>
      </c>
      <c r="F92" s="300" t="s">
        <v>1077</v>
      </c>
      <c r="G92" s="300" t="s">
        <v>29</v>
      </c>
      <c r="H92" s="300">
        <f t="shared" si="14"/>
        <v>0</v>
      </c>
      <c r="I92" s="249"/>
      <c r="J92" s="249"/>
      <c r="K92" s="249">
        <f>Master20[[#This Row],[Initial Budget]]-Master20[[#This Row],[Previously Committed Funds]]</f>
        <v>0</v>
      </c>
      <c r="L92" s="249"/>
      <c r="M92" s="249"/>
      <c r="N92" s="258">
        <f>Master20[[#This Row],[Design $ (Add/Deduct)]]+Master20[[#This Row],[Construction $ (Add/Ded)]]</f>
        <v>0</v>
      </c>
      <c r="O92" s="256">
        <v>100000</v>
      </c>
      <c r="P92" s="301">
        <v>2018</v>
      </c>
      <c r="Q92" s="300" t="s">
        <v>686</v>
      </c>
      <c r="R92" s="301">
        <f t="shared" si="15"/>
        <v>60</v>
      </c>
      <c r="S92" s="302">
        <v>1</v>
      </c>
      <c r="T92" s="299">
        <f t="shared" si="13"/>
        <v>3</v>
      </c>
      <c r="U92" s="302" t="s">
        <v>37</v>
      </c>
      <c r="V92" s="302">
        <f t="shared" si="16"/>
        <v>3</v>
      </c>
      <c r="W92" s="302" t="s">
        <v>34</v>
      </c>
      <c r="X92" s="302">
        <v>0</v>
      </c>
      <c r="Y92" s="302">
        <v>0</v>
      </c>
      <c r="Z92" s="302">
        <v>0</v>
      </c>
      <c r="AA92" s="302">
        <v>0</v>
      </c>
      <c r="AB92" s="302">
        <v>0</v>
      </c>
      <c r="AC92" s="302">
        <v>0</v>
      </c>
      <c r="AD92" s="302">
        <v>-2</v>
      </c>
      <c r="AE92" s="302"/>
      <c r="AF92" s="303" t="s">
        <v>29</v>
      </c>
      <c r="AG92" s="305">
        <f>VLOOKUP(Master20[[#This Row],[Elevated Priority]],Epriority,2,)</f>
        <v>0</v>
      </c>
      <c r="AH92" s="321">
        <f>IF(Master20[[#This Row],[Status]]="Active",Master20[[#This Row],[Status_Score]],IF(D92="","",R92+H92+T92+V92+AG92+AE92+Master20[[#This Row],[Risk Mitigation]]+Master20[[#This Row],[Master Plan]]+Master20[[#This Row],[Community Request]]+Master20[[#This Row],[Community need]]+Master20[[#This Row],[Offset Aging Inf.]]+Master20[[#This Row],[Energy Savings]]+Master20[[#This Row],[Gen Revenue]]-5))</f>
        <v>59</v>
      </c>
      <c r="AI92" s="302"/>
      <c r="AJ92" s="302">
        <v>2023</v>
      </c>
      <c r="AK92" s="302">
        <v>2024</v>
      </c>
      <c r="AL92" s="302">
        <v>2023</v>
      </c>
      <c r="AM92" s="302">
        <v>2024</v>
      </c>
      <c r="AN92" s="300"/>
      <c r="AO92" s="306"/>
      <c r="AP92" s="306"/>
      <c r="AQ92" s="306"/>
      <c r="AR92" s="306"/>
      <c r="AS92" s="306"/>
      <c r="AT92" s="306"/>
      <c r="AU92" s="306"/>
      <c r="AV92" s="306"/>
      <c r="AW92" s="306"/>
      <c r="AX92" s="306"/>
      <c r="AY92" s="306"/>
      <c r="AZ92" s="306"/>
      <c r="BA92" s="306"/>
      <c r="BB92" s="306"/>
      <c r="BC92" s="306"/>
      <c r="BD92" s="306"/>
      <c r="BE92" s="306"/>
      <c r="BF92" s="306"/>
      <c r="BG92" s="306"/>
      <c r="BH92" s="306"/>
      <c r="BI92" s="306"/>
      <c r="BJ92" s="306"/>
      <c r="BK92" s="306"/>
      <c r="BL92" s="306"/>
      <c r="BM92" s="306"/>
      <c r="BN92" s="306"/>
      <c r="BO92" s="306"/>
    </row>
    <row r="93" spans="1:67" s="298" customFormat="1" ht="150" hidden="1" x14ac:dyDescent="0.25">
      <c r="A93" s="307">
        <f t="shared" si="12"/>
        <v>92</v>
      </c>
      <c r="B93" s="300" t="s">
        <v>1200</v>
      </c>
      <c r="C93" s="300" t="s">
        <v>1045</v>
      </c>
      <c r="D93" s="300" t="s">
        <v>1098</v>
      </c>
      <c r="E93" s="300" t="s">
        <v>1099</v>
      </c>
      <c r="F93" s="300"/>
      <c r="G93" s="300" t="s">
        <v>29</v>
      </c>
      <c r="H93" s="300"/>
      <c r="I93" s="249"/>
      <c r="J93" s="249"/>
      <c r="K93" s="249">
        <f>Master20[[#This Row],[Initial Budget]]-Master20[[#This Row],[Previously Committed Funds]]</f>
        <v>0</v>
      </c>
      <c r="L93" s="249"/>
      <c r="M93" s="249"/>
      <c r="N93" s="258">
        <f>Master20[[#This Row],[Design $ (Add/Deduct)]]+Master20[[#This Row],[Construction $ (Add/Ded)]]</f>
        <v>0</v>
      </c>
      <c r="O93" s="256">
        <v>233080</v>
      </c>
      <c r="P93" s="301">
        <v>2022</v>
      </c>
      <c r="Q93" s="300" t="s">
        <v>686</v>
      </c>
      <c r="R93" s="301">
        <f t="shared" si="15"/>
        <v>60</v>
      </c>
      <c r="S93" s="302">
        <v>1</v>
      </c>
      <c r="T93" s="299">
        <f t="shared" si="13"/>
        <v>3</v>
      </c>
      <c r="U93" s="302" t="s">
        <v>41</v>
      </c>
      <c r="V93" s="302">
        <f t="shared" si="16"/>
        <v>4</v>
      </c>
      <c r="W93" s="302" t="s">
        <v>34</v>
      </c>
      <c r="X93" s="302">
        <v>0</v>
      </c>
      <c r="Y93" s="302">
        <v>0</v>
      </c>
      <c r="Z93" s="302">
        <v>0</v>
      </c>
      <c r="AA93" s="302">
        <v>0</v>
      </c>
      <c r="AB93" s="302">
        <v>0</v>
      </c>
      <c r="AC93" s="302">
        <v>0</v>
      </c>
      <c r="AD93" s="302">
        <v>-3</v>
      </c>
      <c r="AE93" s="302"/>
      <c r="AF93" s="303" t="s">
        <v>29</v>
      </c>
      <c r="AG93" s="305">
        <f>VLOOKUP(Master20[[#This Row],[Elevated Priority]],Epriority,2,)</f>
        <v>0</v>
      </c>
      <c r="AH93" s="321">
        <f>IF(Master20[[#This Row],[Status]]="Active",Master20[[#This Row],[Status_Score]],IF(D93="","",R93+H93+T93+V93+AG93+AE93+Master20[[#This Row],[Risk Mitigation]]+Master20[[#This Row],[Master Plan]]+Master20[[#This Row],[Community Request]]+Master20[[#This Row],[Community need]]+Master20[[#This Row],[Offset Aging Inf.]]+Master20[[#This Row],[Energy Savings]]+Master20[[#This Row],[Gen Revenue]]-5))</f>
        <v>59</v>
      </c>
      <c r="AI93" s="302"/>
      <c r="AJ93" s="302"/>
      <c r="AK93" s="302"/>
      <c r="AL93" s="302">
        <v>2024</v>
      </c>
      <c r="AM93" s="302">
        <v>2025</v>
      </c>
      <c r="AN93" s="300"/>
      <c r="AO93" s="306"/>
      <c r="AP93" s="306"/>
      <c r="AQ93" s="306"/>
      <c r="AR93" s="306"/>
      <c r="AS93" s="306"/>
      <c r="AT93" s="306"/>
      <c r="AU93" s="306"/>
      <c r="AV93" s="306"/>
      <c r="AW93" s="306"/>
      <c r="AX93" s="306"/>
      <c r="AY93" s="306"/>
      <c r="AZ93" s="306"/>
      <c r="BA93" s="306"/>
      <c r="BB93" s="306"/>
      <c r="BC93" s="306"/>
      <c r="BD93" s="306"/>
      <c r="BE93" s="306"/>
      <c r="BF93" s="306"/>
      <c r="BG93" s="306"/>
      <c r="BH93" s="306"/>
      <c r="BI93" s="306"/>
      <c r="BJ93" s="306"/>
      <c r="BK93" s="306"/>
      <c r="BL93" s="306"/>
      <c r="BM93" s="306"/>
      <c r="BN93" s="306"/>
      <c r="BO93" s="306"/>
    </row>
    <row r="94" spans="1:67" s="298" customFormat="1" ht="60" hidden="1" x14ac:dyDescent="0.25">
      <c r="A94" s="307">
        <f t="shared" si="12"/>
        <v>93</v>
      </c>
      <c r="B94" s="378" t="s">
        <v>67</v>
      </c>
      <c r="C94" s="300" t="s">
        <v>73</v>
      </c>
      <c r="D94" s="300" t="s">
        <v>1037</v>
      </c>
      <c r="E94" s="300" t="s">
        <v>547</v>
      </c>
      <c r="F94" s="300" t="s">
        <v>549</v>
      </c>
      <c r="G94" s="300" t="s">
        <v>29</v>
      </c>
      <c r="H94" s="300">
        <f t="shared" ref="H94:H125" si="17">VLOOKUP(G94,Status_Score,2,FALSE)</f>
        <v>0</v>
      </c>
      <c r="I94" s="249"/>
      <c r="J94" s="249"/>
      <c r="K94" s="249">
        <f>Master20[[#This Row],[Initial Budget]]-Master20[[#This Row],[Previously Committed Funds]]</f>
        <v>0</v>
      </c>
      <c r="L94" s="249"/>
      <c r="M94" s="249"/>
      <c r="N94" s="258">
        <f>Master20[[#This Row],[Design $ (Add/Deduct)]]+Master20[[#This Row],[Construction $ (Add/Ded)]]</f>
        <v>0</v>
      </c>
      <c r="O94" s="256">
        <v>65000</v>
      </c>
      <c r="P94" s="301">
        <v>2018</v>
      </c>
      <c r="Q94" s="300" t="s">
        <v>686</v>
      </c>
      <c r="R94" s="301">
        <f t="shared" si="15"/>
        <v>60</v>
      </c>
      <c r="S94" s="302">
        <v>2</v>
      </c>
      <c r="T94" s="299">
        <f t="shared" si="13"/>
        <v>6</v>
      </c>
      <c r="U94" s="302" t="s">
        <v>41</v>
      </c>
      <c r="V94" s="302">
        <f t="shared" si="16"/>
        <v>4</v>
      </c>
      <c r="W94" s="302" t="s">
        <v>34</v>
      </c>
      <c r="X94" s="302">
        <v>0</v>
      </c>
      <c r="Y94" s="302">
        <v>-5</v>
      </c>
      <c r="Z94" s="302">
        <v>0</v>
      </c>
      <c r="AA94" s="302">
        <v>0</v>
      </c>
      <c r="AB94" s="302">
        <v>0</v>
      </c>
      <c r="AC94" s="302">
        <v>0</v>
      </c>
      <c r="AD94" s="302">
        <v>0</v>
      </c>
      <c r="AE94" s="302"/>
      <c r="AF94" s="303" t="s">
        <v>29</v>
      </c>
      <c r="AG94" s="305">
        <f>VLOOKUP(Master20[[#This Row],[Elevated Priority]],Epriority,2,)</f>
        <v>0</v>
      </c>
      <c r="AH94" s="321">
        <f>IF(Master20[[#This Row],[Status]]="Active",Master20[[#This Row],[Status_Score]],IF(D94="","",R94+H94+T94+V94+AG94+AE94+Master20[[#This Row],[Risk Mitigation]]+Master20[[#This Row],[Master Plan]]+Master20[[#This Row],[Community Request]]+Master20[[#This Row],[Community need]]+Master20[[#This Row],[Offset Aging Inf.]]+Master20[[#This Row],[Energy Savings]]+Master20[[#This Row],[Gen Revenue]]-5))</f>
        <v>60</v>
      </c>
      <c r="AI94" s="302"/>
      <c r="AJ94" s="302">
        <v>2022</v>
      </c>
      <c r="AK94" s="302">
        <v>2022</v>
      </c>
      <c r="AL94" s="302">
        <v>2023</v>
      </c>
      <c r="AM94" s="302">
        <v>2023</v>
      </c>
      <c r="AN94" s="300"/>
      <c r="AO94" s="306"/>
      <c r="AP94" s="306"/>
      <c r="AQ94" s="306"/>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row>
    <row r="95" spans="1:67" s="298" customFormat="1" ht="60" hidden="1" x14ac:dyDescent="0.25">
      <c r="A95" s="307">
        <f t="shared" si="12"/>
        <v>94</v>
      </c>
      <c r="B95" s="300" t="s">
        <v>67</v>
      </c>
      <c r="C95" s="300" t="s">
        <v>73</v>
      </c>
      <c r="D95" s="300" t="s">
        <v>825</v>
      </c>
      <c r="E95" s="300" t="s">
        <v>196</v>
      </c>
      <c r="F95" s="300" t="s">
        <v>826</v>
      </c>
      <c r="G95" s="300" t="s">
        <v>29</v>
      </c>
      <c r="H95" s="300">
        <f t="shared" si="17"/>
        <v>0</v>
      </c>
      <c r="I95" s="249"/>
      <c r="J95" s="249"/>
      <c r="K95" s="249">
        <f>Master20[[#This Row],[Initial Budget]]-Master20[[#This Row],[Previously Committed Funds]]</f>
        <v>0</v>
      </c>
      <c r="L95" s="249"/>
      <c r="M95" s="249"/>
      <c r="N95" s="258">
        <f>Master20[[#This Row],[Design $ (Add/Deduct)]]+Master20[[#This Row],[Construction $ (Add/Ded)]]</f>
        <v>0</v>
      </c>
      <c r="O95" s="256">
        <v>25000</v>
      </c>
      <c r="P95" s="301">
        <v>2018</v>
      </c>
      <c r="Q95" s="300" t="s">
        <v>686</v>
      </c>
      <c r="R95" s="301">
        <f t="shared" si="15"/>
        <v>60</v>
      </c>
      <c r="S95" s="302">
        <v>1</v>
      </c>
      <c r="T95" s="299">
        <f t="shared" si="13"/>
        <v>3</v>
      </c>
      <c r="U95" s="302" t="s">
        <v>37</v>
      </c>
      <c r="V95" s="302">
        <f t="shared" si="16"/>
        <v>3</v>
      </c>
      <c r="W95" s="302" t="s">
        <v>34</v>
      </c>
      <c r="X95" s="302">
        <v>0</v>
      </c>
      <c r="Y95" s="302">
        <v>0</v>
      </c>
      <c r="Z95" s="302">
        <v>0</v>
      </c>
      <c r="AA95" s="302">
        <v>0</v>
      </c>
      <c r="AB95" s="302">
        <v>0</v>
      </c>
      <c r="AC95" s="302">
        <v>0</v>
      </c>
      <c r="AD95" s="302">
        <v>0</v>
      </c>
      <c r="AE95" s="302"/>
      <c r="AF95" s="303" t="s">
        <v>29</v>
      </c>
      <c r="AG95" s="305">
        <f>VLOOKUP(Master20[[#This Row],[Elevated Priority]],Epriority,2,)</f>
        <v>0</v>
      </c>
      <c r="AH95" s="321">
        <f>IF(Master20[[#This Row],[Status]]="Active",Master20[[#This Row],[Status_Score]],IF(D95="","",R95+H95+T95+V95+AG95+AE95+Master20[[#This Row],[Risk Mitigation]]+Master20[[#This Row],[Master Plan]]+Master20[[#This Row],[Community Request]]+Master20[[#This Row],[Community need]]+Master20[[#This Row],[Offset Aging Inf.]]+Master20[[#This Row],[Energy Savings]]+Master20[[#This Row],[Gen Revenue]]-5))</f>
        <v>61</v>
      </c>
      <c r="AI95" s="302"/>
      <c r="AJ95" s="302">
        <v>2023</v>
      </c>
      <c r="AK95" s="302">
        <v>2024</v>
      </c>
      <c r="AL95" s="302">
        <v>2023</v>
      </c>
      <c r="AM95" s="302">
        <v>2024</v>
      </c>
      <c r="AN95" s="300"/>
      <c r="AO95" s="306"/>
      <c r="AP95" s="306"/>
      <c r="AQ95" s="306"/>
      <c r="AR95" s="306"/>
      <c r="AS95" s="306"/>
      <c r="AT95" s="306"/>
      <c r="AU95" s="306"/>
      <c r="AV95" s="306"/>
      <c r="AW95" s="306"/>
      <c r="AX95" s="306"/>
      <c r="AY95" s="306"/>
      <c r="AZ95" s="306"/>
      <c r="BA95" s="306"/>
      <c r="BB95" s="306"/>
      <c r="BC95" s="306"/>
      <c r="BD95" s="306"/>
      <c r="BE95" s="306"/>
      <c r="BF95" s="306"/>
      <c r="BG95" s="306"/>
      <c r="BH95" s="306"/>
      <c r="BI95" s="306"/>
      <c r="BJ95" s="306"/>
      <c r="BK95" s="306"/>
      <c r="BL95" s="306"/>
      <c r="BM95" s="306"/>
      <c r="BN95" s="306"/>
      <c r="BO95" s="306"/>
    </row>
    <row r="96" spans="1:67" s="298" customFormat="1" ht="60" hidden="1" x14ac:dyDescent="0.25">
      <c r="A96" s="307">
        <f t="shared" si="12"/>
        <v>95</v>
      </c>
      <c r="B96" s="378" t="s">
        <v>67</v>
      </c>
      <c r="C96" s="300" t="s">
        <v>995</v>
      </c>
      <c r="D96" s="300" t="s">
        <v>1143</v>
      </c>
      <c r="E96" s="300" t="s">
        <v>899</v>
      </c>
      <c r="F96" s="300" t="s">
        <v>386</v>
      </c>
      <c r="G96" s="300" t="s">
        <v>29</v>
      </c>
      <c r="H96" s="300">
        <f t="shared" si="17"/>
        <v>0</v>
      </c>
      <c r="I96" s="249"/>
      <c r="J96" s="249"/>
      <c r="K96" s="249">
        <f>Master20[[#This Row],[Initial Budget]]-Master20[[#This Row],[Previously Committed Funds]]</f>
        <v>0</v>
      </c>
      <c r="L96" s="249"/>
      <c r="M96" s="249"/>
      <c r="N96" s="258">
        <f>Master20[[#This Row],[Design $ (Add/Deduct)]]+Master20[[#This Row],[Construction $ (Add/Ded)]]</f>
        <v>0</v>
      </c>
      <c r="O96" s="256">
        <v>150000</v>
      </c>
      <c r="P96" s="301">
        <v>2018</v>
      </c>
      <c r="Q96" s="300" t="s">
        <v>687</v>
      </c>
      <c r="R96" s="301">
        <f t="shared" si="15"/>
        <v>30</v>
      </c>
      <c r="S96" s="302">
        <v>8</v>
      </c>
      <c r="T96" s="299">
        <f t="shared" si="13"/>
        <v>20</v>
      </c>
      <c r="U96" s="302" t="s">
        <v>43</v>
      </c>
      <c r="V96" s="302">
        <f t="shared" si="16"/>
        <v>16</v>
      </c>
      <c r="W96" s="302" t="s">
        <v>30</v>
      </c>
      <c r="X96" s="302">
        <v>0</v>
      </c>
      <c r="Y96" s="302">
        <v>0</v>
      </c>
      <c r="Z96" s="302">
        <v>0</v>
      </c>
      <c r="AA96" s="302">
        <v>0</v>
      </c>
      <c r="AB96" s="302">
        <v>0</v>
      </c>
      <c r="AC96" s="302">
        <v>0</v>
      </c>
      <c r="AD96" s="302">
        <v>0</v>
      </c>
      <c r="AE96" s="302"/>
      <c r="AF96" s="303" t="s">
        <v>29</v>
      </c>
      <c r="AG96" s="305">
        <f>VLOOKUP(Master20[[#This Row],[Elevated Priority]],Epriority,2,)</f>
        <v>0</v>
      </c>
      <c r="AH96" s="321">
        <f>IF(Master20[[#This Row],[Status]]="Active",Master20[[#This Row],[Status_Score]],IF(D96="","",R96+H96+T96+V96+AG96+AE96+Master20[[#This Row],[Risk Mitigation]]+Master20[[#This Row],[Master Plan]]+Master20[[#This Row],[Community Request]]+Master20[[#This Row],[Community need]]+Master20[[#This Row],[Offset Aging Inf.]]+Master20[[#This Row],[Energy Savings]]+Master20[[#This Row],[Gen Revenue]]-5))</f>
        <v>61</v>
      </c>
      <c r="AI96" s="302"/>
      <c r="AJ96" s="302">
        <v>2022</v>
      </c>
      <c r="AK96" s="302">
        <v>2023</v>
      </c>
      <c r="AL96" s="302">
        <v>2024</v>
      </c>
      <c r="AM96" s="302">
        <v>2025</v>
      </c>
      <c r="AN96" s="300"/>
      <c r="AO96" s="306"/>
      <c r="AP96" s="306"/>
      <c r="AQ96" s="306"/>
      <c r="AR96" s="306"/>
      <c r="AS96" s="306"/>
      <c r="AT96" s="306"/>
      <c r="AU96" s="306"/>
      <c r="AV96" s="306"/>
      <c r="AW96" s="306"/>
      <c r="AX96" s="306"/>
      <c r="AY96" s="306"/>
      <c r="AZ96" s="306"/>
      <c r="BA96" s="306"/>
      <c r="BB96" s="306"/>
      <c r="BC96" s="306"/>
      <c r="BD96" s="306"/>
      <c r="BE96" s="306"/>
      <c r="BF96" s="306"/>
      <c r="BG96" s="306"/>
      <c r="BH96" s="306"/>
      <c r="BI96" s="306"/>
      <c r="BJ96" s="306"/>
      <c r="BK96" s="306"/>
      <c r="BL96" s="306"/>
      <c r="BM96" s="306"/>
      <c r="BN96" s="306"/>
      <c r="BO96" s="306"/>
    </row>
    <row r="97" spans="1:67" s="298" customFormat="1" ht="60" hidden="1" x14ac:dyDescent="0.25">
      <c r="A97" s="307">
        <f t="shared" si="12"/>
        <v>96</v>
      </c>
      <c r="B97" s="300" t="s">
        <v>143</v>
      </c>
      <c r="C97" s="300" t="s">
        <v>299</v>
      </c>
      <c r="D97" s="300" t="s">
        <v>1067</v>
      </c>
      <c r="E97" s="300" t="s">
        <v>1068</v>
      </c>
      <c r="F97" s="300" t="s">
        <v>1069</v>
      </c>
      <c r="G97" s="300" t="s">
        <v>29</v>
      </c>
      <c r="H97" s="300">
        <f t="shared" si="17"/>
        <v>0</v>
      </c>
      <c r="I97" s="249"/>
      <c r="J97" s="249"/>
      <c r="K97" s="249">
        <f>Master20[[#This Row],[Initial Budget]]-Master20[[#This Row],[Previously Committed Funds]]</f>
        <v>0</v>
      </c>
      <c r="L97" s="249"/>
      <c r="M97" s="249"/>
      <c r="N97" s="258">
        <f>Master20[[#This Row],[Design $ (Add/Deduct)]]+Master20[[#This Row],[Construction $ (Add/Ded)]]</f>
        <v>0</v>
      </c>
      <c r="O97" s="256">
        <v>20000</v>
      </c>
      <c r="P97" s="301">
        <v>2022</v>
      </c>
      <c r="Q97" s="300" t="s">
        <v>686</v>
      </c>
      <c r="R97" s="301">
        <f t="shared" si="15"/>
        <v>60</v>
      </c>
      <c r="S97" s="302">
        <v>1</v>
      </c>
      <c r="T97" s="299">
        <f t="shared" si="13"/>
        <v>3</v>
      </c>
      <c r="U97" s="302" t="s">
        <v>41</v>
      </c>
      <c r="V97" s="302">
        <f t="shared" si="16"/>
        <v>4</v>
      </c>
      <c r="W97" s="302" t="s">
        <v>34</v>
      </c>
      <c r="X97" s="302">
        <v>0</v>
      </c>
      <c r="Y97" s="302">
        <v>0</v>
      </c>
      <c r="Z97" s="302">
        <v>0</v>
      </c>
      <c r="AA97" s="302">
        <v>0</v>
      </c>
      <c r="AB97" s="302">
        <v>0</v>
      </c>
      <c r="AC97" s="302">
        <v>0</v>
      </c>
      <c r="AD97" s="302">
        <v>-1</v>
      </c>
      <c r="AE97" s="302"/>
      <c r="AF97" s="303" t="s">
        <v>29</v>
      </c>
      <c r="AG97" s="305">
        <f>VLOOKUP(Master20[[#This Row],[Elevated Priority]],Epriority,2,)</f>
        <v>0</v>
      </c>
      <c r="AH97" s="321">
        <f>IF(Master20[[#This Row],[Status]]="Active",Master20[[#This Row],[Status_Score]],IF(D97="","",R97+H97+T97+V97+AG97+AE97+Master20[[#This Row],[Risk Mitigation]]+Master20[[#This Row],[Master Plan]]+Master20[[#This Row],[Community Request]]+Master20[[#This Row],[Community need]]+Master20[[#This Row],[Offset Aging Inf.]]+Master20[[#This Row],[Energy Savings]]+Master20[[#This Row],[Gen Revenue]]-5))</f>
        <v>61</v>
      </c>
      <c r="AI97" s="302"/>
      <c r="AJ97" s="302"/>
      <c r="AK97" s="302"/>
      <c r="AL97" s="302">
        <v>2025</v>
      </c>
      <c r="AM97" s="302">
        <v>2026</v>
      </c>
      <c r="AN97" s="300"/>
      <c r="AO97" s="306"/>
      <c r="AP97" s="306"/>
      <c r="AQ97" s="306"/>
      <c r="AR97" s="306"/>
      <c r="AS97" s="306"/>
      <c r="AT97" s="306"/>
      <c r="AU97" s="306"/>
      <c r="AV97" s="306"/>
      <c r="AW97" s="306"/>
      <c r="AX97" s="306"/>
      <c r="AY97" s="306"/>
      <c r="AZ97" s="306"/>
      <c r="BA97" s="306"/>
      <c r="BB97" s="306"/>
      <c r="BC97" s="306"/>
      <c r="BD97" s="306"/>
      <c r="BE97" s="306"/>
      <c r="BF97" s="306"/>
      <c r="BG97" s="306"/>
      <c r="BH97" s="306"/>
      <c r="BI97" s="306"/>
      <c r="BJ97" s="306"/>
      <c r="BK97" s="306"/>
      <c r="BL97" s="306"/>
      <c r="BM97" s="306"/>
      <c r="BN97" s="306"/>
      <c r="BO97" s="306"/>
    </row>
    <row r="98" spans="1:67" s="298" customFormat="1" ht="60" hidden="1" x14ac:dyDescent="0.25">
      <c r="A98" s="307">
        <f t="shared" si="12"/>
        <v>97</v>
      </c>
      <c r="B98" s="378" t="s">
        <v>94</v>
      </c>
      <c r="C98" s="300" t="s">
        <v>1045</v>
      </c>
      <c r="D98" s="300" t="s">
        <v>522</v>
      </c>
      <c r="E98" s="300" t="s">
        <v>523</v>
      </c>
      <c r="F98" s="300" t="s">
        <v>524</v>
      </c>
      <c r="G98" s="300" t="s">
        <v>29</v>
      </c>
      <c r="H98" s="300">
        <f t="shared" si="17"/>
        <v>0</v>
      </c>
      <c r="I98" s="249"/>
      <c r="J98" s="249"/>
      <c r="K98" s="249">
        <f>Master20[[#This Row],[Initial Budget]]-Master20[[#This Row],[Previously Committed Funds]]</f>
        <v>0</v>
      </c>
      <c r="L98" s="249"/>
      <c r="M98" s="249"/>
      <c r="N98" s="258">
        <f>Master20[[#This Row],[Design $ (Add/Deduct)]]+Master20[[#This Row],[Construction $ (Add/Ded)]]</f>
        <v>0</v>
      </c>
      <c r="O98" s="256">
        <v>100000</v>
      </c>
      <c r="P98" s="301">
        <v>2018</v>
      </c>
      <c r="Q98" s="300" t="s">
        <v>687</v>
      </c>
      <c r="R98" s="301">
        <f t="shared" si="15"/>
        <v>30</v>
      </c>
      <c r="S98" s="302">
        <v>32</v>
      </c>
      <c r="T98" s="299">
        <f t="shared" si="13"/>
        <v>32</v>
      </c>
      <c r="U98" s="302" t="s">
        <v>41</v>
      </c>
      <c r="V98" s="302">
        <f t="shared" si="16"/>
        <v>4</v>
      </c>
      <c r="W98" s="302" t="s">
        <v>30</v>
      </c>
      <c r="X98" s="302">
        <v>0</v>
      </c>
      <c r="Y98" s="302">
        <v>0</v>
      </c>
      <c r="Z98" s="302">
        <v>0</v>
      </c>
      <c r="AA98" s="302">
        <v>0</v>
      </c>
      <c r="AB98" s="302">
        <v>0</v>
      </c>
      <c r="AC98" s="302">
        <v>0</v>
      </c>
      <c r="AD98" s="302">
        <v>0</v>
      </c>
      <c r="AE98" s="302"/>
      <c r="AF98" s="303" t="s">
        <v>29</v>
      </c>
      <c r="AG98" s="305">
        <f>VLOOKUP(Master20[[#This Row],[Elevated Priority]],Epriority,2,)</f>
        <v>0</v>
      </c>
      <c r="AH98" s="321">
        <f>IF(Master20[[#This Row],[Status]]="Active",Master20[[#This Row],[Status_Score]],IF(D98="","",R98+H98+T98+V98+AG98+AE98+Master20[[#This Row],[Risk Mitigation]]+Master20[[#This Row],[Master Plan]]+Master20[[#This Row],[Community Request]]+Master20[[#This Row],[Community need]]+Master20[[#This Row],[Offset Aging Inf.]]+Master20[[#This Row],[Energy Savings]]+Master20[[#This Row],[Gen Revenue]]-5))</f>
        <v>61</v>
      </c>
      <c r="AI98" s="302"/>
      <c r="AJ98" s="302"/>
      <c r="AK98" s="302"/>
      <c r="AL98" s="302">
        <v>2025</v>
      </c>
      <c r="AM98" s="302">
        <v>2026</v>
      </c>
      <c r="AN98" s="300"/>
      <c r="AO98" s="306"/>
      <c r="AP98" s="306"/>
      <c r="AQ98" s="306"/>
      <c r="AR98" s="306"/>
      <c r="AS98" s="306"/>
      <c r="AT98" s="306"/>
      <c r="AU98" s="306"/>
      <c r="AV98" s="306"/>
      <c r="AW98" s="306"/>
      <c r="AX98" s="306"/>
      <c r="AY98" s="306"/>
      <c r="AZ98" s="306"/>
      <c r="BA98" s="306"/>
      <c r="BB98" s="306"/>
      <c r="BC98" s="306"/>
      <c r="BD98" s="306"/>
      <c r="BE98" s="306"/>
      <c r="BF98" s="306"/>
      <c r="BG98" s="306"/>
      <c r="BH98" s="306"/>
      <c r="BI98" s="306"/>
      <c r="BJ98" s="306"/>
      <c r="BK98" s="306"/>
      <c r="BL98" s="306"/>
      <c r="BM98" s="306"/>
      <c r="BN98" s="306"/>
      <c r="BO98" s="306"/>
    </row>
    <row r="99" spans="1:67" s="298" customFormat="1" ht="60" hidden="1" x14ac:dyDescent="0.25">
      <c r="A99" s="307">
        <f t="shared" si="12"/>
        <v>98</v>
      </c>
      <c r="B99" s="300" t="s">
        <v>1200</v>
      </c>
      <c r="C99" s="300" t="s">
        <v>1045</v>
      </c>
      <c r="D99" s="300" t="s">
        <v>632</v>
      </c>
      <c r="E99" s="300" t="s">
        <v>636</v>
      </c>
      <c r="F99" s="300" t="s">
        <v>633</v>
      </c>
      <c r="G99" s="300" t="s">
        <v>29</v>
      </c>
      <c r="H99" s="300">
        <f t="shared" si="17"/>
        <v>0</v>
      </c>
      <c r="I99" s="249"/>
      <c r="J99" s="249"/>
      <c r="K99" s="249">
        <f>Master20[[#This Row],[Initial Budget]]-Master20[[#This Row],[Previously Committed Funds]]</f>
        <v>0</v>
      </c>
      <c r="L99" s="249"/>
      <c r="M99" s="249"/>
      <c r="N99" s="258">
        <f>Master20[[#This Row],[Design $ (Add/Deduct)]]+Master20[[#This Row],[Construction $ (Add/Ded)]]</f>
        <v>0</v>
      </c>
      <c r="O99" s="256">
        <v>100000</v>
      </c>
      <c r="P99" s="301">
        <v>2019</v>
      </c>
      <c r="Q99" s="300" t="s">
        <v>686</v>
      </c>
      <c r="R99" s="301">
        <f t="shared" si="15"/>
        <v>60</v>
      </c>
      <c r="S99" s="302">
        <v>3</v>
      </c>
      <c r="T99" s="299">
        <f t="shared" si="13"/>
        <v>9</v>
      </c>
      <c r="U99" s="302" t="s">
        <v>41</v>
      </c>
      <c r="V99" s="302">
        <f t="shared" si="16"/>
        <v>4</v>
      </c>
      <c r="W99" s="302" t="s">
        <v>34</v>
      </c>
      <c r="X99" s="302">
        <v>-2</v>
      </c>
      <c r="Y99" s="302">
        <v>0</v>
      </c>
      <c r="Z99" s="302">
        <v>0</v>
      </c>
      <c r="AA99" s="302">
        <v>-3</v>
      </c>
      <c r="AB99" s="302">
        <v>-2</v>
      </c>
      <c r="AC99" s="302">
        <v>0</v>
      </c>
      <c r="AD99" s="302">
        <v>0</v>
      </c>
      <c r="AE99" s="302"/>
      <c r="AF99" s="303" t="s">
        <v>29</v>
      </c>
      <c r="AG99" s="305">
        <f>VLOOKUP(Master20[[#This Row],[Elevated Priority]],Epriority,2,)</f>
        <v>0</v>
      </c>
      <c r="AH99" s="321">
        <f>IF(Master20[[#This Row],[Status]]="Active",Master20[[#This Row],[Status_Score]],IF(D99="","",R99+H99+T99+V99+AG99+AE99+Master20[[#This Row],[Risk Mitigation]]+Master20[[#This Row],[Master Plan]]+Master20[[#This Row],[Community Request]]+Master20[[#This Row],[Community need]]+Master20[[#This Row],[Offset Aging Inf.]]+Master20[[#This Row],[Energy Savings]]+Master20[[#This Row],[Gen Revenue]]-5))</f>
        <v>61</v>
      </c>
      <c r="AI99" s="302"/>
      <c r="AJ99" s="302"/>
      <c r="AK99" s="302"/>
      <c r="AL99" s="302"/>
      <c r="AM99" s="302"/>
      <c r="AN99" s="300"/>
      <c r="AO99" s="306"/>
      <c r="AP99" s="306"/>
      <c r="AQ99" s="306"/>
      <c r="AR99" s="306"/>
      <c r="AS99" s="306"/>
      <c r="AT99" s="306"/>
      <c r="AU99" s="306"/>
      <c r="AV99" s="306"/>
      <c r="AW99" s="306"/>
      <c r="AX99" s="306"/>
      <c r="AY99" s="306"/>
      <c r="AZ99" s="306"/>
      <c r="BA99" s="306"/>
      <c r="BB99" s="306"/>
      <c r="BC99" s="306"/>
      <c r="BD99" s="306"/>
      <c r="BE99" s="306"/>
      <c r="BF99" s="306"/>
      <c r="BG99" s="306"/>
      <c r="BH99" s="306"/>
      <c r="BI99" s="306"/>
      <c r="BJ99" s="306"/>
      <c r="BK99" s="306"/>
      <c r="BL99" s="306"/>
      <c r="BM99" s="306"/>
      <c r="BN99" s="306"/>
      <c r="BO99" s="306"/>
    </row>
    <row r="100" spans="1:67" s="298" customFormat="1" ht="60" hidden="1" x14ac:dyDescent="0.25">
      <c r="A100" s="307">
        <f t="shared" si="12"/>
        <v>99</v>
      </c>
      <c r="B100" s="378" t="s">
        <v>67</v>
      </c>
      <c r="C100" s="300" t="s">
        <v>995</v>
      </c>
      <c r="D100" s="300" t="s">
        <v>806</v>
      </c>
      <c r="E100" s="300" t="s">
        <v>793</v>
      </c>
      <c r="F100" s="300" t="s">
        <v>991</v>
      </c>
      <c r="G100" s="300" t="s">
        <v>29</v>
      </c>
      <c r="H100" s="300">
        <f t="shared" si="17"/>
        <v>0</v>
      </c>
      <c r="I100" s="249"/>
      <c r="J100" s="249"/>
      <c r="K100" s="249">
        <f>Master20[[#This Row],[Initial Budget]]-Master20[[#This Row],[Previously Committed Funds]]</f>
        <v>0</v>
      </c>
      <c r="L100" s="249">
        <v>40000</v>
      </c>
      <c r="M100" s="249"/>
      <c r="N100" s="258">
        <f>Master20[[#This Row],[Design $ (Add/Deduct)]]+Master20[[#This Row],[Construction $ (Add/Ded)]]</f>
        <v>40000</v>
      </c>
      <c r="O100" s="256">
        <v>275000</v>
      </c>
      <c r="P100" s="301">
        <v>2020</v>
      </c>
      <c r="Q100" s="300" t="s">
        <v>686</v>
      </c>
      <c r="R100" s="301">
        <f t="shared" si="15"/>
        <v>60</v>
      </c>
      <c r="S100" s="302">
        <v>1</v>
      </c>
      <c r="T100" s="299">
        <f t="shared" si="13"/>
        <v>3</v>
      </c>
      <c r="U100" s="302" t="s">
        <v>41</v>
      </c>
      <c r="V100" s="302">
        <f t="shared" si="16"/>
        <v>4</v>
      </c>
      <c r="W100" s="302" t="s">
        <v>30</v>
      </c>
      <c r="X100" s="302">
        <v>0</v>
      </c>
      <c r="Y100" s="302">
        <v>0</v>
      </c>
      <c r="Z100" s="302">
        <v>0</v>
      </c>
      <c r="AA100" s="302">
        <v>0</v>
      </c>
      <c r="AB100" s="302">
        <v>0</v>
      </c>
      <c r="AC100" s="302">
        <v>0</v>
      </c>
      <c r="AD100" s="302">
        <v>0</v>
      </c>
      <c r="AE100" s="302"/>
      <c r="AF100" s="303" t="s">
        <v>29</v>
      </c>
      <c r="AG100" s="305">
        <f>VLOOKUP(Master20[[#This Row],[Elevated Priority]],Epriority,2,)</f>
        <v>0</v>
      </c>
      <c r="AH100" s="321">
        <f>IF(Master20[[#This Row],[Status]]="Active",Master20[[#This Row],[Status_Score]],IF(D100="","",R100+H100+T100+V100+AG100+AE100+Master20[[#This Row],[Risk Mitigation]]+Master20[[#This Row],[Master Plan]]+Master20[[#This Row],[Community Request]]+Master20[[#This Row],[Community need]]+Master20[[#This Row],[Offset Aging Inf.]]+Master20[[#This Row],[Energy Savings]]+Master20[[#This Row],[Gen Revenue]]-5))</f>
        <v>62</v>
      </c>
      <c r="AI100" s="302"/>
      <c r="AJ100" s="302">
        <v>2023</v>
      </c>
      <c r="AK100" s="302">
        <v>2024</v>
      </c>
      <c r="AL100" s="302">
        <v>2023</v>
      </c>
      <c r="AM100" s="302">
        <v>2024</v>
      </c>
      <c r="AN100" s="300"/>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c r="BI100" s="306"/>
      <c r="BJ100" s="306"/>
      <c r="BK100" s="306"/>
      <c r="BL100" s="306"/>
      <c r="BM100" s="306"/>
      <c r="BN100" s="306"/>
      <c r="BO100" s="306"/>
    </row>
    <row r="101" spans="1:67" s="298" customFormat="1" ht="30" x14ac:dyDescent="0.25">
      <c r="A101" s="307">
        <f t="shared" si="12"/>
        <v>100</v>
      </c>
      <c r="B101" s="378" t="s">
        <v>214</v>
      </c>
      <c r="C101" s="300" t="s">
        <v>1045</v>
      </c>
      <c r="D101" s="300" t="s">
        <v>459</v>
      </c>
      <c r="E101" s="300" t="s">
        <v>460</v>
      </c>
      <c r="F101" s="300" t="s">
        <v>461</v>
      </c>
      <c r="G101" s="300" t="s">
        <v>29</v>
      </c>
      <c r="H101" s="300">
        <f t="shared" si="17"/>
        <v>0</v>
      </c>
      <c r="I101" s="249"/>
      <c r="J101" s="249"/>
      <c r="K101" s="249">
        <f>Master20[[#This Row],[Initial Budget]]-Master20[[#This Row],[Previously Committed Funds]]</f>
        <v>0</v>
      </c>
      <c r="L101" s="249"/>
      <c r="M101" s="249"/>
      <c r="N101" s="258">
        <f>Master20[[#This Row],[Design $ (Add/Deduct)]]+Master20[[#This Row],[Construction $ (Add/Ded)]]</f>
        <v>0</v>
      </c>
      <c r="O101" s="256">
        <v>65000</v>
      </c>
      <c r="P101" s="301">
        <v>2024</v>
      </c>
      <c r="Q101" s="300" t="s">
        <v>688</v>
      </c>
      <c r="R101" s="301">
        <f t="shared" si="15"/>
        <v>20</v>
      </c>
      <c r="S101" s="302">
        <v>2</v>
      </c>
      <c r="T101" s="299">
        <f t="shared" ref="T101:T132" si="18">VLOOKUP(S101,Department,2,FALSE)</f>
        <v>6</v>
      </c>
      <c r="U101" s="302" t="s">
        <v>41</v>
      </c>
      <c r="V101" s="302">
        <f t="shared" si="16"/>
        <v>4</v>
      </c>
      <c r="W101" s="302" t="s">
        <v>30</v>
      </c>
      <c r="X101" s="302">
        <v>0</v>
      </c>
      <c r="Y101" s="302">
        <v>0</v>
      </c>
      <c r="Z101" s="302">
        <v>0</v>
      </c>
      <c r="AA101" s="302">
        <v>0</v>
      </c>
      <c r="AB101" s="302">
        <v>0</v>
      </c>
      <c r="AC101" s="302">
        <v>0</v>
      </c>
      <c r="AD101" s="302">
        <v>0</v>
      </c>
      <c r="AE101" s="302"/>
      <c r="AF101" s="303" t="s">
        <v>29</v>
      </c>
      <c r="AG101" s="305">
        <f>VLOOKUP(Master20[[#This Row],[Elevated Priority]],Epriority,2,)</f>
        <v>0</v>
      </c>
      <c r="AH101" s="321">
        <f>IF(Master20[[#This Row],[Status]]="Active",Master20[[#This Row],[Status_Score]],IF(D101="","",R101+H101+T101+V101+AG101+AE101+Master20[[#This Row],[Risk Mitigation]]+Master20[[#This Row],[Master Plan]]+Master20[[#This Row],[Community Request]]+Master20[[#This Row],[Community need]]+Master20[[#This Row],[Offset Aging Inf.]]+Master20[[#This Row],[Energy Savings]]+Master20[[#This Row],[Gen Revenue]]-5))</f>
        <v>25</v>
      </c>
      <c r="AI101" s="302"/>
      <c r="AJ101" s="302"/>
      <c r="AK101" s="302"/>
      <c r="AL101" s="302"/>
      <c r="AM101" s="302"/>
      <c r="AN101" s="300"/>
      <c r="AO101" s="306"/>
      <c r="AP101" s="306"/>
      <c r="AQ101" s="306"/>
      <c r="AR101" s="306"/>
      <c r="AS101" s="306"/>
      <c r="AT101" s="306"/>
      <c r="AU101" s="306"/>
      <c r="AV101" s="306"/>
      <c r="AW101" s="306"/>
      <c r="AX101" s="306"/>
      <c r="AY101" s="306"/>
      <c r="AZ101" s="306"/>
      <c r="BA101" s="306"/>
      <c r="BB101" s="306"/>
      <c r="BC101" s="306"/>
      <c r="BD101" s="306"/>
      <c r="BE101" s="306"/>
      <c r="BF101" s="306"/>
      <c r="BG101" s="306"/>
      <c r="BH101" s="306"/>
      <c r="BI101" s="306"/>
      <c r="BJ101" s="306"/>
      <c r="BK101" s="306"/>
      <c r="BL101" s="306"/>
      <c r="BM101" s="306"/>
      <c r="BN101" s="306"/>
      <c r="BO101" s="306"/>
    </row>
    <row r="102" spans="1:67" s="298" customFormat="1" ht="60" hidden="1" x14ac:dyDescent="0.25">
      <c r="A102" s="307">
        <f t="shared" si="12"/>
        <v>101</v>
      </c>
      <c r="B102" s="378" t="s">
        <v>1195</v>
      </c>
      <c r="C102" s="300" t="s">
        <v>299</v>
      </c>
      <c r="D102" s="300" t="s">
        <v>1064</v>
      </c>
      <c r="E102" s="300" t="s">
        <v>1065</v>
      </c>
      <c r="F102" s="300" t="s">
        <v>1066</v>
      </c>
      <c r="G102" s="300" t="s">
        <v>29</v>
      </c>
      <c r="H102" s="300">
        <f t="shared" si="17"/>
        <v>0</v>
      </c>
      <c r="I102" s="249"/>
      <c r="J102" s="249"/>
      <c r="K102" s="249">
        <f>Master20[[#This Row],[Initial Budget]]-Master20[[#This Row],[Previously Committed Funds]]</f>
        <v>0</v>
      </c>
      <c r="L102" s="249"/>
      <c r="M102" s="249"/>
      <c r="N102" s="258">
        <f>Master20[[#This Row],[Design $ (Add/Deduct)]]+Master20[[#This Row],[Construction $ (Add/Ded)]]</f>
        <v>0</v>
      </c>
      <c r="O102" s="256">
        <v>12000</v>
      </c>
      <c r="P102" s="301">
        <v>2022</v>
      </c>
      <c r="Q102" s="300" t="s">
        <v>686</v>
      </c>
      <c r="R102" s="301">
        <f t="shared" si="15"/>
        <v>60</v>
      </c>
      <c r="S102" s="302">
        <v>2</v>
      </c>
      <c r="T102" s="299">
        <f t="shared" si="18"/>
        <v>6</v>
      </c>
      <c r="U102" s="302" t="s">
        <v>37</v>
      </c>
      <c r="V102" s="302">
        <f t="shared" si="16"/>
        <v>3</v>
      </c>
      <c r="W102" s="302" t="s">
        <v>34</v>
      </c>
      <c r="X102" s="302">
        <v>0</v>
      </c>
      <c r="Y102" s="302">
        <v>0</v>
      </c>
      <c r="Z102" s="302">
        <v>0</v>
      </c>
      <c r="AA102" s="302">
        <v>0</v>
      </c>
      <c r="AB102" s="302">
        <v>-2</v>
      </c>
      <c r="AC102" s="302">
        <v>0</v>
      </c>
      <c r="AD102" s="302">
        <v>0</v>
      </c>
      <c r="AE102" s="302"/>
      <c r="AF102" s="303" t="s">
        <v>29</v>
      </c>
      <c r="AG102" s="305">
        <f>VLOOKUP(Master20[[#This Row],[Elevated Priority]],Epriority,2,)</f>
        <v>0</v>
      </c>
      <c r="AH102" s="321">
        <f>IF(Master20[[#This Row],[Status]]="Active",Master20[[#This Row],[Status_Score]],IF(D102="","",R102+H102+T102+V102+AG102+AE102+Master20[[#This Row],[Risk Mitigation]]+Master20[[#This Row],[Master Plan]]+Master20[[#This Row],[Community Request]]+Master20[[#This Row],[Community need]]+Master20[[#This Row],[Offset Aging Inf.]]+Master20[[#This Row],[Energy Savings]]+Master20[[#This Row],[Gen Revenue]]-5))</f>
        <v>62</v>
      </c>
      <c r="AI102" s="302"/>
      <c r="AJ102" s="302"/>
      <c r="AK102" s="302"/>
      <c r="AL102" s="302"/>
      <c r="AM102" s="302"/>
      <c r="AN102" s="300"/>
      <c r="AO102" s="306"/>
      <c r="AP102" s="306"/>
      <c r="AQ102" s="306"/>
      <c r="AR102" s="306"/>
      <c r="AS102" s="306"/>
      <c r="AT102" s="306"/>
      <c r="AU102" s="306"/>
      <c r="AV102" s="306"/>
      <c r="AW102" s="306"/>
      <c r="AX102" s="306"/>
      <c r="AY102" s="306"/>
      <c r="AZ102" s="306"/>
      <c r="BA102" s="306"/>
      <c r="BB102" s="306"/>
      <c r="BC102" s="306"/>
      <c r="BD102" s="306"/>
      <c r="BE102" s="306"/>
      <c r="BF102" s="306"/>
      <c r="BG102" s="306"/>
      <c r="BH102" s="306"/>
      <c r="BI102" s="306"/>
      <c r="BJ102" s="306"/>
      <c r="BK102" s="306"/>
      <c r="BL102" s="306"/>
      <c r="BM102" s="306"/>
      <c r="BN102" s="306"/>
      <c r="BO102" s="306"/>
    </row>
    <row r="103" spans="1:67" s="298" customFormat="1" ht="60" hidden="1" x14ac:dyDescent="0.25">
      <c r="A103" s="307">
        <f t="shared" si="12"/>
        <v>102</v>
      </c>
      <c r="B103" s="300" t="s">
        <v>1195</v>
      </c>
      <c r="C103" s="300" t="s">
        <v>1045</v>
      </c>
      <c r="D103" s="300" t="s">
        <v>1058</v>
      </c>
      <c r="E103" s="300" t="s">
        <v>1059</v>
      </c>
      <c r="F103" s="300" t="s">
        <v>1060</v>
      </c>
      <c r="G103" s="300" t="s">
        <v>29</v>
      </c>
      <c r="H103" s="300">
        <f t="shared" si="17"/>
        <v>0</v>
      </c>
      <c r="I103" s="249"/>
      <c r="J103" s="249"/>
      <c r="K103" s="249">
        <f>Master20[[#This Row],[Initial Budget]]-Master20[[#This Row],[Previously Committed Funds]]</f>
        <v>0</v>
      </c>
      <c r="L103" s="249"/>
      <c r="M103" s="249"/>
      <c r="N103" s="258">
        <f>Master20[[#This Row],[Design $ (Add/Deduct)]]+Master20[[#This Row],[Construction $ (Add/Ded)]]</f>
        <v>0</v>
      </c>
      <c r="O103" s="256"/>
      <c r="P103" s="301">
        <v>2022</v>
      </c>
      <c r="Q103" s="300" t="s">
        <v>686</v>
      </c>
      <c r="R103" s="301">
        <f t="shared" si="15"/>
        <v>60</v>
      </c>
      <c r="S103" s="302">
        <v>3</v>
      </c>
      <c r="T103" s="299">
        <f t="shared" si="18"/>
        <v>9</v>
      </c>
      <c r="U103" s="302" t="s">
        <v>41</v>
      </c>
      <c r="V103" s="302">
        <f t="shared" si="16"/>
        <v>4</v>
      </c>
      <c r="W103" s="302" t="s">
        <v>34</v>
      </c>
      <c r="X103" s="302">
        <v>0</v>
      </c>
      <c r="Y103" s="302">
        <v>0</v>
      </c>
      <c r="Z103" s="302">
        <v>0</v>
      </c>
      <c r="AA103" s="302">
        <v>-3</v>
      </c>
      <c r="AB103" s="302">
        <v>0</v>
      </c>
      <c r="AC103" s="302">
        <v>0</v>
      </c>
      <c r="AD103" s="302">
        <v>-3</v>
      </c>
      <c r="AE103" s="302"/>
      <c r="AF103" s="303" t="s">
        <v>29</v>
      </c>
      <c r="AG103" s="305">
        <f>VLOOKUP(Master20[[#This Row],[Elevated Priority]],Epriority,2,)</f>
        <v>0</v>
      </c>
      <c r="AH103" s="321">
        <f>IF(Master20[[#This Row],[Status]]="Active",Master20[[#This Row],[Status_Score]],IF(D103="","",R103+H103+T103+V103+AG103+AE103+Master20[[#This Row],[Risk Mitigation]]+Master20[[#This Row],[Master Plan]]+Master20[[#This Row],[Community Request]]+Master20[[#This Row],[Community need]]+Master20[[#This Row],[Offset Aging Inf.]]+Master20[[#This Row],[Energy Savings]]+Master20[[#This Row],[Gen Revenue]]-5))</f>
        <v>62</v>
      </c>
      <c r="AI103" s="302"/>
      <c r="AJ103" s="302"/>
      <c r="AK103" s="302"/>
      <c r="AL103" s="302"/>
      <c r="AM103" s="302"/>
      <c r="AN103" s="300"/>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row>
    <row r="104" spans="1:67" s="298" customFormat="1" ht="45" hidden="1" x14ac:dyDescent="0.25">
      <c r="A104" s="307">
        <f t="shared" si="12"/>
        <v>103</v>
      </c>
      <c r="B104" s="378" t="s">
        <v>1211</v>
      </c>
      <c r="C104" s="300" t="s">
        <v>1201</v>
      </c>
      <c r="D104" s="300" t="s">
        <v>444</v>
      </c>
      <c r="E104" s="300" t="s">
        <v>445</v>
      </c>
      <c r="F104" s="300" t="s">
        <v>446</v>
      </c>
      <c r="G104" s="300" t="s">
        <v>29</v>
      </c>
      <c r="H104" s="300">
        <f t="shared" si="17"/>
        <v>0</v>
      </c>
      <c r="I104" s="249"/>
      <c r="J104" s="249"/>
      <c r="K104" s="249">
        <f>Master20[[#This Row],[Initial Budget]]-Master20[[#This Row],[Previously Committed Funds]]</f>
        <v>0</v>
      </c>
      <c r="L104" s="249"/>
      <c r="M104" s="249"/>
      <c r="N104" s="258">
        <f>Master20[[#This Row],[Design $ (Add/Deduct)]]+Master20[[#This Row],[Construction $ (Add/Ded)]]</f>
        <v>0</v>
      </c>
      <c r="O104" s="256">
        <v>5000000</v>
      </c>
      <c r="P104" s="301">
        <v>2018</v>
      </c>
      <c r="Q104" s="300" t="s">
        <v>687</v>
      </c>
      <c r="R104" s="301">
        <f t="shared" si="15"/>
        <v>30</v>
      </c>
      <c r="S104" s="302">
        <v>2</v>
      </c>
      <c r="T104" s="299">
        <f t="shared" si="18"/>
        <v>6</v>
      </c>
      <c r="U104" s="302" t="s">
        <v>45</v>
      </c>
      <c r="V104" s="302">
        <f t="shared" si="16"/>
        <v>32</v>
      </c>
      <c r="W104" s="302" t="s">
        <v>30</v>
      </c>
      <c r="X104" s="302">
        <v>0</v>
      </c>
      <c r="Y104" s="302">
        <v>0</v>
      </c>
      <c r="Z104" s="302">
        <v>0</v>
      </c>
      <c r="AA104" s="302">
        <v>0</v>
      </c>
      <c r="AB104" s="302">
        <v>0</v>
      </c>
      <c r="AC104" s="302">
        <v>0</v>
      </c>
      <c r="AD104" s="302">
        <v>0</v>
      </c>
      <c r="AE104" s="302"/>
      <c r="AF104" s="303" t="s">
        <v>29</v>
      </c>
      <c r="AG104" s="305">
        <f>VLOOKUP(Master20[[#This Row],[Elevated Priority]],Epriority,2,)</f>
        <v>0</v>
      </c>
      <c r="AH104" s="321">
        <f>IF(Master20[[#This Row],[Status]]="Active",Master20[[#This Row],[Status_Score]],IF(D104="","",R104+H104+T104+V104+AG104+AE104+Master20[[#This Row],[Risk Mitigation]]+Master20[[#This Row],[Master Plan]]+Master20[[#This Row],[Community Request]]+Master20[[#This Row],[Community need]]+Master20[[#This Row],[Offset Aging Inf.]]+Master20[[#This Row],[Energy Savings]]+Master20[[#This Row],[Gen Revenue]]-5))</f>
        <v>63</v>
      </c>
      <c r="AI104" s="302"/>
      <c r="AJ104" s="302"/>
      <c r="AK104" s="302"/>
      <c r="AL104" s="302"/>
      <c r="AM104" s="302"/>
      <c r="AN104" s="300"/>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row>
    <row r="105" spans="1:67" s="298" customFormat="1" ht="90" hidden="1" x14ac:dyDescent="0.25">
      <c r="A105" s="307">
        <f t="shared" si="12"/>
        <v>104</v>
      </c>
      <c r="B105" s="300" t="s">
        <v>143</v>
      </c>
      <c r="C105" s="300" t="s">
        <v>299</v>
      </c>
      <c r="D105" s="300" t="s">
        <v>1070</v>
      </c>
      <c r="E105" s="300" t="s">
        <v>1071</v>
      </c>
      <c r="F105" s="300" t="s">
        <v>1072</v>
      </c>
      <c r="G105" s="300" t="s">
        <v>29</v>
      </c>
      <c r="H105" s="300">
        <f t="shared" si="17"/>
        <v>0</v>
      </c>
      <c r="I105" s="249"/>
      <c r="J105" s="249"/>
      <c r="K105" s="249">
        <f>Master20[[#This Row],[Initial Budget]]-Master20[[#This Row],[Previously Committed Funds]]</f>
        <v>0</v>
      </c>
      <c r="L105" s="249"/>
      <c r="M105" s="249"/>
      <c r="N105" s="258">
        <f>Master20[[#This Row],[Design $ (Add/Deduct)]]+Master20[[#This Row],[Construction $ (Add/Ded)]]</f>
        <v>0</v>
      </c>
      <c r="O105" s="256">
        <v>5000</v>
      </c>
      <c r="P105" s="301">
        <v>2022</v>
      </c>
      <c r="Q105" s="300" t="s">
        <v>686</v>
      </c>
      <c r="R105" s="301">
        <f t="shared" si="15"/>
        <v>60</v>
      </c>
      <c r="S105" s="302">
        <v>2</v>
      </c>
      <c r="T105" s="299">
        <f t="shared" si="18"/>
        <v>6</v>
      </c>
      <c r="U105" s="302" t="s">
        <v>37</v>
      </c>
      <c r="V105" s="302">
        <f t="shared" si="16"/>
        <v>3</v>
      </c>
      <c r="W105" s="302" t="s">
        <v>30</v>
      </c>
      <c r="X105" s="302">
        <v>0</v>
      </c>
      <c r="Y105" s="302">
        <v>0</v>
      </c>
      <c r="Z105" s="302">
        <v>0</v>
      </c>
      <c r="AA105" s="302">
        <v>0</v>
      </c>
      <c r="AB105" s="302">
        <v>0</v>
      </c>
      <c r="AC105" s="302">
        <v>0</v>
      </c>
      <c r="AD105" s="302">
        <v>-1</v>
      </c>
      <c r="AE105" s="302"/>
      <c r="AF105" s="303" t="s">
        <v>29</v>
      </c>
      <c r="AG105" s="305">
        <f>VLOOKUP(Master20[[#This Row],[Elevated Priority]],Epriority,2,)</f>
        <v>0</v>
      </c>
      <c r="AH105" s="321">
        <f>IF(Master20[[#This Row],[Status]]="Active",Master20[[#This Row],[Status_Score]],IF(D105="","",R105+H105+T105+V105+AG105+AE105+Master20[[#This Row],[Risk Mitigation]]+Master20[[#This Row],[Master Plan]]+Master20[[#This Row],[Community Request]]+Master20[[#This Row],[Community need]]+Master20[[#This Row],[Offset Aging Inf.]]+Master20[[#This Row],[Energy Savings]]+Master20[[#This Row],[Gen Revenue]]-5))</f>
        <v>63</v>
      </c>
      <c r="AI105" s="302"/>
      <c r="AJ105" s="302"/>
      <c r="AK105" s="302"/>
      <c r="AL105" s="302"/>
      <c r="AM105" s="302"/>
      <c r="AN105" s="300"/>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c r="BI105" s="306"/>
      <c r="BJ105" s="306"/>
      <c r="BK105" s="306"/>
      <c r="BL105" s="306"/>
      <c r="BM105" s="306"/>
      <c r="BN105" s="306"/>
      <c r="BO105" s="306"/>
    </row>
    <row r="106" spans="1:67" s="298" customFormat="1" hidden="1" x14ac:dyDescent="0.25">
      <c r="A106" s="307">
        <f t="shared" si="12"/>
        <v>105</v>
      </c>
      <c r="B106" s="378" t="s">
        <v>1211</v>
      </c>
      <c r="C106" s="300" t="s">
        <v>1201</v>
      </c>
      <c r="D106" s="300" t="s">
        <v>1138</v>
      </c>
      <c r="E106" s="300" t="s">
        <v>1139</v>
      </c>
      <c r="F106" s="300"/>
      <c r="G106" s="300" t="s">
        <v>29</v>
      </c>
      <c r="H106" s="300">
        <f t="shared" si="17"/>
        <v>0</v>
      </c>
      <c r="I106" s="249"/>
      <c r="J106" s="249"/>
      <c r="K106" s="249">
        <f>Master20[[#This Row],[Initial Budget]]-Master20[[#This Row],[Previously Committed Funds]]</f>
        <v>0</v>
      </c>
      <c r="L106" s="249"/>
      <c r="M106" s="249"/>
      <c r="N106" s="258">
        <f>Master20[[#This Row],[Design $ (Add/Deduct)]]+Master20[[#This Row],[Construction $ (Add/Ded)]]</f>
        <v>0</v>
      </c>
      <c r="O106" s="256">
        <v>10000000</v>
      </c>
      <c r="P106" s="301">
        <v>2019</v>
      </c>
      <c r="Q106" s="300" t="s">
        <v>46</v>
      </c>
      <c r="R106" s="301">
        <f t="shared" si="15"/>
        <v>50</v>
      </c>
      <c r="S106" s="302">
        <v>6</v>
      </c>
      <c r="T106" s="299">
        <f t="shared" si="18"/>
        <v>18</v>
      </c>
      <c r="U106" s="302" t="s">
        <v>45</v>
      </c>
      <c r="V106" s="302"/>
      <c r="W106" s="302" t="s">
        <v>34</v>
      </c>
      <c r="X106" s="302">
        <v>0</v>
      </c>
      <c r="Y106" s="302">
        <v>0</v>
      </c>
      <c r="Z106" s="302">
        <v>0</v>
      </c>
      <c r="AA106" s="302">
        <v>0</v>
      </c>
      <c r="AB106" s="302">
        <v>0</v>
      </c>
      <c r="AC106" s="302">
        <v>0</v>
      </c>
      <c r="AD106" s="302">
        <v>0</v>
      </c>
      <c r="AE106" s="302"/>
      <c r="AF106" s="303" t="s">
        <v>29</v>
      </c>
      <c r="AG106" s="305">
        <f>VLOOKUP(Master20[[#This Row],[Elevated Priority]],Epriority,2,)</f>
        <v>0</v>
      </c>
      <c r="AH106" s="321">
        <f>IF(Master20[[#This Row],[Status]]="Active",Master20[[#This Row],[Status_Score]],IF(D106="","",R106+H106+T106+V106+AG106+AE106+Master20[[#This Row],[Risk Mitigation]]+Master20[[#This Row],[Master Plan]]+Master20[[#This Row],[Community Request]]+Master20[[#This Row],[Community need]]+Master20[[#This Row],[Offset Aging Inf.]]+Master20[[#This Row],[Energy Savings]]+Master20[[#This Row],[Gen Revenue]]-5))</f>
        <v>63</v>
      </c>
      <c r="AI106" s="302"/>
      <c r="AJ106" s="302">
        <v>2024</v>
      </c>
      <c r="AK106" s="302">
        <v>2025</v>
      </c>
      <c r="AL106" s="302">
        <v>2024</v>
      </c>
      <c r="AM106" s="302">
        <v>2025</v>
      </c>
      <c r="AN106" s="300"/>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row>
    <row r="107" spans="1:67" s="298" customFormat="1" ht="30" hidden="1" x14ac:dyDescent="0.25">
      <c r="A107" s="307">
        <f t="shared" si="12"/>
        <v>106</v>
      </c>
      <c r="B107" s="300" t="s">
        <v>1200</v>
      </c>
      <c r="C107" s="300" t="s">
        <v>1045</v>
      </c>
      <c r="D107" s="300" t="s">
        <v>381</v>
      </c>
      <c r="E107" s="300" t="s">
        <v>382</v>
      </c>
      <c r="F107" s="300" t="s">
        <v>383</v>
      </c>
      <c r="G107" s="300" t="s">
        <v>29</v>
      </c>
      <c r="H107" s="300">
        <f t="shared" si="17"/>
        <v>0</v>
      </c>
      <c r="I107" s="249"/>
      <c r="J107" s="249"/>
      <c r="K107" s="249">
        <f>Master20[[#This Row],[Initial Budget]]-Master20[[#This Row],[Previously Committed Funds]]</f>
        <v>0</v>
      </c>
      <c r="L107" s="249"/>
      <c r="M107" s="249"/>
      <c r="N107" s="258">
        <f>Master20[[#This Row],[Design $ (Add/Deduct)]]+Master20[[#This Row],[Construction $ (Add/Ded)]]</f>
        <v>0</v>
      </c>
      <c r="O107" s="256">
        <v>15000000</v>
      </c>
      <c r="P107" s="301">
        <v>2018</v>
      </c>
      <c r="Q107" s="300" t="s">
        <v>688</v>
      </c>
      <c r="R107" s="301">
        <f t="shared" si="15"/>
        <v>20</v>
      </c>
      <c r="S107" s="302">
        <v>1</v>
      </c>
      <c r="T107" s="299">
        <f t="shared" si="18"/>
        <v>3</v>
      </c>
      <c r="U107" s="302" t="s">
        <v>47</v>
      </c>
      <c r="V107" s="302">
        <f t="shared" ref="V107:V138" si="19">VLOOKUP(U107,Urgency,2,FALSE)</f>
        <v>64</v>
      </c>
      <c r="W107" s="302" t="s">
        <v>34</v>
      </c>
      <c r="X107" s="302">
        <v>-5</v>
      </c>
      <c r="Y107" s="302">
        <v>0</v>
      </c>
      <c r="Z107" s="302">
        <v>-3</v>
      </c>
      <c r="AA107" s="302">
        <v>-3</v>
      </c>
      <c r="AB107" s="302">
        <v>0</v>
      </c>
      <c r="AC107" s="302">
        <v>-3</v>
      </c>
      <c r="AD107" s="302">
        <v>-3</v>
      </c>
      <c r="AE107" s="302"/>
      <c r="AF107" s="303" t="s">
        <v>29</v>
      </c>
      <c r="AG107" s="305">
        <f>VLOOKUP(Master20[[#This Row],[Elevated Priority]],Epriority,2,)</f>
        <v>0</v>
      </c>
      <c r="AH107" s="321">
        <f>IF(Master20[[#This Row],[Status]]="Active",Master20[[#This Row],[Status_Score]],IF(D107="","",R107+H107+T107+V107+AG107+AE107+Master20[[#This Row],[Risk Mitigation]]+Master20[[#This Row],[Master Plan]]+Master20[[#This Row],[Community Request]]+Master20[[#This Row],[Community need]]+Master20[[#This Row],[Offset Aging Inf.]]+Master20[[#This Row],[Energy Savings]]+Master20[[#This Row],[Gen Revenue]]-5))</f>
        <v>65</v>
      </c>
      <c r="AI107" s="302"/>
      <c r="AJ107" s="302"/>
      <c r="AK107" s="302"/>
      <c r="AL107" s="302"/>
      <c r="AM107" s="302"/>
      <c r="AN107" s="300"/>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row>
    <row r="108" spans="1:67" s="298" customFormat="1" ht="30" hidden="1" x14ac:dyDescent="0.25">
      <c r="A108" s="307">
        <f t="shared" si="12"/>
        <v>107</v>
      </c>
      <c r="B108" s="378" t="s">
        <v>65</v>
      </c>
      <c r="C108" s="300" t="s">
        <v>1045</v>
      </c>
      <c r="D108" s="300" t="s">
        <v>910</v>
      </c>
      <c r="E108" s="300" t="s">
        <v>919</v>
      </c>
      <c r="F108" s="300" t="s">
        <v>920</v>
      </c>
      <c r="G108" s="300" t="s">
        <v>29</v>
      </c>
      <c r="H108" s="300">
        <f t="shared" si="17"/>
        <v>0</v>
      </c>
      <c r="I108" s="249"/>
      <c r="J108" s="249"/>
      <c r="K108" s="249">
        <f>Master20[[#This Row],[Initial Budget]]-Master20[[#This Row],[Previously Committed Funds]]</f>
        <v>0</v>
      </c>
      <c r="L108" s="249"/>
      <c r="M108" s="249"/>
      <c r="N108" s="258">
        <f>Master20[[#This Row],[Design $ (Add/Deduct)]]+Master20[[#This Row],[Construction $ (Add/Ded)]]</f>
        <v>0</v>
      </c>
      <c r="O108" s="256">
        <v>5000000</v>
      </c>
      <c r="P108" s="301">
        <v>2018</v>
      </c>
      <c r="Q108" s="300" t="s">
        <v>46</v>
      </c>
      <c r="R108" s="301">
        <f t="shared" si="15"/>
        <v>50</v>
      </c>
      <c r="S108" s="302">
        <v>6</v>
      </c>
      <c r="T108" s="299">
        <f t="shared" si="18"/>
        <v>18</v>
      </c>
      <c r="U108" s="302" t="s">
        <v>43</v>
      </c>
      <c r="V108" s="302">
        <f t="shared" si="19"/>
        <v>16</v>
      </c>
      <c r="W108" s="302" t="s">
        <v>34</v>
      </c>
      <c r="X108" s="302">
        <v>-3</v>
      </c>
      <c r="Y108" s="302">
        <v>0</v>
      </c>
      <c r="Z108" s="302">
        <v>0</v>
      </c>
      <c r="AA108" s="302">
        <v>-3</v>
      </c>
      <c r="AB108" s="302">
        <v>-2</v>
      </c>
      <c r="AC108" s="302">
        <v>-5</v>
      </c>
      <c r="AD108" s="302">
        <v>0</v>
      </c>
      <c r="AE108" s="302"/>
      <c r="AF108" s="303" t="s">
        <v>29</v>
      </c>
      <c r="AG108" s="305">
        <f>VLOOKUP(Master20[[#This Row],[Elevated Priority]],Epriority,2,)</f>
        <v>0</v>
      </c>
      <c r="AH108" s="321">
        <f>IF(Master20[[#This Row],[Status]]="Active",Master20[[#This Row],[Status_Score]],IF(D108="","",R108+H108+T108+V108+AG108+AE108+Master20[[#This Row],[Risk Mitigation]]+Master20[[#This Row],[Master Plan]]+Master20[[#This Row],[Community Request]]+Master20[[#This Row],[Community need]]+Master20[[#This Row],[Offset Aging Inf.]]+Master20[[#This Row],[Energy Savings]]+Master20[[#This Row],[Gen Revenue]]-5))</f>
        <v>66</v>
      </c>
      <c r="AI108" s="302"/>
      <c r="AJ108" s="302"/>
      <c r="AK108" s="302"/>
      <c r="AL108" s="302"/>
      <c r="AM108" s="302"/>
      <c r="AN108" s="300"/>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row>
    <row r="109" spans="1:67" s="298" customFormat="1" hidden="1" x14ac:dyDescent="0.25">
      <c r="A109" s="307">
        <f t="shared" si="12"/>
        <v>108</v>
      </c>
      <c r="B109" s="300" t="s">
        <v>94</v>
      </c>
      <c r="C109" s="300" t="s">
        <v>1045</v>
      </c>
      <c r="D109" s="300" t="s">
        <v>581</v>
      </c>
      <c r="E109" s="300" t="s">
        <v>582</v>
      </c>
      <c r="F109" s="300"/>
      <c r="G109" s="300" t="s">
        <v>29</v>
      </c>
      <c r="H109" s="300">
        <f t="shared" si="17"/>
        <v>0</v>
      </c>
      <c r="I109" s="249"/>
      <c r="J109" s="249"/>
      <c r="K109" s="249">
        <f>Master20[[#This Row],[Initial Budget]]-Master20[[#This Row],[Previously Committed Funds]]</f>
        <v>0</v>
      </c>
      <c r="L109" s="249"/>
      <c r="M109" s="249"/>
      <c r="N109" s="258">
        <f>Master20[[#This Row],[Design $ (Add/Deduct)]]+Master20[[#This Row],[Construction $ (Add/Ded)]]</f>
        <v>0</v>
      </c>
      <c r="O109" s="256">
        <v>650000</v>
      </c>
      <c r="P109" s="301">
        <v>2019</v>
      </c>
      <c r="Q109" s="300" t="s">
        <v>687</v>
      </c>
      <c r="R109" s="301">
        <f t="shared" ref="R109:R140" si="20">VLOOKUP(Q109,Importance,2,FALSE)</f>
        <v>30</v>
      </c>
      <c r="S109" s="302">
        <v>19</v>
      </c>
      <c r="T109" s="299">
        <f t="shared" si="18"/>
        <v>26</v>
      </c>
      <c r="U109" s="302" t="s">
        <v>43</v>
      </c>
      <c r="V109" s="302">
        <f t="shared" si="19"/>
        <v>16</v>
      </c>
      <c r="W109" s="302" t="s">
        <v>30</v>
      </c>
      <c r="X109" s="302">
        <v>0</v>
      </c>
      <c r="Y109" s="302">
        <v>0</v>
      </c>
      <c r="Z109" s="302">
        <v>0</v>
      </c>
      <c r="AA109" s="302">
        <v>0</v>
      </c>
      <c r="AB109" s="302">
        <v>0</v>
      </c>
      <c r="AC109" s="302">
        <v>0</v>
      </c>
      <c r="AD109" s="302">
        <v>0</v>
      </c>
      <c r="AE109" s="302"/>
      <c r="AF109" s="303" t="s">
        <v>29</v>
      </c>
      <c r="AG109" s="305">
        <f>VLOOKUP(Master20[[#This Row],[Elevated Priority]],Epriority,2,)</f>
        <v>0</v>
      </c>
      <c r="AH109" s="321">
        <f>IF(Master20[[#This Row],[Status]]="Active",Master20[[#This Row],[Status_Score]],IF(D109="","",R109+H109+T109+V109+AG109+AE109+Master20[[#This Row],[Risk Mitigation]]+Master20[[#This Row],[Master Plan]]+Master20[[#This Row],[Community Request]]+Master20[[#This Row],[Community need]]+Master20[[#This Row],[Offset Aging Inf.]]+Master20[[#This Row],[Energy Savings]]+Master20[[#This Row],[Gen Revenue]]-5))</f>
        <v>67</v>
      </c>
      <c r="AI109" s="302"/>
      <c r="AJ109" s="302"/>
      <c r="AK109" s="302"/>
      <c r="AL109" s="302"/>
      <c r="AM109" s="302"/>
      <c r="AN109" s="300"/>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row>
    <row r="110" spans="1:67" s="298" customFormat="1" ht="30" hidden="1" x14ac:dyDescent="0.25">
      <c r="A110" s="307">
        <f t="shared" si="12"/>
        <v>109</v>
      </c>
      <c r="B110" s="378" t="s">
        <v>67</v>
      </c>
      <c r="C110" s="300" t="s">
        <v>995</v>
      </c>
      <c r="D110" s="300" t="s">
        <v>492</v>
      </c>
      <c r="E110" s="300" t="s">
        <v>493</v>
      </c>
      <c r="F110" s="300" t="s">
        <v>494</v>
      </c>
      <c r="G110" s="300" t="s">
        <v>29</v>
      </c>
      <c r="H110" s="300">
        <f t="shared" si="17"/>
        <v>0</v>
      </c>
      <c r="I110" s="249"/>
      <c r="J110" s="249"/>
      <c r="K110" s="249">
        <f>Master20[[#This Row],[Initial Budget]]-Master20[[#This Row],[Previously Committed Funds]]</f>
        <v>0</v>
      </c>
      <c r="L110" s="249"/>
      <c r="M110" s="249"/>
      <c r="N110" s="258">
        <f>Master20[[#This Row],[Design $ (Add/Deduct)]]+Master20[[#This Row],[Construction $ (Add/Ded)]]</f>
        <v>0</v>
      </c>
      <c r="O110" s="256">
        <v>75000</v>
      </c>
      <c r="P110" s="301">
        <v>2018</v>
      </c>
      <c r="Q110" s="300" t="s">
        <v>688</v>
      </c>
      <c r="R110" s="301">
        <f t="shared" si="20"/>
        <v>20</v>
      </c>
      <c r="S110" s="302">
        <v>10</v>
      </c>
      <c r="T110" s="299">
        <f t="shared" si="18"/>
        <v>21</v>
      </c>
      <c r="U110" s="302" t="s">
        <v>45</v>
      </c>
      <c r="V110" s="302">
        <f t="shared" si="19"/>
        <v>32</v>
      </c>
      <c r="W110" s="302" t="s">
        <v>30</v>
      </c>
      <c r="X110" s="302">
        <v>0</v>
      </c>
      <c r="Y110" s="302">
        <v>0</v>
      </c>
      <c r="Z110" s="302">
        <v>0</v>
      </c>
      <c r="AA110" s="302">
        <v>0</v>
      </c>
      <c r="AB110" s="302">
        <v>0</v>
      </c>
      <c r="AC110" s="302">
        <v>0</v>
      </c>
      <c r="AD110" s="302">
        <v>0</v>
      </c>
      <c r="AE110" s="302"/>
      <c r="AF110" s="303" t="s">
        <v>29</v>
      </c>
      <c r="AG110" s="305">
        <f>VLOOKUP(Master20[[#This Row],[Elevated Priority]],Epriority,2,)</f>
        <v>0</v>
      </c>
      <c r="AH110" s="321">
        <f>IF(Master20[[#This Row],[Status]]="Active",Master20[[#This Row],[Status_Score]],IF(D110="","",R110+H110+T110+V110+AG110+AE110+Master20[[#This Row],[Risk Mitigation]]+Master20[[#This Row],[Master Plan]]+Master20[[#This Row],[Community Request]]+Master20[[#This Row],[Community need]]+Master20[[#This Row],[Offset Aging Inf.]]+Master20[[#This Row],[Energy Savings]]+Master20[[#This Row],[Gen Revenue]]-5))</f>
        <v>68</v>
      </c>
      <c r="AI110" s="302"/>
      <c r="AJ110" s="302">
        <v>2024</v>
      </c>
      <c r="AK110" s="302">
        <v>2025</v>
      </c>
      <c r="AL110" s="302">
        <v>2024</v>
      </c>
      <c r="AM110" s="302">
        <v>2025</v>
      </c>
      <c r="AN110" s="300"/>
      <c r="AO110" s="306"/>
      <c r="AP110" s="306"/>
      <c r="AQ110" s="306"/>
      <c r="AR110" s="306"/>
      <c r="AS110" s="306"/>
      <c r="AT110" s="306"/>
      <c r="AU110" s="306"/>
      <c r="AV110" s="306"/>
      <c r="AW110" s="306"/>
      <c r="AX110" s="306"/>
      <c r="AY110" s="306"/>
      <c r="AZ110" s="306"/>
      <c r="BA110" s="306"/>
      <c r="BB110" s="306"/>
      <c r="BC110" s="306"/>
      <c r="BD110" s="306"/>
      <c r="BE110" s="306"/>
      <c r="BF110" s="306"/>
      <c r="BG110" s="306"/>
      <c r="BH110" s="306"/>
      <c r="BI110" s="306"/>
      <c r="BJ110" s="306"/>
      <c r="BK110" s="306"/>
      <c r="BL110" s="306"/>
      <c r="BM110" s="306"/>
      <c r="BN110" s="306"/>
      <c r="BO110" s="306"/>
    </row>
    <row r="111" spans="1:67" s="298" customFormat="1" ht="75" hidden="1" x14ac:dyDescent="0.25">
      <c r="A111" s="307">
        <f t="shared" si="12"/>
        <v>110</v>
      </c>
      <c r="B111" s="300" t="s">
        <v>1200</v>
      </c>
      <c r="C111" s="300" t="s">
        <v>1045</v>
      </c>
      <c r="D111" s="300" t="s">
        <v>1089</v>
      </c>
      <c r="E111" s="300" t="s">
        <v>1091</v>
      </c>
      <c r="F111" s="300" t="s">
        <v>1090</v>
      </c>
      <c r="G111" s="300" t="s">
        <v>29</v>
      </c>
      <c r="H111" s="300">
        <f t="shared" si="17"/>
        <v>0</v>
      </c>
      <c r="I111" s="249"/>
      <c r="J111" s="249"/>
      <c r="K111" s="249">
        <f>Master20[[#This Row],[Initial Budget]]-Master20[[#This Row],[Previously Committed Funds]]</f>
        <v>0</v>
      </c>
      <c r="L111" s="249"/>
      <c r="M111" s="249"/>
      <c r="N111" s="258">
        <f>Master20[[#This Row],[Design $ (Add/Deduct)]]+Master20[[#This Row],[Construction $ (Add/Ded)]]</f>
        <v>0</v>
      </c>
      <c r="O111" s="256">
        <v>125000</v>
      </c>
      <c r="P111" s="301">
        <v>2022</v>
      </c>
      <c r="Q111" s="300" t="s">
        <v>686</v>
      </c>
      <c r="R111" s="301">
        <f t="shared" si="20"/>
        <v>60</v>
      </c>
      <c r="S111" s="302">
        <v>4</v>
      </c>
      <c r="T111" s="299">
        <f t="shared" si="18"/>
        <v>12</v>
      </c>
      <c r="U111" s="302" t="s">
        <v>41</v>
      </c>
      <c r="V111" s="302">
        <f t="shared" si="19"/>
        <v>4</v>
      </c>
      <c r="W111" s="302" t="s">
        <v>30</v>
      </c>
      <c r="X111" s="302">
        <v>0</v>
      </c>
      <c r="Y111" s="302">
        <v>0</v>
      </c>
      <c r="Z111" s="302">
        <v>0</v>
      </c>
      <c r="AA111" s="302">
        <v>0</v>
      </c>
      <c r="AB111" s="302">
        <v>0</v>
      </c>
      <c r="AC111" s="302">
        <v>0</v>
      </c>
      <c r="AD111" s="302">
        <v>-3</v>
      </c>
      <c r="AE111" s="302"/>
      <c r="AF111" s="303" t="s">
        <v>29</v>
      </c>
      <c r="AG111" s="305">
        <f>VLOOKUP(Master20[[#This Row],[Elevated Priority]],Epriority,2,)</f>
        <v>0</v>
      </c>
      <c r="AH111" s="321">
        <f>IF(Master20[[#This Row],[Status]]="Active",Master20[[#This Row],[Status_Score]],IF(D111="","",R111+H111+T111+V111+AG111+AE111+Master20[[#This Row],[Risk Mitigation]]+Master20[[#This Row],[Master Plan]]+Master20[[#This Row],[Community Request]]+Master20[[#This Row],[Community need]]+Master20[[#This Row],[Offset Aging Inf.]]+Master20[[#This Row],[Energy Savings]]+Master20[[#This Row],[Gen Revenue]]-5))</f>
        <v>68</v>
      </c>
      <c r="AI111" s="302"/>
      <c r="AJ111" s="302"/>
      <c r="AK111" s="302"/>
      <c r="AL111" s="302"/>
      <c r="AM111" s="302"/>
      <c r="AN111" s="300"/>
      <c r="AO111" s="306"/>
      <c r="AP111" s="306"/>
      <c r="AQ111" s="306"/>
      <c r="AR111" s="306"/>
      <c r="AS111" s="306"/>
      <c r="AT111" s="306"/>
      <c r="AU111" s="306"/>
      <c r="AV111" s="306"/>
      <c r="AW111" s="306"/>
      <c r="AX111" s="306"/>
      <c r="AY111" s="306"/>
      <c r="AZ111" s="306"/>
      <c r="BA111" s="306"/>
      <c r="BB111" s="306"/>
      <c r="BC111" s="306"/>
      <c r="BD111" s="306"/>
      <c r="BE111" s="306"/>
      <c r="BF111" s="306"/>
      <c r="BG111" s="306"/>
      <c r="BH111" s="306"/>
      <c r="BI111" s="306"/>
      <c r="BJ111" s="306"/>
      <c r="BK111" s="306"/>
      <c r="BL111" s="306"/>
      <c r="BM111" s="306"/>
      <c r="BN111" s="306"/>
      <c r="BO111" s="306"/>
    </row>
    <row r="112" spans="1:67" s="298" customFormat="1" ht="30" hidden="1" x14ac:dyDescent="0.25">
      <c r="A112" s="307">
        <f t="shared" si="12"/>
        <v>111</v>
      </c>
      <c r="B112" s="378" t="s">
        <v>70</v>
      </c>
      <c r="C112" s="300" t="s">
        <v>1045</v>
      </c>
      <c r="D112" s="300" t="s">
        <v>366</v>
      </c>
      <c r="E112" s="300" t="s">
        <v>367</v>
      </c>
      <c r="F112" s="300" t="s">
        <v>368</v>
      </c>
      <c r="G112" s="300" t="s">
        <v>29</v>
      </c>
      <c r="H112" s="300">
        <f t="shared" si="17"/>
        <v>0</v>
      </c>
      <c r="I112" s="249"/>
      <c r="J112" s="249"/>
      <c r="K112" s="249">
        <f>Master20[[#This Row],[Initial Budget]]-Master20[[#This Row],[Previously Committed Funds]]</f>
        <v>0</v>
      </c>
      <c r="L112" s="249"/>
      <c r="M112" s="249"/>
      <c r="N112" s="258">
        <f>Master20[[#This Row],[Design $ (Add/Deduct)]]+Master20[[#This Row],[Construction $ (Add/Ded)]]</f>
        <v>0</v>
      </c>
      <c r="O112" s="256">
        <v>5000</v>
      </c>
      <c r="P112" s="301">
        <v>2018</v>
      </c>
      <c r="Q112" s="300" t="s">
        <v>686</v>
      </c>
      <c r="R112" s="301">
        <f t="shared" si="20"/>
        <v>60</v>
      </c>
      <c r="S112" s="302">
        <v>3</v>
      </c>
      <c r="T112" s="299">
        <f t="shared" si="18"/>
        <v>9</v>
      </c>
      <c r="U112" s="302" t="s">
        <v>41</v>
      </c>
      <c r="V112" s="302">
        <f t="shared" si="19"/>
        <v>4</v>
      </c>
      <c r="W112" s="302" t="s">
        <v>30</v>
      </c>
      <c r="X112" s="302">
        <v>0</v>
      </c>
      <c r="Y112" s="302">
        <v>0</v>
      </c>
      <c r="Z112" s="302">
        <v>0</v>
      </c>
      <c r="AA112" s="302">
        <v>0</v>
      </c>
      <c r="AB112" s="302">
        <v>0</v>
      </c>
      <c r="AC112" s="302">
        <v>0</v>
      </c>
      <c r="AD112" s="302">
        <v>0</v>
      </c>
      <c r="AE112" s="302"/>
      <c r="AF112" s="303" t="s">
        <v>29</v>
      </c>
      <c r="AG112" s="305">
        <f>VLOOKUP(Master20[[#This Row],[Elevated Priority]],Epriority,2,)</f>
        <v>0</v>
      </c>
      <c r="AH112" s="321">
        <f>IF(Master20[[#This Row],[Status]]="Active",Master20[[#This Row],[Status_Score]],IF(D112="","",R112+H112+T112+V112+AG112+AE112+Master20[[#This Row],[Risk Mitigation]]+Master20[[#This Row],[Master Plan]]+Master20[[#This Row],[Community Request]]+Master20[[#This Row],[Community need]]+Master20[[#This Row],[Offset Aging Inf.]]+Master20[[#This Row],[Energy Savings]]+Master20[[#This Row],[Gen Revenue]]-5))</f>
        <v>68</v>
      </c>
      <c r="AI112" s="302"/>
      <c r="AJ112" s="302">
        <v>2023</v>
      </c>
      <c r="AK112" s="302">
        <v>2024</v>
      </c>
      <c r="AL112" s="302">
        <v>2023</v>
      </c>
      <c r="AM112" s="302">
        <v>2024</v>
      </c>
      <c r="AN112" s="300"/>
      <c r="AO112" s="306"/>
      <c r="AP112" s="306"/>
      <c r="AQ112" s="306"/>
      <c r="AR112" s="306"/>
      <c r="AS112" s="306"/>
      <c r="AT112" s="306"/>
      <c r="AU112" s="306"/>
      <c r="AV112" s="306"/>
      <c r="AW112" s="306"/>
      <c r="AX112" s="306"/>
      <c r="AY112" s="306"/>
      <c r="AZ112" s="306"/>
      <c r="BA112" s="306"/>
      <c r="BB112" s="306"/>
      <c r="BC112" s="306"/>
      <c r="BD112" s="306"/>
      <c r="BE112" s="306"/>
      <c r="BF112" s="306"/>
      <c r="BG112" s="306"/>
      <c r="BH112" s="306"/>
      <c r="BI112" s="306"/>
      <c r="BJ112" s="306"/>
      <c r="BK112" s="306"/>
      <c r="BL112" s="306"/>
      <c r="BM112" s="306"/>
      <c r="BN112" s="306"/>
      <c r="BO112" s="306"/>
    </row>
    <row r="113" spans="1:67" s="298" customFormat="1" ht="45" hidden="1" x14ac:dyDescent="0.25">
      <c r="A113" s="307">
        <f t="shared" si="12"/>
        <v>112</v>
      </c>
      <c r="B113" s="300" t="s">
        <v>70</v>
      </c>
      <c r="C113" s="300" t="s">
        <v>1045</v>
      </c>
      <c r="D113" s="300" t="s">
        <v>1087</v>
      </c>
      <c r="E113" s="300" t="s">
        <v>1111</v>
      </c>
      <c r="F113" s="300" t="s">
        <v>1114</v>
      </c>
      <c r="G113" s="300" t="s">
        <v>29</v>
      </c>
      <c r="H113" s="300">
        <f t="shared" si="17"/>
        <v>0</v>
      </c>
      <c r="I113" s="249"/>
      <c r="J113" s="249"/>
      <c r="K113" s="249">
        <f>Master20[[#This Row],[Initial Budget]]-Master20[[#This Row],[Previously Committed Funds]]</f>
        <v>0</v>
      </c>
      <c r="L113" s="249"/>
      <c r="M113" s="249"/>
      <c r="N113" s="258">
        <f>Master20[[#This Row],[Design $ (Add/Deduct)]]+Master20[[#This Row],[Construction $ (Add/Ded)]]</f>
        <v>0</v>
      </c>
      <c r="O113" s="256">
        <v>75000</v>
      </c>
      <c r="P113" s="301">
        <v>2022</v>
      </c>
      <c r="Q113" s="300" t="s">
        <v>46</v>
      </c>
      <c r="R113" s="301">
        <f t="shared" si="20"/>
        <v>50</v>
      </c>
      <c r="S113" s="302">
        <v>4</v>
      </c>
      <c r="T113" s="299">
        <f t="shared" si="18"/>
        <v>12</v>
      </c>
      <c r="U113" s="302" t="s">
        <v>43</v>
      </c>
      <c r="V113" s="302">
        <f t="shared" si="19"/>
        <v>16</v>
      </c>
      <c r="W113" s="302" t="s">
        <v>34</v>
      </c>
      <c r="X113" s="302">
        <v>0</v>
      </c>
      <c r="Y113" s="302">
        <v>0</v>
      </c>
      <c r="Z113" s="302">
        <v>0</v>
      </c>
      <c r="AA113" s="302">
        <v>0</v>
      </c>
      <c r="AB113" s="302">
        <v>-2</v>
      </c>
      <c r="AC113" s="302">
        <v>0</v>
      </c>
      <c r="AD113" s="302">
        <v>-1</v>
      </c>
      <c r="AE113" s="302"/>
      <c r="AF113" s="303" t="s">
        <v>29</v>
      </c>
      <c r="AG113" s="305">
        <f>VLOOKUP(Master20[[#This Row],[Elevated Priority]],Epriority,2,)</f>
        <v>0</v>
      </c>
      <c r="AH113" s="321">
        <f>IF(Master20[[#This Row],[Status]]="Active",Master20[[#This Row],[Status_Score]],IF(D113="","",R113+H113+T113+V113+AG113+AE113+Master20[[#This Row],[Risk Mitigation]]+Master20[[#This Row],[Master Plan]]+Master20[[#This Row],[Community Request]]+Master20[[#This Row],[Community need]]+Master20[[#This Row],[Offset Aging Inf.]]+Master20[[#This Row],[Energy Savings]]+Master20[[#This Row],[Gen Revenue]]-5))</f>
        <v>70</v>
      </c>
      <c r="AI113" s="302"/>
      <c r="AJ113" s="302"/>
      <c r="AK113" s="302"/>
      <c r="AL113" s="302"/>
      <c r="AM113" s="302"/>
      <c r="AN113" s="300"/>
      <c r="AO113" s="306"/>
      <c r="AP113" s="306"/>
      <c r="AQ113" s="306"/>
      <c r="AR113" s="306"/>
      <c r="AS113" s="306"/>
      <c r="AT113" s="306"/>
      <c r="AU113" s="306"/>
      <c r="AV113" s="306"/>
      <c r="AW113" s="306"/>
      <c r="AX113" s="306"/>
      <c r="AY113" s="306"/>
      <c r="AZ113" s="306"/>
      <c r="BA113" s="306"/>
      <c r="BB113" s="306"/>
      <c r="BC113" s="306"/>
      <c r="BD113" s="306"/>
      <c r="BE113" s="306"/>
      <c r="BF113" s="306"/>
      <c r="BG113" s="306"/>
      <c r="BH113" s="306"/>
      <c r="BI113" s="306"/>
      <c r="BJ113" s="306"/>
      <c r="BK113" s="306"/>
      <c r="BL113" s="306"/>
      <c r="BM113" s="306"/>
      <c r="BN113" s="306"/>
      <c r="BO113" s="306"/>
    </row>
    <row r="114" spans="1:67" s="298" customFormat="1" ht="30" hidden="1" x14ac:dyDescent="0.25">
      <c r="A114" s="307">
        <f t="shared" si="12"/>
        <v>113</v>
      </c>
      <c r="B114" s="378" t="s">
        <v>79</v>
      </c>
      <c r="C114" s="300" t="s">
        <v>1045</v>
      </c>
      <c r="D114" s="300" t="s">
        <v>510</v>
      </c>
      <c r="E114" s="300" t="s">
        <v>511</v>
      </c>
      <c r="F114" s="300" t="s">
        <v>512</v>
      </c>
      <c r="G114" s="300" t="s">
        <v>29</v>
      </c>
      <c r="H114" s="300">
        <f t="shared" si="17"/>
        <v>0</v>
      </c>
      <c r="I114" s="249"/>
      <c r="J114" s="249"/>
      <c r="K114" s="249">
        <f>Master20[[#This Row],[Initial Budget]]-Master20[[#This Row],[Previously Committed Funds]]</f>
        <v>0</v>
      </c>
      <c r="L114" s="249"/>
      <c r="M114" s="249"/>
      <c r="N114" s="258">
        <f>Master20[[#This Row],[Design $ (Add/Deduct)]]+Master20[[#This Row],[Construction $ (Add/Ded)]]</f>
        <v>0</v>
      </c>
      <c r="O114" s="256">
        <v>15000</v>
      </c>
      <c r="P114" s="301">
        <v>2018</v>
      </c>
      <c r="Q114" s="300" t="s">
        <v>688</v>
      </c>
      <c r="R114" s="301">
        <f t="shared" si="20"/>
        <v>20</v>
      </c>
      <c r="S114" s="302">
        <v>16</v>
      </c>
      <c r="T114" s="299">
        <f t="shared" si="18"/>
        <v>24</v>
      </c>
      <c r="U114" s="302" t="s">
        <v>45</v>
      </c>
      <c r="V114" s="302">
        <f t="shared" si="19"/>
        <v>32</v>
      </c>
      <c r="W114" s="302" t="s">
        <v>30</v>
      </c>
      <c r="X114" s="302">
        <v>0</v>
      </c>
      <c r="Y114" s="302">
        <v>0</v>
      </c>
      <c r="Z114" s="302">
        <v>0</v>
      </c>
      <c r="AA114" s="302">
        <v>0</v>
      </c>
      <c r="AB114" s="302">
        <v>0</v>
      </c>
      <c r="AC114" s="302">
        <v>0</v>
      </c>
      <c r="AD114" s="302">
        <v>0</v>
      </c>
      <c r="AE114" s="302"/>
      <c r="AF114" s="303" t="s">
        <v>29</v>
      </c>
      <c r="AG114" s="305">
        <f>VLOOKUP(Master20[[#This Row],[Elevated Priority]],Epriority,2,)</f>
        <v>0</v>
      </c>
      <c r="AH114" s="321">
        <f>IF(Master20[[#This Row],[Status]]="Active",Master20[[#This Row],[Status_Score]],IF(D114="","",R114+H114+T114+V114+AG114+AE114+Master20[[#This Row],[Risk Mitigation]]+Master20[[#This Row],[Master Plan]]+Master20[[#This Row],[Community Request]]+Master20[[#This Row],[Community need]]+Master20[[#This Row],[Offset Aging Inf.]]+Master20[[#This Row],[Energy Savings]]+Master20[[#This Row],[Gen Revenue]]-5))</f>
        <v>71</v>
      </c>
      <c r="AI114" s="302"/>
      <c r="AJ114" s="302">
        <v>2024</v>
      </c>
      <c r="AK114" s="302">
        <v>2025</v>
      </c>
      <c r="AL114" s="302">
        <v>2024</v>
      </c>
      <c r="AM114" s="302">
        <v>2025</v>
      </c>
      <c r="AN114" s="300"/>
      <c r="AO114" s="306"/>
      <c r="AP114" s="306"/>
      <c r="AQ114" s="306"/>
      <c r="AR114" s="306"/>
      <c r="AS114" s="306"/>
      <c r="AT114" s="306"/>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row>
    <row r="115" spans="1:67" s="298" customFormat="1" ht="105" hidden="1" x14ac:dyDescent="0.25">
      <c r="A115" s="307">
        <f t="shared" si="12"/>
        <v>114</v>
      </c>
      <c r="B115" s="300" t="s">
        <v>1214</v>
      </c>
      <c r="C115" s="300" t="s">
        <v>923</v>
      </c>
      <c r="D115" s="300" t="s">
        <v>1073</v>
      </c>
      <c r="E115" s="300" t="s">
        <v>1074</v>
      </c>
      <c r="F115" s="300" t="s">
        <v>1075</v>
      </c>
      <c r="G115" s="300" t="s">
        <v>29</v>
      </c>
      <c r="H115" s="300">
        <f t="shared" si="17"/>
        <v>0</v>
      </c>
      <c r="I115" s="249"/>
      <c r="J115" s="249"/>
      <c r="K115" s="249">
        <f>Master20[[#This Row],[Initial Budget]]-Master20[[#This Row],[Previously Committed Funds]]</f>
        <v>0</v>
      </c>
      <c r="L115" s="249"/>
      <c r="M115" s="249"/>
      <c r="N115" s="258">
        <f>Master20[[#This Row],[Design $ (Add/Deduct)]]+Master20[[#This Row],[Construction $ (Add/Ded)]]</f>
        <v>0</v>
      </c>
      <c r="O115" s="256">
        <v>50000</v>
      </c>
      <c r="P115" s="301">
        <v>2022</v>
      </c>
      <c r="Q115" s="300" t="s">
        <v>686</v>
      </c>
      <c r="R115" s="301">
        <f t="shared" si="20"/>
        <v>60</v>
      </c>
      <c r="S115" s="302">
        <v>5</v>
      </c>
      <c r="T115" s="299">
        <f t="shared" si="18"/>
        <v>15</v>
      </c>
      <c r="U115" s="302" t="s">
        <v>37</v>
      </c>
      <c r="V115" s="302">
        <f t="shared" si="19"/>
        <v>3</v>
      </c>
      <c r="W115" s="302" t="s">
        <v>34</v>
      </c>
      <c r="X115" s="302">
        <v>0</v>
      </c>
      <c r="Y115" s="302">
        <v>0</v>
      </c>
      <c r="Z115" s="302">
        <v>0</v>
      </c>
      <c r="AA115" s="302">
        <v>0</v>
      </c>
      <c r="AB115" s="302">
        <v>-2</v>
      </c>
      <c r="AC115" s="302">
        <v>0</v>
      </c>
      <c r="AD115" s="302">
        <v>0</v>
      </c>
      <c r="AE115" s="302"/>
      <c r="AF115" s="303" t="s">
        <v>29</v>
      </c>
      <c r="AG115" s="305">
        <f>VLOOKUP(Master20[[#This Row],[Elevated Priority]],Epriority,2,)</f>
        <v>0</v>
      </c>
      <c r="AH115" s="321">
        <f>IF(Master20[[#This Row],[Status]]="Active",Master20[[#This Row],[Status_Score]],IF(D115="","",R115+H115+T115+V115+AG115+AE115+Master20[[#This Row],[Risk Mitigation]]+Master20[[#This Row],[Master Plan]]+Master20[[#This Row],[Community Request]]+Master20[[#This Row],[Community need]]+Master20[[#This Row],[Offset Aging Inf.]]+Master20[[#This Row],[Energy Savings]]+Master20[[#This Row],[Gen Revenue]]-5))</f>
        <v>71</v>
      </c>
      <c r="AI115" s="302"/>
      <c r="AJ115" s="302"/>
      <c r="AK115" s="302"/>
      <c r="AL115" s="302">
        <v>2023</v>
      </c>
      <c r="AM115" s="302">
        <v>2024</v>
      </c>
      <c r="AN115" s="300"/>
      <c r="AO115" s="306"/>
      <c r="AP115" s="306"/>
      <c r="AQ115" s="306"/>
      <c r="AR115" s="306"/>
      <c r="AS115" s="306"/>
      <c r="AT115" s="306"/>
      <c r="AU115" s="306"/>
      <c r="AV115" s="306"/>
      <c r="AW115" s="306"/>
      <c r="AX115" s="306"/>
      <c r="AY115" s="306"/>
      <c r="AZ115" s="306"/>
      <c r="BA115" s="306"/>
      <c r="BB115" s="306"/>
      <c r="BC115" s="306"/>
      <c r="BD115" s="306"/>
      <c r="BE115" s="306"/>
      <c r="BF115" s="306"/>
      <c r="BG115" s="306"/>
      <c r="BH115" s="306"/>
      <c r="BI115" s="306"/>
      <c r="BJ115" s="306"/>
      <c r="BK115" s="306"/>
      <c r="BL115" s="306"/>
      <c r="BM115" s="306"/>
      <c r="BN115" s="306"/>
      <c r="BO115" s="306"/>
    </row>
    <row r="116" spans="1:67" s="298" customFormat="1" ht="60" hidden="1" x14ac:dyDescent="0.25">
      <c r="A116" s="307">
        <f t="shared" si="12"/>
        <v>115</v>
      </c>
      <c r="B116" s="378" t="s">
        <v>220</v>
      </c>
      <c r="C116" s="300" t="s">
        <v>79</v>
      </c>
      <c r="D116" s="300" t="s">
        <v>783</v>
      </c>
      <c r="E116" s="300" t="s">
        <v>785</v>
      </c>
      <c r="F116" s="300" t="s">
        <v>804</v>
      </c>
      <c r="G116" s="300" t="s">
        <v>29</v>
      </c>
      <c r="H116" s="300">
        <f t="shared" si="17"/>
        <v>0</v>
      </c>
      <c r="I116" s="249"/>
      <c r="J116" s="249"/>
      <c r="K116" s="249">
        <f>Master20[[#This Row],[Initial Budget]]-Master20[[#This Row],[Previously Committed Funds]]</f>
        <v>0</v>
      </c>
      <c r="L116" s="249"/>
      <c r="M116" s="249"/>
      <c r="N116" s="258">
        <f>Master20[[#This Row],[Design $ (Add/Deduct)]]+Master20[[#This Row],[Construction $ (Add/Ded)]]</f>
        <v>0</v>
      </c>
      <c r="O116" s="256">
        <v>100000</v>
      </c>
      <c r="P116" s="301">
        <v>2017</v>
      </c>
      <c r="Q116" s="300" t="s">
        <v>686</v>
      </c>
      <c r="R116" s="301">
        <f t="shared" si="20"/>
        <v>60</v>
      </c>
      <c r="S116" s="302">
        <v>1</v>
      </c>
      <c r="T116" s="299">
        <f t="shared" si="18"/>
        <v>3</v>
      </c>
      <c r="U116" s="302" t="s">
        <v>43</v>
      </c>
      <c r="V116" s="302">
        <f t="shared" si="19"/>
        <v>16</v>
      </c>
      <c r="W116" s="302" t="s">
        <v>34</v>
      </c>
      <c r="X116" s="302">
        <v>0</v>
      </c>
      <c r="Y116" s="302">
        <v>0</v>
      </c>
      <c r="Z116" s="302">
        <v>0</v>
      </c>
      <c r="AA116" s="302">
        <v>0</v>
      </c>
      <c r="AB116" s="302">
        <v>0</v>
      </c>
      <c r="AC116" s="302">
        <v>0</v>
      </c>
      <c r="AD116" s="302">
        <v>-3</v>
      </c>
      <c r="AE116" s="302"/>
      <c r="AF116" s="303" t="s">
        <v>29</v>
      </c>
      <c r="AG116" s="305">
        <f>VLOOKUP(Master20[[#This Row],[Elevated Priority]],Epriority,2,)</f>
        <v>0</v>
      </c>
      <c r="AH116" s="321">
        <f>IF(Master20[[#This Row],[Status]]="Active",Master20[[#This Row],[Status_Score]],IF(D116="","",R116+H116+T116+V116+AG116+AE116+Master20[[#This Row],[Risk Mitigation]]+Master20[[#This Row],[Master Plan]]+Master20[[#This Row],[Community Request]]+Master20[[#This Row],[Community need]]+Master20[[#This Row],[Offset Aging Inf.]]+Master20[[#This Row],[Energy Savings]]+Master20[[#This Row],[Gen Revenue]]-5))</f>
        <v>71</v>
      </c>
      <c r="AI116" s="302"/>
      <c r="AJ116" s="302"/>
      <c r="AK116" s="302"/>
      <c r="AL116" s="302">
        <v>2023</v>
      </c>
      <c r="AM116" s="302">
        <v>2025</v>
      </c>
      <c r="AN116" s="300"/>
      <c r="AO116" s="306"/>
      <c r="AP116" s="306"/>
      <c r="AQ116" s="306"/>
      <c r="AR116" s="306"/>
      <c r="AS116" s="30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row>
    <row r="117" spans="1:67" s="298" customFormat="1" ht="60" hidden="1" x14ac:dyDescent="0.25">
      <c r="A117" s="307">
        <f t="shared" si="12"/>
        <v>116</v>
      </c>
      <c r="B117" s="300" t="s">
        <v>65</v>
      </c>
      <c r="C117" s="300" t="s">
        <v>1045</v>
      </c>
      <c r="D117" s="300" t="s">
        <v>567</v>
      </c>
      <c r="E117" s="300" t="s">
        <v>911</v>
      </c>
      <c r="F117" s="300" t="s">
        <v>569</v>
      </c>
      <c r="G117" s="300" t="s">
        <v>29</v>
      </c>
      <c r="H117" s="300">
        <f t="shared" si="17"/>
        <v>0</v>
      </c>
      <c r="I117" s="249"/>
      <c r="J117" s="249"/>
      <c r="K117" s="249">
        <f>Master20[[#This Row],[Initial Budget]]-Master20[[#This Row],[Previously Committed Funds]]</f>
        <v>0</v>
      </c>
      <c r="L117" s="249"/>
      <c r="M117" s="249"/>
      <c r="N117" s="258">
        <f>Master20[[#This Row],[Design $ (Add/Deduct)]]+Master20[[#This Row],[Construction $ (Add/Ded)]]</f>
        <v>0</v>
      </c>
      <c r="O117" s="256">
        <v>5000000</v>
      </c>
      <c r="P117" s="301">
        <v>2018</v>
      </c>
      <c r="Q117" s="300" t="s">
        <v>46</v>
      </c>
      <c r="R117" s="301">
        <f t="shared" si="20"/>
        <v>50</v>
      </c>
      <c r="S117" s="302">
        <v>5</v>
      </c>
      <c r="T117" s="299">
        <f t="shared" si="18"/>
        <v>15</v>
      </c>
      <c r="U117" s="302" t="s">
        <v>45</v>
      </c>
      <c r="V117" s="302">
        <f t="shared" si="19"/>
        <v>32</v>
      </c>
      <c r="W117" s="302" t="s">
        <v>34</v>
      </c>
      <c r="X117" s="302">
        <v>-9</v>
      </c>
      <c r="Y117" s="302">
        <v>0</v>
      </c>
      <c r="Z117" s="302">
        <v>0</v>
      </c>
      <c r="AA117" s="302">
        <v>-3</v>
      </c>
      <c r="AB117" s="302">
        <v>-2</v>
      </c>
      <c r="AC117" s="302">
        <v>-7</v>
      </c>
      <c r="AD117" s="302">
        <v>0</v>
      </c>
      <c r="AE117" s="302"/>
      <c r="AF117" s="303" t="s">
        <v>29</v>
      </c>
      <c r="AG117" s="305">
        <f>VLOOKUP(Master20[[#This Row],[Elevated Priority]],Epriority,2,)</f>
        <v>0</v>
      </c>
      <c r="AH117" s="321">
        <f>IF(Master20[[#This Row],[Status]]="Active",Master20[[#This Row],[Status_Score]],IF(D117="","",R117+H117+T117+V117+AG117+AE117+Master20[[#This Row],[Risk Mitigation]]+Master20[[#This Row],[Master Plan]]+Master20[[#This Row],[Community Request]]+Master20[[#This Row],[Community need]]+Master20[[#This Row],[Offset Aging Inf.]]+Master20[[#This Row],[Energy Savings]]+Master20[[#This Row],[Gen Revenue]]-5))</f>
        <v>71</v>
      </c>
      <c r="AI117" s="302"/>
      <c r="AJ117" s="302"/>
      <c r="AK117" s="302"/>
      <c r="AL117" s="302">
        <v>2023</v>
      </c>
      <c r="AM117" s="302">
        <v>2025</v>
      </c>
      <c r="AN117" s="300"/>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row>
    <row r="118" spans="1:67" s="298" customFormat="1" ht="45" hidden="1" x14ac:dyDescent="0.25">
      <c r="A118" s="307">
        <f t="shared" si="12"/>
        <v>117</v>
      </c>
      <c r="B118" s="378" t="s">
        <v>67</v>
      </c>
      <c r="C118" s="300" t="s">
        <v>1045</v>
      </c>
      <c r="D118" s="300" t="s">
        <v>992</v>
      </c>
      <c r="E118" s="300" t="s">
        <v>993</v>
      </c>
      <c r="F118" s="300" t="s">
        <v>994</v>
      </c>
      <c r="G118" s="300" t="s">
        <v>29</v>
      </c>
      <c r="H118" s="300">
        <f t="shared" si="17"/>
        <v>0</v>
      </c>
      <c r="I118" s="249"/>
      <c r="J118" s="249"/>
      <c r="K118" s="249">
        <f>Master20[[#This Row],[Initial Budget]]-Master20[[#This Row],[Previously Committed Funds]]</f>
        <v>0</v>
      </c>
      <c r="L118" s="249"/>
      <c r="M118" s="249"/>
      <c r="N118" s="258">
        <f>Master20[[#This Row],[Design $ (Add/Deduct)]]+Master20[[#This Row],[Construction $ (Add/Ded)]]</f>
        <v>0</v>
      </c>
      <c r="O118" s="256">
        <v>1600000</v>
      </c>
      <c r="P118" s="301">
        <v>2021</v>
      </c>
      <c r="Q118" s="300" t="s">
        <v>46</v>
      </c>
      <c r="R118" s="301">
        <f t="shared" si="20"/>
        <v>50</v>
      </c>
      <c r="S118" s="302">
        <v>4</v>
      </c>
      <c r="T118" s="299">
        <f t="shared" si="18"/>
        <v>12</v>
      </c>
      <c r="U118" s="302" t="s">
        <v>43</v>
      </c>
      <c r="V118" s="302">
        <f t="shared" si="19"/>
        <v>16</v>
      </c>
      <c r="W118" s="302" t="s">
        <v>34</v>
      </c>
      <c r="X118" s="302">
        <v>0</v>
      </c>
      <c r="Y118" s="302">
        <v>0</v>
      </c>
      <c r="Z118" s="302">
        <v>0</v>
      </c>
      <c r="AA118" s="302">
        <v>0</v>
      </c>
      <c r="AB118" s="302">
        <v>0</v>
      </c>
      <c r="AC118" s="302">
        <v>-1</v>
      </c>
      <c r="AD118" s="302">
        <v>0</v>
      </c>
      <c r="AE118" s="302"/>
      <c r="AF118" s="303" t="s">
        <v>29</v>
      </c>
      <c r="AG118" s="305">
        <f>VLOOKUP(Master20[[#This Row],[Elevated Priority]],Epriority,2,)</f>
        <v>0</v>
      </c>
      <c r="AH118" s="321">
        <f>IF(Master20[[#This Row],[Status]]="Active",Master20[[#This Row],[Status_Score]],IF(D118="","",R118+H118+T118+V118+AG118+AE118+Master20[[#This Row],[Risk Mitigation]]+Master20[[#This Row],[Master Plan]]+Master20[[#This Row],[Community Request]]+Master20[[#This Row],[Community need]]+Master20[[#This Row],[Offset Aging Inf.]]+Master20[[#This Row],[Energy Savings]]+Master20[[#This Row],[Gen Revenue]]-5))</f>
        <v>72</v>
      </c>
      <c r="AI118" s="302"/>
      <c r="AJ118" s="302">
        <v>2024</v>
      </c>
      <c r="AK118" s="302">
        <v>2025</v>
      </c>
      <c r="AL118" s="302">
        <v>2024</v>
      </c>
      <c r="AM118" s="302">
        <v>2025</v>
      </c>
      <c r="AN118" s="300"/>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row>
    <row r="119" spans="1:67" s="298" customFormat="1" ht="30" hidden="1" x14ac:dyDescent="0.25">
      <c r="A119" s="307">
        <f t="shared" si="12"/>
        <v>118</v>
      </c>
      <c r="B119" s="300" t="s">
        <v>67</v>
      </c>
      <c r="C119" s="300" t="s">
        <v>995</v>
      </c>
      <c r="D119" s="300" t="s">
        <v>996</v>
      </c>
      <c r="E119" s="300" t="s">
        <v>997</v>
      </c>
      <c r="F119" s="300" t="s">
        <v>994</v>
      </c>
      <c r="G119" s="300" t="s">
        <v>29</v>
      </c>
      <c r="H119" s="300">
        <f t="shared" si="17"/>
        <v>0</v>
      </c>
      <c r="I119" s="249"/>
      <c r="J119" s="249"/>
      <c r="K119" s="249">
        <f>Master20[[#This Row],[Initial Budget]]-Master20[[#This Row],[Previously Committed Funds]]</f>
        <v>0</v>
      </c>
      <c r="L119" s="249"/>
      <c r="M119" s="249"/>
      <c r="N119" s="258">
        <f>Master20[[#This Row],[Design $ (Add/Deduct)]]+Master20[[#This Row],[Construction $ (Add/Ded)]]</f>
        <v>0</v>
      </c>
      <c r="O119" s="256">
        <v>20000</v>
      </c>
      <c r="P119" s="301">
        <v>2021</v>
      </c>
      <c r="Q119" s="300" t="s">
        <v>686</v>
      </c>
      <c r="R119" s="301">
        <f t="shared" si="20"/>
        <v>60</v>
      </c>
      <c r="S119" s="302">
        <v>6</v>
      </c>
      <c r="T119" s="299">
        <f t="shared" si="18"/>
        <v>18</v>
      </c>
      <c r="U119" s="302" t="s">
        <v>37</v>
      </c>
      <c r="V119" s="302">
        <f t="shared" si="19"/>
        <v>3</v>
      </c>
      <c r="W119" s="302" t="s">
        <v>34</v>
      </c>
      <c r="X119" s="302">
        <v>0</v>
      </c>
      <c r="Y119" s="302">
        <v>0</v>
      </c>
      <c r="Z119" s="302">
        <v>0</v>
      </c>
      <c r="AA119" s="302">
        <v>0</v>
      </c>
      <c r="AB119" s="302">
        <v>0</v>
      </c>
      <c r="AC119" s="302">
        <v>-3</v>
      </c>
      <c r="AD119" s="302">
        <v>0</v>
      </c>
      <c r="AE119" s="302"/>
      <c r="AF119" s="303" t="s">
        <v>29</v>
      </c>
      <c r="AG119" s="305">
        <f>VLOOKUP(Master20[[#This Row],[Elevated Priority]],Epriority,2,)</f>
        <v>0</v>
      </c>
      <c r="AH119" s="321">
        <f>IF(Master20[[#This Row],[Status]]="Active",Master20[[#This Row],[Status_Score]],IF(D119="","",R119+H119+T119+V119+AG119+AE119+Master20[[#This Row],[Risk Mitigation]]+Master20[[#This Row],[Master Plan]]+Master20[[#This Row],[Community Request]]+Master20[[#This Row],[Community need]]+Master20[[#This Row],[Offset Aging Inf.]]+Master20[[#This Row],[Energy Savings]]+Master20[[#This Row],[Gen Revenue]]-5))</f>
        <v>73</v>
      </c>
      <c r="AI119" s="302"/>
      <c r="AJ119" s="302"/>
      <c r="AK119" s="302"/>
      <c r="AL119" s="302"/>
      <c r="AM119" s="302"/>
      <c r="AN119" s="300"/>
      <c r="AO119" s="306"/>
      <c r="AP119" s="306"/>
      <c r="AQ119" s="306"/>
      <c r="AR119" s="306"/>
      <c r="AS119" s="306"/>
      <c r="AT119" s="306"/>
      <c r="AU119" s="306"/>
      <c r="AV119" s="306"/>
      <c r="AW119" s="306"/>
      <c r="AX119" s="306"/>
      <c r="AY119" s="306"/>
      <c r="AZ119" s="306"/>
      <c r="BA119" s="306"/>
      <c r="BB119" s="306"/>
      <c r="BC119" s="306"/>
      <c r="BD119" s="306"/>
      <c r="BE119" s="306"/>
      <c r="BF119" s="306"/>
      <c r="BG119" s="306"/>
      <c r="BH119" s="306"/>
      <c r="BI119" s="306"/>
      <c r="BJ119" s="306"/>
      <c r="BK119" s="306"/>
      <c r="BL119" s="306"/>
      <c r="BM119" s="306"/>
      <c r="BN119" s="306"/>
      <c r="BO119" s="306"/>
    </row>
    <row r="120" spans="1:67" s="298" customFormat="1" ht="30" hidden="1" x14ac:dyDescent="0.25">
      <c r="A120" s="307">
        <f t="shared" si="12"/>
        <v>119</v>
      </c>
      <c r="B120" s="378" t="s">
        <v>1200</v>
      </c>
      <c r="C120" s="300" t="s">
        <v>1045</v>
      </c>
      <c r="D120" s="300" t="s">
        <v>473</v>
      </c>
      <c r="E120" s="300" t="s">
        <v>474</v>
      </c>
      <c r="F120" s="300" t="s">
        <v>475</v>
      </c>
      <c r="G120" s="300" t="s">
        <v>29</v>
      </c>
      <c r="H120" s="300">
        <f t="shared" si="17"/>
        <v>0</v>
      </c>
      <c r="I120" s="249"/>
      <c r="J120" s="249"/>
      <c r="K120" s="249">
        <f>Master20[[#This Row],[Initial Budget]]-Master20[[#This Row],[Previously Committed Funds]]</f>
        <v>0</v>
      </c>
      <c r="L120" s="249"/>
      <c r="M120" s="249"/>
      <c r="N120" s="258">
        <f>Master20[[#This Row],[Design $ (Add/Deduct)]]+Master20[[#This Row],[Construction $ (Add/Ded)]]</f>
        <v>0</v>
      </c>
      <c r="O120" s="256">
        <v>150000</v>
      </c>
      <c r="P120" s="301">
        <v>2018</v>
      </c>
      <c r="Q120" s="300" t="s">
        <v>686</v>
      </c>
      <c r="R120" s="301">
        <f t="shared" si="20"/>
        <v>60</v>
      </c>
      <c r="S120" s="302">
        <v>4</v>
      </c>
      <c r="T120" s="299">
        <f t="shared" si="18"/>
        <v>12</v>
      </c>
      <c r="U120" s="302" t="s">
        <v>43</v>
      </c>
      <c r="V120" s="302">
        <f t="shared" si="19"/>
        <v>16</v>
      </c>
      <c r="W120" s="302" t="s">
        <v>34</v>
      </c>
      <c r="X120" s="302">
        <v>0</v>
      </c>
      <c r="Y120" s="302">
        <v>0</v>
      </c>
      <c r="Z120" s="302">
        <v>0</v>
      </c>
      <c r="AA120" s="302">
        <v>0</v>
      </c>
      <c r="AB120" s="302">
        <v>0</v>
      </c>
      <c r="AC120" s="302">
        <v>-5</v>
      </c>
      <c r="AD120" s="302">
        <v>-3</v>
      </c>
      <c r="AE120" s="302"/>
      <c r="AF120" s="303" t="s">
        <v>29</v>
      </c>
      <c r="AG120" s="305">
        <f>VLOOKUP(Master20[[#This Row],[Elevated Priority]],Epriority,2,)</f>
        <v>0</v>
      </c>
      <c r="AH120" s="321">
        <f>IF(Master20[[#This Row],[Status]]="Active",Master20[[#This Row],[Status_Score]],IF(D120="","",R120+H120+T120+V120+AG120+AE120+Master20[[#This Row],[Risk Mitigation]]+Master20[[#This Row],[Master Plan]]+Master20[[#This Row],[Community Request]]+Master20[[#This Row],[Community need]]+Master20[[#This Row],[Offset Aging Inf.]]+Master20[[#This Row],[Energy Savings]]+Master20[[#This Row],[Gen Revenue]]-5))</f>
        <v>75</v>
      </c>
      <c r="AI120" s="302"/>
      <c r="AJ120" s="302"/>
      <c r="AK120" s="302"/>
      <c r="AL120" s="302"/>
      <c r="AM120" s="302"/>
      <c r="AN120" s="300" t="s">
        <v>984</v>
      </c>
      <c r="AO120" s="306"/>
      <c r="AP120" s="306"/>
      <c r="AQ120" s="306"/>
      <c r="AR120" s="306"/>
      <c r="AS120" s="306"/>
      <c r="AT120" s="306"/>
      <c r="AU120" s="306"/>
      <c r="AV120" s="306"/>
      <c r="AW120" s="306"/>
      <c r="AX120" s="306"/>
      <c r="AY120" s="306"/>
      <c r="AZ120" s="306"/>
      <c r="BA120" s="306"/>
      <c r="BB120" s="306"/>
      <c r="BC120" s="306"/>
      <c r="BD120" s="306"/>
      <c r="BE120" s="306"/>
      <c r="BF120" s="306"/>
      <c r="BG120" s="306"/>
      <c r="BH120" s="306"/>
      <c r="BI120" s="306"/>
      <c r="BJ120" s="306"/>
      <c r="BK120" s="306"/>
      <c r="BL120" s="306"/>
      <c r="BM120" s="306"/>
      <c r="BN120" s="306"/>
      <c r="BO120" s="306"/>
    </row>
    <row r="121" spans="1:67" s="298" customFormat="1" ht="60" hidden="1" x14ac:dyDescent="0.25">
      <c r="A121" s="307">
        <f t="shared" si="12"/>
        <v>120</v>
      </c>
      <c r="B121" s="300" t="s">
        <v>1200</v>
      </c>
      <c r="C121" s="300" t="s">
        <v>1045</v>
      </c>
      <c r="D121" s="300" t="s">
        <v>1036</v>
      </c>
      <c r="E121" s="300" t="s">
        <v>499</v>
      </c>
      <c r="F121" s="300" t="s">
        <v>458</v>
      </c>
      <c r="G121" s="300" t="s">
        <v>29</v>
      </c>
      <c r="H121" s="300">
        <f t="shared" si="17"/>
        <v>0</v>
      </c>
      <c r="I121" s="249"/>
      <c r="J121" s="249"/>
      <c r="K121" s="249">
        <f>Master20[[#This Row],[Initial Budget]]-Master20[[#This Row],[Previously Committed Funds]]</f>
        <v>0</v>
      </c>
      <c r="L121" s="249"/>
      <c r="M121" s="249"/>
      <c r="N121" s="258">
        <f>Master20[[#This Row],[Design $ (Add/Deduct)]]+Master20[[#This Row],[Construction $ (Add/Ded)]]</f>
        <v>0</v>
      </c>
      <c r="O121" s="256">
        <v>6000000</v>
      </c>
      <c r="P121" s="301">
        <v>2018</v>
      </c>
      <c r="Q121" s="300" t="s">
        <v>46</v>
      </c>
      <c r="R121" s="301">
        <f t="shared" si="20"/>
        <v>50</v>
      </c>
      <c r="S121" s="302">
        <v>2</v>
      </c>
      <c r="T121" s="299">
        <f t="shared" si="18"/>
        <v>6</v>
      </c>
      <c r="U121" s="302" t="s">
        <v>45</v>
      </c>
      <c r="V121" s="302">
        <f t="shared" si="19"/>
        <v>32</v>
      </c>
      <c r="W121" s="302" t="s">
        <v>34</v>
      </c>
      <c r="X121" s="302">
        <v>0</v>
      </c>
      <c r="Y121" s="302">
        <v>0</v>
      </c>
      <c r="Z121" s="302">
        <v>-3</v>
      </c>
      <c r="AA121" s="302">
        <v>0</v>
      </c>
      <c r="AB121" s="302">
        <v>-2</v>
      </c>
      <c r="AC121" s="302">
        <v>-3</v>
      </c>
      <c r="AD121" s="302">
        <v>0</v>
      </c>
      <c r="AE121" s="302"/>
      <c r="AF121" s="303" t="s">
        <v>29</v>
      </c>
      <c r="AG121" s="305">
        <f>VLOOKUP(Master20[[#This Row],[Elevated Priority]],Epriority,2,)</f>
        <v>0</v>
      </c>
      <c r="AH121" s="321">
        <f>IF(Master20[[#This Row],[Status]]="Active",Master20[[#This Row],[Status_Score]],IF(D121="","",R121+H121+T121+V121+AG121+AE121+Master20[[#This Row],[Risk Mitigation]]+Master20[[#This Row],[Master Plan]]+Master20[[#This Row],[Community Request]]+Master20[[#This Row],[Community need]]+Master20[[#This Row],[Offset Aging Inf.]]+Master20[[#This Row],[Energy Savings]]+Master20[[#This Row],[Gen Revenue]]-5))</f>
        <v>75</v>
      </c>
      <c r="AI121" s="302"/>
      <c r="AJ121" s="302"/>
      <c r="AK121" s="302"/>
      <c r="AL121" s="302"/>
      <c r="AM121" s="302"/>
      <c r="AN121" s="300" t="s">
        <v>722</v>
      </c>
      <c r="AO121" s="306"/>
      <c r="AP121" s="306"/>
      <c r="AQ121" s="306"/>
      <c r="AR121" s="306"/>
      <c r="AS121" s="306"/>
      <c r="AT121" s="306"/>
      <c r="AU121" s="306"/>
      <c r="AV121" s="306"/>
      <c r="AW121" s="306"/>
      <c r="AX121" s="306"/>
      <c r="AY121" s="306"/>
      <c r="AZ121" s="306"/>
      <c r="BA121" s="306"/>
      <c r="BB121" s="306"/>
      <c r="BC121" s="306"/>
      <c r="BD121" s="306"/>
      <c r="BE121" s="306"/>
      <c r="BF121" s="306"/>
      <c r="BG121" s="306"/>
      <c r="BH121" s="306"/>
      <c r="BI121" s="306"/>
      <c r="BJ121" s="306"/>
      <c r="BK121" s="306"/>
      <c r="BL121" s="306"/>
      <c r="BM121" s="306"/>
      <c r="BN121" s="306"/>
      <c r="BO121" s="306"/>
    </row>
    <row r="122" spans="1:67" s="298" customFormat="1" ht="105" hidden="1" x14ac:dyDescent="0.25">
      <c r="A122" s="307">
        <f t="shared" si="12"/>
        <v>121</v>
      </c>
      <c r="B122" s="378" t="s">
        <v>143</v>
      </c>
      <c r="C122" s="300" t="s">
        <v>1045</v>
      </c>
      <c r="D122" s="300" t="s">
        <v>378</v>
      </c>
      <c r="E122" s="300" t="s">
        <v>379</v>
      </c>
      <c r="F122" s="300" t="s">
        <v>380</v>
      </c>
      <c r="G122" s="300" t="s">
        <v>29</v>
      </c>
      <c r="H122" s="300">
        <f t="shared" si="17"/>
        <v>0</v>
      </c>
      <c r="I122" s="249"/>
      <c r="J122" s="249"/>
      <c r="K122" s="249">
        <f>Master20[[#This Row],[Initial Budget]]-Master20[[#This Row],[Previously Committed Funds]]</f>
        <v>0</v>
      </c>
      <c r="L122" s="249"/>
      <c r="M122" s="249"/>
      <c r="N122" s="258">
        <f>Master20[[#This Row],[Design $ (Add/Deduct)]]+Master20[[#This Row],[Construction $ (Add/Ded)]]</f>
        <v>0</v>
      </c>
      <c r="O122" s="256">
        <v>20000</v>
      </c>
      <c r="P122" s="301">
        <v>2018</v>
      </c>
      <c r="Q122" s="300" t="s">
        <v>686</v>
      </c>
      <c r="R122" s="301">
        <f t="shared" si="20"/>
        <v>60</v>
      </c>
      <c r="S122" s="302">
        <v>2</v>
      </c>
      <c r="T122" s="299">
        <f t="shared" si="18"/>
        <v>6</v>
      </c>
      <c r="U122" s="302" t="s">
        <v>43</v>
      </c>
      <c r="V122" s="302">
        <f t="shared" si="19"/>
        <v>16</v>
      </c>
      <c r="W122" s="302" t="s">
        <v>34</v>
      </c>
      <c r="X122" s="302">
        <v>0</v>
      </c>
      <c r="Y122" s="302">
        <v>0</v>
      </c>
      <c r="Z122" s="302">
        <v>0</v>
      </c>
      <c r="AA122" s="302">
        <v>0</v>
      </c>
      <c r="AB122" s="302">
        <v>0</v>
      </c>
      <c r="AC122" s="302">
        <v>0</v>
      </c>
      <c r="AD122" s="302">
        <v>0</v>
      </c>
      <c r="AE122" s="302"/>
      <c r="AF122" s="303" t="s">
        <v>29</v>
      </c>
      <c r="AG122" s="305">
        <f>VLOOKUP(Master20[[#This Row],[Elevated Priority]],Epriority,2,)</f>
        <v>0</v>
      </c>
      <c r="AH122" s="321">
        <f>IF(Master20[[#This Row],[Status]]="Active",Master20[[#This Row],[Status_Score]],IF(D122="","",R122+H122+T122+V122+AG122+AE122+Master20[[#This Row],[Risk Mitigation]]+Master20[[#This Row],[Master Plan]]+Master20[[#This Row],[Community Request]]+Master20[[#This Row],[Community need]]+Master20[[#This Row],[Offset Aging Inf.]]+Master20[[#This Row],[Energy Savings]]+Master20[[#This Row],[Gen Revenue]]-5))</f>
        <v>77</v>
      </c>
      <c r="AI122" s="302"/>
      <c r="AJ122" s="302"/>
      <c r="AK122" s="302"/>
      <c r="AL122" s="302"/>
      <c r="AM122" s="302"/>
      <c r="AN122" s="300"/>
      <c r="AO122" s="306"/>
      <c r="AP122" s="306"/>
      <c r="AQ122" s="306"/>
      <c r="AR122" s="306"/>
      <c r="AS122" s="306"/>
      <c r="AT122" s="306"/>
      <c r="AU122" s="306"/>
      <c r="AV122" s="306"/>
      <c r="AW122" s="306"/>
      <c r="AX122" s="306"/>
      <c r="AY122" s="306"/>
      <c r="AZ122" s="306"/>
      <c r="BA122" s="306"/>
      <c r="BB122" s="306"/>
      <c r="BC122" s="306"/>
      <c r="BD122" s="306"/>
      <c r="BE122" s="306"/>
      <c r="BF122" s="306"/>
      <c r="BG122" s="306"/>
      <c r="BH122" s="306"/>
      <c r="BI122" s="306"/>
      <c r="BJ122" s="306"/>
      <c r="BK122" s="306"/>
      <c r="BL122" s="306"/>
      <c r="BM122" s="306"/>
      <c r="BN122" s="306"/>
      <c r="BO122" s="306"/>
    </row>
    <row r="123" spans="1:67" s="298" customFormat="1" hidden="1" x14ac:dyDescent="0.25">
      <c r="A123" s="307">
        <f t="shared" si="12"/>
        <v>122</v>
      </c>
      <c r="B123" s="300" t="s">
        <v>94</v>
      </c>
      <c r="C123" s="300" t="s">
        <v>1045</v>
      </c>
      <c r="D123" s="300" t="s">
        <v>465</v>
      </c>
      <c r="E123" s="300" t="s">
        <v>466</v>
      </c>
      <c r="F123" s="300" t="s">
        <v>467</v>
      </c>
      <c r="G123" s="300" t="s">
        <v>29</v>
      </c>
      <c r="H123" s="300">
        <f t="shared" si="17"/>
        <v>0</v>
      </c>
      <c r="I123" s="249"/>
      <c r="J123" s="249"/>
      <c r="K123" s="249">
        <f>Master20[[#This Row],[Initial Budget]]-Master20[[#This Row],[Previously Committed Funds]]</f>
        <v>0</v>
      </c>
      <c r="L123" s="249"/>
      <c r="M123" s="249"/>
      <c r="N123" s="258">
        <f>Master20[[#This Row],[Design $ (Add/Deduct)]]+Master20[[#This Row],[Construction $ (Add/Ded)]]</f>
        <v>0</v>
      </c>
      <c r="O123" s="256">
        <v>200000</v>
      </c>
      <c r="P123" s="301">
        <v>2018</v>
      </c>
      <c r="Q123" s="300" t="s">
        <v>46</v>
      </c>
      <c r="R123" s="301">
        <f t="shared" si="20"/>
        <v>50</v>
      </c>
      <c r="S123" s="302">
        <v>30</v>
      </c>
      <c r="T123" s="299">
        <f t="shared" si="18"/>
        <v>31</v>
      </c>
      <c r="U123" s="302" t="s">
        <v>37</v>
      </c>
      <c r="V123" s="302">
        <f t="shared" si="19"/>
        <v>3</v>
      </c>
      <c r="W123" s="302" t="s">
        <v>34</v>
      </c>
      <c r="X123" s="302">
        <v>0</v>
      </c>
      <c r="Y123" s="302">
        <v>0</v>
      </c>
      <c r="Z123" s="302">
        <v>0</v>
      </c>
      <c r="AA123" s="302">
        <v>0</v>
      </c>
      <c r="AB123" s="302">
        <v>-2</v>
      </c>
      <c r="AC123" s="302">
        <v>0</v>
      </c>
      <c r="AD123" s="302">
        <v>0</v>
      </c>
      <c r="AE123" s="302"/>
      <c r="AF123" s="303" t="s">
        <v>29</v>
      </c>
      <c r="AG123" s="305">
        <f>VLOOKUP(Master20[[#This Row],[Elevated Priority]],Epriority,2,)</f>
        <v>0</v>
      </c>
      <c r="AH123" s="321">
        <f>IF(Master20[[#This Row],[Status]]="Active",Master20[[#This Row],[Status_Score]],IF(D123="","",R123+H123+T123+V123+AG123+AE123+Master20[[#This Row],[Risk Mitigation]]+Master20[[#This Row],[Master Plan]]+Master20[[#This Row],[Community Request]]+Master20[[#This Row],[Community need]]+Master20[[#This Row],[Offset Aging Inf.]]+Master20[[#This Row],[Energy Savings]]+Master20[[#This Row],[Gen Revenue]]-5))</f>
        <v>77</v>
      </c>
      <c r="AI123" s="302"/>
      <c r="AJ123" s="302"/>
      <c r="AK123" s="302"/>
      <c r="AL123" s="302"/>
      <c r="AM123" s="302"/>
      <c r="AN123" s="300"/>
      <c r="AO123" s="306"/>
      <c r="AP123" s="306"/>
      <c r="AQ123" s="306"/>
      <c r="AR123" s="306"/>
      <c r="AS123" s="306"/>
      <c r="AT123" s="306"/>
      <c r="AU123" s="306"/>
      <c r="AV123" s="306"/>
      <c r="AW123" s="306"/>
      <c r="AX123" s="306"/>
      <c r="AY123" s="306"/>
      <c r="AZ123" s="306"/>
      <c r="BA123" s="306"/>
      <c r="BB123" s="306"/>
      <c r="BC123" s="306"/>
      <c r="BD123" s="306"/>
      <c r="BE123" s="306"/>
      <c r="BF123" s="306"/>
      <c r="BG123" s="306"/>
      <c r="BH123" s="306"/>
      <c r="BI123" s="306"/>
      <c r="BJ123" s="306"/>
      <c r="BK123" s="306"/>
      <c r="BL123" s="306"/>
      <c r="BM123" s="306"/>
      <c r="BN123" s="306"/>
      <c r="BO123" s="306"/>
    </row>
    <row r="124" spans="1:67" s="298" customFormat="1" ht="90" hidden="1" x14ac:dyDescent="0.25">
      <c r="A124" s="307">
        <f t="shared" si="12"/>
        <v>123</v>
      </c>
      <c r="B124" s="378" t="s">
        <v>1200</v>
      </c>
      <c r="C124" s="300" t="s">
        <v>1045</v>
      </c>
      <c r="D124" s="300" t="s">
        <v>476</v>
      </c>
      <c r="E124" s="300"/>
      <c r="F124" s="300" t="s">
        <v>906</v>
      </c>
      <c r="G124" s="300" t="s">
        <v>29</v>
      </c>
      <c r="H124" s="300">
        <f t="shared" si="17"/>
        <v>0</v>
      </c>
      <c r="I124" s="249"/>
      <c r="J124" s="249"/>
      <c r="K124" s="249">
        <f>Master20[[#This Row],[Initial Budget]]-Master20[[#This Row],[Previously Committed Funds]]</f>
        <v>0</v>
      </c>
      <c r="L124" s="249"/>
      <c r="M124" s="249"/>
      <c r="N124" s="258">
        <f>Master20[[#This Row],[Design $ (Add/Deduct)]]+Master20[[#This Row],[Construction $ (Add/Ded)]]</f>
        <v>0</v>
      </c>
      <c r="O124" s="256">
        <v>350000</v>
      </c>
      <c r="P124" s="301">
        <v>2018</v>
      </c>
      <c r="Q124" s="300" t="s">
        <v>686</v>
      </c>
      <c r="R124" s="301">
        <f t="shared" si="20"/>
        <v>60</v>
      </c>
      <c r="S124" s="302">
        <v>4</v>
      </c>
      <c r="T124" s="299">
        <f t="shared" si="18"/>
        <v>12</v>
      </c>
      <c r="U124" s="302" t="s">
        <v>43</v>
      </c>
      <c r="V124" s="302">
        <f t="shared" si="19"/>
        <v>16</v>
      </c>
      <c r="W124" s="302" t="s">
        <v>34</v>
      </c>
      <c r="X124" s="302">
        <v>-5</v>
      </c>
      <c r="Y124" s="302">
        <v>0</v>
      </c>
      <c r="Z124" s="302">
        <v>0</v>
      </c>
      <c r="AA124" s="302">
        <v>0</v>
      </c>
      <c r="AB124" s="302">
        <v>0</v>
      </c>
      <c r="AC124" s="302">
        <v>0</v>
      </c>
      <c r="AD124" s="302">
        <v>0</v>
      </c>
      <c r="AE124" s="302"/>
      <c r="AF124" s="303" t="s">
        <v>29</v>
      </c>
      <c r="AG124" s="305">
        <f>VLOOKUP(Master20[[#This Row],[Elevated Priority]],Epriority,2,)</f>
        <v>0</v>
      </c>
      <c r="AH124" s="321">
        <f>IF(Master20[[#This Row],[Status]]="Active",Master20[[#This Row],[Status_Score]],IF(D124="","",R124+H124+T124+V124+AG124+AE124+Master20[[#This Row],[Risk Mitigation]]+Master20[[#This Row],[Master Plan]]+Master20[[#This Row],[Community Request]]+Master20[[#This Row],[Community need]]+Master20[[#This Row],[Offset Aging Inf.]]+Master20[[#This Row],[Energy Savings]]+Master20[[#This Row],[Gen Revenue]]-5))</f>
        <v>78</v>
      </c>
      <c r="AI124" s="302"/>
      <c r="AJ124" s="302"/>
      <c r="AK124" s="302"/>
      <c r="AL124" s="302"/>
      <c r="AM124" s="302"/>
      <c r="AN124" s="300"/>
      <c r="AO124" s="306"/>
      <c r="AP124" s="306"/>
      <c r="AQ124" s="306"/>
      <c r="AR124" s="306"/>
      <c r="AS124" s="306"/>
      <c r="AT124" s="306"/>
      <c r="AU124" s="306"/>
      <c r="AV124" s="306"/>
      <c r="AW124" s="306"/>
      <c r="AX124" s="306"/>
      <c r="AY124" s="306"/>
      <c r="AZ124" s="306"/>
      <c r="BA124" s="306"/>
      <c r="BB124" s="306"/>
      <c r="BC124" s="306"/>
      <c r="BD124" s="306"/>
      <c r="BE124" s="306"/>
      <c r="BF124" s="306"/>
      <c r="BG124" s="306"/>
      <c r="BH124" s="306"/>
      <c r="BI124" s="306"/>
      <c r="BJ124" s="306"/>
      <c r="BK124" s="306"/>
      <c r="BL124" s="306"/>
      <c r="BM124" s="306"/>
      <c r="BN124" s="306"/>
      <c r="BO124" s="306"/>
    </row>
    <row r="125" spans="1:67" s="298" customFormat="1" ht="30" hidden="1" x14ac:dyDescent="0.25">
      <c r="A125" s="307">
        <f t="shared" si="12"/>
        <v>124</v>
      </c>
      <c r="B125" s="300" t="s">
        <v>94</v>
      </c>
      <c r="C125" s="300" t="s">
        <v>1045</v>
      </c>
      <c r="D125" s="300" t="s">
        <v>462</v>
      </c>
      <c r="E125" s="300" t="s">
        <v>463</v>
      </c>
      <c r="F125" s="300" t="s">
        <v>464</v>
      </c>
      <c r="G125" s="300" t="s">
        <v>29</v>
      </c>
      <c r="H125" s="300">
        <f t="shared" si="17"/>
        <v>0</v>
      </c>
      <c r="I125" s="249"/>
      <c r="J125" s="249"/>
      <c r="K125" s="249">
        <f>Master20[[#This Row],[Initial Budget]]-Master20[[#This Row],[Previously Committed Funds]]</f>
        <v>0</v>
      </c>
      <c r="L125" s="249"/>
      <c r="M125" s="249"/>
      <c r="N125" s="258">
        <f>Master20[[#This Row],[Design $ (Add/Deduct)]]+Master20[[#This Row],[Construction $ (Add/Ded)]]</f>
        <v>0</v>
      </c>
      <c r="O125" s="256">
        <v>400000</v>
      </c>
      <c r="P125" s="301">
        <v>2018</v>
      </c>
      <c r="Q125" s="300" t="s">
        <v>46</v>
      </c>
      <c r="R125" s="301">
        <f t="shared" si="20"/>
        <v>50</v>
      </c>
      <c r="S125" s="302">
        <v>33</v>
      </c>
      <c r="T125" s="299">
        <f t="shared" si="18"/>
        <v>33</v>
      </c>
      <c r="U125" s="302" t="s">
        <v>37</v>
      </c>
      <c r="V125" s="302">
        <f t="shared" si="19"/>
        <v>3</v>
      </c>
      <c r="W125" s="302" t="s">
        <v>34</v>
      </c>
      <c r="X125" s="302">
        <v>0</v>
      </c>
      <c r="Y125" s="302">
        <v>0</v>
      </c>
      <c r="Z125" s="302">
        <v>0</v>
      </c>
      <c r="AA125" s="302">
        <v>0</v>
      </c>
      <c r="AB125" s="302">
        <v>0</v>
      </c>
      <c r="AC125" s="302">
        <v>0</v>
      </c>
      <c r="AD125" s="302">
        <v>0</v>
      </c>
      <c r="AE125" s="302"/>
      <c r="AF125" s="303" t="s">
        <v>29</v>
      </c>
      <c r="AG125" s="305">
        <f>VLOOKUP(Master20[[#This Row],[Elevated Priority]],Epriority,2,)</f>
        <v>0</v>
      </c>
      <c r="AH125" s="321">
        <f>IF(Master20[[#This Row],[Status]]="Active",Master20[[#This Row],[Status_Score]],IF(D125="","",R125+H125+T125+V125+AG125+AE125+Master20[[#This Row],[Risk Mitigation]]+Master20[[#This Row],[Master Plan]]+Master20[[#This Row],[Community Request]]+Master20[[#This Row],[Community need]]+Master20[[#This Row],[Offset Aging Inf.]]+Master20[[#This Row],[Energy Savings]]+Master20[[#This Row],[Gen Revenue]]-5))</f>
        <v>81</v>
      </c>
      <c r="AI125" s="302"/>
      <c r="AJ125" s="302"/>
      <c r="AK125" s="302"/>
      <c r="AL125" s="302"/>
      <c r="AM125" s="302"/>
      <c r="AN125" s="300" t="s">
        <v>672</v>
      </c>
      <c r="AO125" s="306"/>
      <c r="AP125" s="306"/>
      <c r="AQ125" s="306"/>
      <c r="AR125" s="306"/>
      <c r="AS125" s="306"/>
      <c r="AT125" s="306"/>
      <c r="AU125" s="306"/>
      <c r="AV125" s="306"/>
      <c r="AW125" s="306"/>
      <c r="AX125" s="306"/>
      <c r="AY125" s="306"/>
      <c r="AZ125" s="306"/>
      <c r="BA125" s="306"/>
      <c r="BB125" s="306"/>
      <c r="BC125" s="306"/>
      <c r="BD125" s="306"/>
      <c r="BE125" s="306"/>
      <c r="BF125" s="306"/>
      <c r="BG125" s="306"/>
      <c r="BH125" s="306"/>
      <c r="BI125" s="306"/>
      <c r="BJ125" s="306"/>
      <c r="BK125" s="306"/>
      <c r="BL125" s="306"/>
      <c r="BM125" s="306"/>
      <c r="BN125" s="306"/>
      <c r="BO125" s="306"/>
    </row>
    <row r="126" spans="1:67" s="298" customFormat="1" ht="45" hidden="1" x14ac:dyDescent="0.25">
      <c r="A126" s="307">
        <f t="shared" si="12"/>
        <v>125</v>
      </c>
      <c r="B126" s="378" t="s">
        <v>65</v>
      </c>
      <c r="C126" s="300" t="s">
        <v>1045</v>
      </c>
      <c r="D126" s="300" t="s">
        <v>509</v>
      </c>
      <c r="E126" s="300" t="s">
        <v>922</v>
      </c>
      <c r="F126" s="300" t="s">
        <v>921</v>
      </c>
      <c r="G126" s="300" t="s">
        <v>29</v>
      </c>
      <c r="H126" s="300">
        <f t="shared" ref="H126:H157" si="21">VLOOKUP(G126,Status_Score,2,FALSE)</f>
        <v>0</v>
      </c>
      <c r="I126" s="249"/>
      <c r="J126" s="249"/>
      <c r="K126" s="249">
        <f>Master20[[#This Row],[Initial Budget]]-Master20[[#This Row],[Previously Committed Funds]]</f>
        <v>0</v>
      </c>
      <c r="L126" s="249"/>
      <c r="M126" s="249"/>
      <c r="N126" s="258">
        <f>Master20[[#This Row],[Design $ (Add/Deduct)]]+Master20[[#This Row],[Construction $ (Add/Ded)]]</f>
        <v>0</v>
      </c>
      <c r="O126" s="256">
        <v>3500000</v>
      </c>
      <c r="P126" s="301">
        <v>2018</v>
      </c>
      <c r="Q126" s="300" t="s">
        <v>46</v>
      </c>
      <c r="R126" s="301">
        <f t="shared" si="20"/>
        <v>50</v>
      </c>
      <c r="S126" s="302">
        <v>7</v>
      </c>
      <c r="T126" s="299">
        <f t="shared" si="18"/>
        <v>20</v>
      </c>
      <c r="U126" s="302" t="s">
        <v>43</v>
      </c>
      <c r="V126" s="302">
        <f t="shared" si="19"/>
        <v>16</v>
      </c>
      <c r="W126" s="302" t="s">
        <v>34</v>
      </c>
      <c r="X126" s="302">
        <v>0</v>
      </c>
      <c r="Y126" s="302">
        <v>0</v>
      </c>
      <c r="Z126" s="302">
        <v>0</v>
      </c>
      <c r="AA126" s="302">
        <v>0</v>
      </c>
      <c r="AB126" s="302">
        <v>0</v>
      </c>
      <c r="AC126" s="302">
        <v>0</v>
      </c>
      <c r="AD126" s="302">
        <v>0</v>
      </c>
      <c r="AE126" s="302"/>
      <c r="AF126" s="303" t="s">
        <v>29</v>
      </c>
      <c r="AG126" s="305">
        <f>VLOOKUP(Master20[[#This Row],[Elevated Priority]],Epriority,2,)</f>
        <v>0</v>
      </c>
      <c r="AH126" s="321">
        <f>IF(Master20[[#This Row],[Status]]="Active",Master20[[#This Row],[Status_Score]],IF(D126="","",R126+H126+T126+V126+AG126+AE126+Master20[[#This Row],[Risk Mitigation]]+Master20[[#This Row],[Master Plan]]+Master20[[#This Row],[Community Request]]+Master20[[#This Row],[Community need]]+Master20[[#This Row],[Offset Aging Inf.]]+Master20[[#This Row],[Energy Savings]]+Master20[[#This Row],[Gen Revenue]]-5))</f>
        <v>81</v>
      </c>
      <c r="AI126" s="302"/>
      <c r="AJ126" s="302"/>
      <c r="AK126" s="302"/>
      <c r="AL126" s="302"/>
      <c r="AM126" s="302"/>
      <c r="AN126" s="300"/>
      <c r="AO126" s="306"/>
      <c r="AP126" s="306"/>
      <c r="AQ126" s="306"/>
      <c r="AR126" s="306"/>
      <c r="AS126" s="306"/>
      <c r="AT126" s="306"/>
      <c r="AU126" s="306"/>
      <c r="AV126" s="306"/>
      <c r="AW126" s="306"/>
      <c r="AX126" s="306"/>
      <c r="AY126" s="306"/>
      <c r="AZ126" s="306"/>
      <c r="BA126" s="306"/>
      <c r="BB126" s="306"/>
      <c r="BC126" s="306"/>
      <c r="BD126" s="306"/>
      <c r="BE126" s="306"/>
      <c r="BF126" s="306"/>
      <c r="BG126" s="306"/>
      <c r="BH126" s="306"/>
      <c r="BI126" s="306"/>
      <c r="BJ126" s="306"/>
      <c r="BK126" s="306"/>
      <c r="BL126" s="306"/>
      <c r="BM126" s="306"/>
      <c r="BN126" s="306"/>
      <c r="BO126" s="306"/>
    </row>
    <row r="127" spans="1:67" s="298" customFormat="1" ht="30" hidden="1" x14ac:dyDescent="0.25">
      <c r="A127" s="307">
        <f t="shared" si="12"/>
        <v>126</v>
      </c>
      <c r="B127" s="300" t="s">
        <v>94</v>
      </c>
      <c r="C127" s="300" t="s">
        <v>1045</v>
      </c>
      <c r="D127" s="300" t="s">
        <v>503</v>
      </c>
      <c r="E127" s="300" t="s">
        <v>504</v>
      </c>
      <c r="F127" s="300" t="s">
        <v>505</v>
      </c>
      <c r="G127" s="300" t="s">
        <v>29</v>
      </c>
      <c r="H127" s="300">
        <f t="shared" si="21"/>
        <v>0</v>
      </c>
      <c r="I127" s="249"/>
      <c r="J127" s="249"/>
      <c r="K127" s="249">
        <f>Master20[[#This Row],[Initial Budget]]-Master20[[#This Row],[Previously Committed Funds]]</f>
        <v>0</v>
      </c>
      <c r="L127" s="249"/>
      <c r="M127" s="249"/>
      <c r="N127" s="258">
        <f>Master20[[#This Row],[Design $ (Add/Deduct)]]+Master20[[#This Row],[Construction $ (Add/Ded)]]</f>
        <v>0</v>
      </c>
      <c r="O127" s="256">
        <v>75000</v>
      </c>
      <c r="P127" s="301">
        <v>2018</v>
      </c>
      <c r="Q127" s="300" t="s">
        <v>46</v>
      </c>
      <c r="R127" s="301">
        <f t="shared" si="20"/>
        <v>50</v>
      </c>
      <c r="S127" s="302">
        <v>31</v>
      </c>
      <c r="T127" s="299">
        <f t="shared" si="18"/>
        <v>32</v>
      </c>
      <c r="U127" s="302" t="s">
        <v>41</v>
      </c>
      <c r="V127" s="302">
        <f t="shared" si="19"/>
        <v>4</v>
      </c>
      <c r="W127" s="302" t="s">
        <v>34</v>
      </c>
      <c r="X127" s="302">
        <v>0</v>
      </c>
      <c r="Y127" s="302">
        <v>0</v>
      </c>
      <c r="Z127" s="302">
        <v>0</v>
      </c>
      <c r="AA127" s="302">
        <v>0</v>
      </c>
      <c r="AB127" s="302">
        <v>0</v>
      </c>
      <c r="AC127" s="302">
        <v>0</v>
      </c>
      <c r="AD127" s="302">
        <v>0</v>
      </c>
      <c r="AE127" s="302"/>
      <c r="AF127" s="303" t="s">
        <v>29</v>
      </c>
      <c r="AG127" s="305">
        <f>VLOOKUP(Master20[[#This Row],[Elevated Priority]],Epriority,2,)</f>
        <v>0</v>
      </c>
      <c r="AH127" s="321">
        <f>IF(Master20[[#This Row],[Status]]="Active",Master20[[#This Row],[Status_Score]],IF(D127="","",R127+H127+T127+V127+AG127+AE127+Master20[[#This Row],[Risk Mitigation]]+Master20[[#This Row],[Master Plan]]+Master20[[#This Row],[Community Request]]+Master20[[#This Row],[Community need]]+Master20[[#This Row],[Offset Aging Inf.]]+Master20[[#This Row],[Energy Savings]]+Master20[[#This Row],[Gen Revenue]]-5))</f>
        <v>81</v>
      </c>
      <c r="AI127" s="302"/>
      <c r="AJ127" s="302"/>
      <c r="AK127" s="302"/>
      <c r="AL127" s="302"/>
      <c r="AM127" s="302"/>
      <c r="AN127" s="300" t="s">
        <v>672</v>
      </c>
      <c r="AO127" s="306"/>
      <c r="AP127" s="306"/>
      <c r="AQ127" s="306"/>
      <c r="AR127" s="306"/>
      <c r="AS127" s="306"/>
      <c r="AT127" s="306"/>
      <c r="AU127" s="306"/>
      <c r="AV127" s="306"/>
      <c r="AW127" s="306"/>
      <c r="AX127" s="306"/>
      <c r="AY127" s="306"/>
      <c r="AZ127" s="306"/>
      <c r="BA127" s="306"/>
      <c r="BB127" s="306"/>
      <c r="BC127" s="306"/>
      <c r="BD127" s="306"/>
      <c r="BE127" s="306"/>
      <c r="BF127" s="306"/>
      <c r="BG127" s="306"/>
      <c r="BH127" s="306"/>
      <c r="BI127" s="306"/>
      <c r="BJ127" s="306"/>
      <c r="BK127" s="306"/>
      <c r="BL127" s="306"/>
      <c r="BM127" s="306"/>
      <c r="BN127" s="306"/>
      <c r="BO127" s="306"/>
    </row>
    <row r="128" spans="1:67" s="298" customFormat="1" ht="45" hidden="1" x14ac:dyDescent="0.25">
      <c r="A128" s="307">
        <f t="shared" si="12"/>
        <v>127</v>
      </c>
      <c r="B128" s="378" t="s">
        <v>65</v>
      </c>
      <c r="C128" s="300" t="s">
        <v>1045</v>
      </c>
      <c r="D128" s="300" t="s">
        <v>468</v>
      </c>
      <c r="E128" s="300" t="s">
        <v>671</v>
      </c>
      <c r="F128" s="300" t="s">
        <v>469</v>
      </c>
      <c r="G128" s="300" t="s">
        <v>29</v>
      </c>
      <c r="H128" s="300">
        <f t="shared" si="21"/>
        <v>0</v>
      </c>
      <c r="I128" s="249"/>
      <c r="J128" s="249"/>
      <c r="K128" s="249">
        <f>Master20[[#This Row],[Initial Budget]]-Master20[[#This Row],[Previously Committed Funds]]</f>
        <v>0</v>
      </c>
      <c r="L128" s="249"/>
      <c r="M128" s="249"/>
      <c r="N128" s="258">
        <f>Master20[[#This Row],[Design $ (Add/Deduct)]]+Master20[[#This Row],[Construction $ (Add/Ded)]]</f>
        <v>0</v>
      </c>
      <c r="O128" s="256">
        <v>250000</v>
      </c>
      <c r="P128" s="301">
        <v>2018</v>
      </c>
      <c r="Q128" s="300" t="s">
        <v>686</v>
      </c>
      <c r="R128" s="301">
        <f t="shared" si="20"/>
        <v>60</v>
      </c>
      <c r="S128" s="302">
        <v>4</v>
      </c>
      <c r="T128" s="299">
        <f t="shared" si="18"/>
        <v>12</v>
      </c>
      <c r="U128" s="302" t="s">
        <v>43</v>
      </c>
      <c r="V128" s="302">
        <f t="shared" si="19"/>
        <v>16</v>
      </c>
      <c r="W128" s="302" t="s">
        <v>34</v>
      </c>
      <c r="X128" s="302">
        <v>0</v>
      </c>
      <c r="Y128" s="302">
        <v>0</v>
      </c>
      <c r="Z128" s="302">
        <v>0</v>
      </c>
      <c r="AA128" s="302">
        <v>0</v>
      </c>
      <c r="AB128" s="302">
        <v>0</v>
      </c>
      <c r="AC128" s="302">
        <v>0</v>
      </c>
      <c r="AD128" s="302">
        <v>0</v>
      </c>
      <c r="AE128" s="302"/>
      <c r="AF128" s="303" t="s">
        <v>29</v>
      </c>
      <c r="AG128" s="305">
        <f>VLOOKUP(Master20[[#This Row],[Elevated Priority]],Epriority,2,)</f>
        <v>0</v>
      </c>
      <c r="AH128" s="321">
        <f>IF(Master20[[#This Row],[Status]]="Active",Master20[[#This Row],[Status_Score]],IF(D128="","",R128+H128+T128+V128+AG128+AE128+Master20[[#This Row],[Risk Mitigation]]+Master20[[#This Row],[Master Plan]]+Master20[[#This Row],[Community Request]]+Master20[[#This Row],[Community need]]+Master20[[#This Row],[Offset Aging Inf.]]+Master20[[#This Row],[Energy Savings]]+Master20[[#This Row],[Gen Revenue]]-5))</f>
        <v>83</v>
      </c>
      <c r="AI128" s="302"/>
      <c r="AJ128" s="302"/>
      <c r="AK128" s="302"/>
      <c r="AL128" s="302"/>
      <c r="AM128" s="302"/>
      <c r="AN128" s="300"/>
      <c r="AO128" s="306"/>
      <c r="AP128" s="306"/>
      <c r="AQ128" s="306"/>
      <c r="AR128" s="306"/>
      <c r="AS128" s="306"/>
      <c r="AT128" s="306"/>
      <c r="AU128" s="306"/>
      <c r="AV128" s="306"/>
      <c r="AW128" s="306"/>
      <c r="AX128" s="306"/>
      <c r="AY128" s="306"/>
      <c r="AZ128" s="306"/>
      <c r="BA128" s="306"/>
      <c r="BB128" s="306"/>
      <c r="BC128" s="306"/>
      <c r="BD128" s="306"/>
      <c r="BE128" s="306"/>
      <c r="BF128" s="306"/>
      <c r="BG128" s="306"/>
      <c r="BH128" s="306"/>
      <c r="BI128" s="306"/>
      <c r="BJ128" s="306"/>
      <c r="BK128" s="306"/>
      <c r="BL128" s="306"/>
      <c r="BM128" s="306"/>
      <c r="BN128" s="306"/>
      <c r="BO128" s="306"/>
    </row>
    <row r="129" spans="1:67" s="298" customFormat="1" ht="30" hidden="1" x14ac:dyDescent="0.25">
      <c r="A129" s="307">
        <f t="shared" si="12"/>
        <v>128</v>
      </c>
      <c r="B129" s="300" t="s">
        <v>70</v>
      </c>
      <c r="C129" s="300" t="s">
        <v>1045</v>
      </c>
      <c r="D129" s="300" t="s">
        <v>408</v>
      </c>
      <c r="E129" s="300" t="s">
        <v>409</v>
      </c>
      <c r="F129" s="300" t="s">
        <v>410</v>
      </c>
      <c r="G129" s="300" t="s">
        <v>29</v>
      </c>
      <c r="H129" s="300">
        <f t="shared" si="21"/>
        <v>0</v>
      </c>
      <c r="I129" s="249"/>
      <c r="J129" s="249"/>
      <c r="K129" s="249">
        <f>Master20[[#This Row],[Initial Budget]]-Master20[[#This Row],[Previously Committed Funds]]</f>
        <v>0</v>
      </c>
      <c r="L129" s="249"/>
      <c r="M129" s="249"/>
      <c r="N129" s="258">
        <f>Master20[[#This Row],[Design $ (Add/Deduct)]]+Master20[[#This Row],[Construction $ (Add/Ded)]]</f>
        <v>0</v>
      </c>
      <c r="O129" s="256">
        <v>750000</v>
      </c>
      <c r="P129" s="301">
        <v>2018</v>
      </c>
      <c r="Q129" s="300" t="s">
        <v>686</v>
      </c>
      <c r="R129" s="301">
        <f t="shared" si="20"/>
        <v>60</v>
      </c>
      <c r="S129" s="302">
        <v>5</v>
      </c>
      <c r="T129" s="299">
        <f t="shared" si="18"/>
        <v>15</v>
      </c>
      <c r="U129" s="302" t="s">
        <v>43</v>
      </c>
      <c r="V129" s="302">
        <f t="shared" si="19"/>
        <v>16</v>
      </c>
      <c r="W129" s="302" t="s">
        <v>34</v>
      </c>
      <c r="X129" s="302">
        <v>0</v>
      </c>
      <c r="Y129" s="302">
        <v>0</v>
      </c>
      <c r="Z129" s="302">
        <v>0</v>
      </c>
      <c r="AA129" s="302">
        <v>0</v>
      </c>
      <c r="AB129" s="302">
        <v>0</v>
      </c>
      <c r="AC129" s="302">
        <v>0</v>
      </c>
      <c r="AD129" s="302">
        <v>-1</v>
      </c>
      <c r="AE129" s="302"/>
      <c r="AF129" s="303" t="s">
        <v>29</v>
      </c>
      <c r="AG129" s="305">
        <f>VLOOKUP(Master20[[#This Row],[Elevated Priority]],Epriority,2,)</f>
        <v>0</v>
      </c>
      <c r="AH129" s="321">
        <f>IF(Master20[[#This Row],[Status]]="Active",Master20[[#This Row],[Status_Score]],IF(D129="","",R129+H129+T129+V129+AG129+AE129+Master20[[#This Row],[Risk Mitigation]]+Master20[[#This Row],[Master Plan]]+Master20[[#This Row],[Community Request]]+Master20[[#This Row],[Community need]]+Master20[[#This Row],[Offset Aging Inf.]]+Master20[[#This Row],[Energy Savings]]+Master20[[#This Row],[Gen Revenue]]-5))</f>
        <v>85</v>
      </c>
      <c r="AI129" s="302"/>
      <c r="AJ129" s="302"/>
      <c r="AK129" s="302"/>
      <c r="AL129" s="302"/>
      <c r="AM129" s="302"/>
      <c r="AN129" s="300"/>
      <c r="AO129" s="306"/>
      <c r="AP129" s="306"/>
      <c r="AQ129" s="306"/>
      <c r="AR129" s="306"/>
      <c r="AS129" s="306"/>
      <c r="AT129" s="306"/>
      <c r="AU129" s="306"/>
      <c r="AV129" s="306"/>
      <c r="AW129" s="306"/>
      <c r="AX129" s="306"/>
      <c r="AY129" s="306"/>
      <c r="AZ129" s="306"/>
      <c r="BA129" s="306"/>
      <c r="BB129" s="306"/>
      <c r="BC129" s="306"/>
      <c r="BD129" s="306"/>
      <c r="BE129" s="306"/>
      <c r="BF129" s="306"/>
      <c r="BG129" s="306"/>
      <c r="BH129" s="306"/>
      <c r="BI129" s="306"/>
      <c r="BJ129" s="306"/>
      <c r="BK129" s="306"/>
      <c r="BL129" s="306"/>
      <c r="BM129" s="306"/>
      <c r="BN129" s="306"/>
      <c r="BO129" s="306"/>
    </row>
    <row r="130" spans="1:67" s="298" customFormat="1" ht="240" hidden="1" x14ac:dyDescent="0.25">
      <c r="A130" s="307">
        <f t="shared" si="12"/>
        <v>129</v>
      </c>
      <c r="B130" s="378" t="s">
        <v>1200</v>
      </c>
      <c r="C130" s="300" t="s">
        <v>1045</v>
      </c>
      <c r="D130" s="300" t="s">
        <v>1094</v>
      </c>
      <c r="E130" s="300" t="s">
        <v>1107</v>
      </c>
      <c r="F130" s="300" t="s">
        <v>1095</v>
      </c>
      <c r="G130" s="300" t="s">
        <v>29</v>
      </c>
      <c r="H130" s="300">
        <f t="shared" si="21"/>
        <v>0</v>
      </c>
      <c r="I130" s="249"/>
      <c r="J130" s="249"/>
      <c r="K130" s="249">
        <f>Master20[[#This Row],[Initial Budget]]-Master20[[#This Row],[Previously Committed Funds]]</f>
        <v>0</v>
      </c>
      <c r="L130" s="249"/>
      <c r="M130" s="249"/>
      <c r="N130" s="258">
        <f>Master20[[#This Row],[Design $ (Add/Deduct)]]+Master20[[#This Row],[Construction $ (Add/Ded)]]</f>
        <v>0</v>
      </c>
      <c r="O130" s="256">
        <v>85000</v>
      </c>
      <c r="P130" s="301">
        <v>2022</v>
      </c>
      <c r="Q130" s="300" t="s">
        <v>686</v>
      </c>
      <c r="R130" s="301">
        <f t="shared" si="20"/>
        <v>60</v>
      </c>
      <c r="S130" s="302">
        <v>5</v>
      </c>
      <c r="T130" s="299">
        <f t="shared" si="18"/>
        <v>15</v>
      </c>
      <c r="U130" s="302" t="s">
        <v>43</v>
      </c>
      <c r="V130" s="302">
        <f t="shared" si="19"/>
        <v>16</v>
      </c>
      <c r="W130" s="302" t="s">
        <v>30</v>
      </c>
      <c r="X130" s="302">
        <v>0</v>
      </c>
      <c r="Y130" s="302">
        <v>0</v>
      </c>
      <c r="Z130" s="302">
        <v>0</v>
      </c>
      <c r="AA130" s="302">
        <v>0</v>
      </c>
      <c r="AB130" s="302">
        <v>0</v>
      </c>
      <c r="AC130" s="302">
        <v>0</v>
      </c>
      <c r="AD130" s="302">
        <v>0</v>
      </c>
      <c r="AE130" s="302"/>
      <c r="AF130" s="303" t="s">
        <v>29</v>
      </c>
      <c r="AG130" s="305">
        <f>VLOOKUP(Master20[[#This Row],[Elevated Priority]],Epriority,2,)</f>
        <v>0</v>
      </c>
      <c r="AH130" s="321">
        <f>IF(Master20[[#This Row],[Status]]="Active",Master20[[#This Row],[Status_Score]],IF(D130="","",R130+H130+T130+V130+AG130+AE130+Master20[[#This Row],[Risk Mitigation]]+Master20[[#This Row],[Master Plan]]+Master20[[#This Row],[Community Request]]+Master20[[#This Row],[Community need]]+Master20[[#This Row],[Offset Aging Inf.]]+Master20[[#This Row],[Energy Savings]]+Master20[[#This Row],[Gen Revenue]]-5))</f>
        <v>86</v>
      </c>
      <c r="AI130" s="302"/>
      <c r="AJ130" s="302"/>
      <c r="AK130" s="302"/>
      <c r="AL130" s="302"/>
      <c r="AM130" s="302"/>
      <c r="AN130" s="300"/>
      <c r="AO130" s="306"/>
      <c r="AP130" s="306"/>
      <c r="AQ130" s="306"/>
      <c r="AR130" s="306"/>
      <c r="AS130" s="306"/>
      <c r="AT130" s="306"/>
      <c r="AU130" s="306"/>
      <c r="AV130" s="306"/>
      <c r="AW130" s="306"/>
      <c r="AX130" s="306"/>
      <c r="AY130" s="306"/>
      <c r="AZ130" s="306"/>
      <c r="BA130" s="306"/>
      <c r="BB130" s="306"/>
      <c r="BC130" s="306"/>
      <c r="BD130" s="306"/>
      <c r="BE130" s="306"/>
      <c r="BF130" s="306"/>
      <c r="BG130" s="306"/>
      <c r="BH130" s="306"/>
      <c r="BI130" s="306"/>
      <c r="BJ130" s="306"/>
      <c r="BK130" s="306"/>
      <c r="BL130" s="306"/>
      <c r="BM130" s="306"/>
      <c r="BN130" s="306"/>
      <c r="BO130" s="306"/>
    </row>
    <row r="131" spans="1:67" s="298" customFormat="1" ht="60" hidden="1" x14ac:dyDescent="0.25">
      <c r="A131" s="307">
        <f t="shared" ref="A131:A191" si="22">A130+1</f>
        <v>130</v>
      </c>
      <c r="B131" s="300" t="s">
        <v>1213</v>
      </c>
      <c r="C131" s="300" t="s">
        <v>70</v>
      </c>
      <c r="D131" s="300" t="s">
        <v>562</v>
      </c>
      <c r="E131" s="300" t="s">
        <v>563</v>
      </c>
      <c r="F131" s="300" t="s">
        <v>564</v>
      </c>
      <c r="G131" s="300" t="s">
        <v>29</v>
      </c>
      <c r="H131" s="300">
        <f t="shared" si="21"/>
        <v>0</v>
      </c>
      <c r="I131" s="249"/>
      <c r="J131" s="249"/>
      <c r="K131" s="249">
        <f>Master20[[#This Row],[Initial Budget]]-Master20[[#This Row],[Previously Committed Funds]]</f>
        <v>0</v>
      </c>
      <c r="L131" s="249"/>
      <c r="M131" s="249"/>
      <c r="N131" s="258">
        <f>Master20[[#This Row],[Design $ (Add/Deduct)]]+Master20[[#This Row],[Construction $ (Add/Ded)]]</f>
        <v>0</v>
      </c>
      <c r="O131" s="256">
        <v>850000</v>
      </c>
      <c r="P131" s="301">
        <v>2018</v>
      </c>
      <c r="Q131" s="300" t="s">
        <v>46</v>
      </c>
      <c r="R131" s="301">
        <f t="shared" si="20"/>
        <v>50</v>
      </c>
      <c r="S131" s="302">
        <v>4</v>
      </c>
      <c r="T131" s="299">
        <f t="shared" si="18"/>
        <v>12</v>
      </c>
      <c r="U131" s="302" t="s">
        <v>45</v>
      </c>
      <c r="V131" s="302">
        <f t="shared" si="19"/>
        <v>32</v>
      </c>
      <c r="W131" s="302" t="s">
        <v>34</v>
      </c>
      <c r="X131" s="302">
        <v>0</v>
      </c>
      <c r="Y131" s="302">
        <v>0</v>
      </c>
      <c r="Z131" s="302">
        <v>0</v>
      </c>
      <c r="AA131" s="302">
        <v>0</v>
      </c>
      <c r="AB131" s="302">
        <v>-2</v>
      </c>
      <c r="AC131" s="302">
        <v>0</v>
      </c>
      <c r="AD131" s="302">
        <v>-1</v>
      </c>
      <c r="AE131" s="302"/>
      <c r="AF131" s="303" t="s">
        <v>29</v>
      </c>
      <c r="AG131" s="305">
        <f>VLOOKUP(Master20[[#This Row],[Elevated Priority]],Epriority,2,)</f>
        <v>0</v>
      </c>
      <c r="AH131" s="321">
        <f>IF(Master20[[#This Row],[Status]]="Active",Master20[[#This Row],[Status_Score]],IF(D131="","",R131+H131+T131+V131+AG131+AE131+Master20[[#This Row],[Risk Mitigation]]+Master20[[#This Row],[Master Plan]]+Master20[[#This Row],[Community Request]]+Master20[[#This Row],[Community need]]+Master20[[#This Row],[Offset Aging Inf.]]+Master20[[#This Row],[Energy Savings]]+Master20[[#This Row],[Gen Revenue]]-5))</f>
        <v>86</v>
      </c>
      <c r="AI131" s="302"/>
      <c r="AJ131" s="302"/>
      <c r="AK131" s="302"/>
      <c r="AL131" s="302"/>
      <c r="AM131" s="302"/>
      <c r="AN131" s="300"/>
      <c r="AO131" s="306"/>
      <c r="AP131" s="306"/>
      <c r="AQ131" s="306"/>
      <c r="AR131" s="306"/>
      <c r="AS131" s="306"/>
      <c r="AT131" s="306"/>
      <c r="AU131" s="306"/>
      <c r="AV131" s="306"/>
      <c r="AW131" s="306"/>
      <c r="AX131" s="306"/>
      <c r="AY131" s="306"/>
      <c r="AZ131" s="306"/>
      <c r="BA131" s="306"/>
      <c r="BB131" s="306"/>
      <c r="BC131" s="306"/>
      <c r="BD131" s="306"/>
      <c r="BE131" s="306"/>
      <c r="BF131" s="306"/>
      <c r="BG131" s="306"/>
      <c r="BH131" s="306"/>
      <c r="BI131" s="306"/>
      <c r="BJ131" s="306"/>
      <c r="BK131" s="306"/>
      <c r="BL131" s="306"/>
      <c r="BM131" s="306"/>
      <c r="BN131" s="306"/>
      <c r="BO131" s="306"/>
    </row>
    <row r="132" spans="1:67" s="298" customFormat="1" hidden="1" x14ac:dyDescent="0.25">
      <c r="A132" s="307">
        <f t="shared" si="22"/>
        <v>131</v>
      </c>
      <c r="B132" s="378" t="s">
        <v>67</v>
      </c>
      <c r="C132" s="300" t="s">
        <v>1045</v>
      </c>
      <c r="D132" s="300" t="s">
        <v>1033</v>
      </c>
      <c r="E132" s="300" t="s">
        <v>1034</v>
      </c>
      <c r="F132" s="300"/>
      <c r="G132" s="300" t="s">
        <v>29</v>
      </c>
      <c r="H132" s="300">
        <f t="shared" si="21"/>
        <v>0</v>
      </c>
      <c r="I132" s="249"/>
      <c r="J132" s="249"/>
      <c r="K132" s="249">
        <f>Master20[[#This Row],[Initial Budget]]-Master20[[#This Row],[Previously Committed Funds]]</f>
        <v>0</v>
      </c>
      <c r="L132" s="249"/>
      <c r="M132" s="249"/>
      <c r="N132" s="258">
        <f>Master20[[#This Row],[Design $ (Add/Deduct)]]+Master20[[#This Row],[Construction $ (Add/Ded)]]</f>
        <v>0</v>
      </c>
      <c r="O132" s="256">
        <v>3000000</v>
      </c>
      <c r="P132" s="301">
        <v>2018</v>
      </c>
      <c r="Q132" s="300" t="s">
        <v>46</v>
      </c>
      <c r="R132" s="301">
        <f t="shared" si="20"/>
        <v>50</v>
      </c>
      <c r="S132" s="302">
        <v>4</v>
      </c>
      <c r="T132" s="299">
        <f t="shared" si="18"/>
        <v>12</v>
      </c>
      <c r="U132" s="302" t="s">
        <v>45</v>
      </c>
      <c r="V132" s="302">
        <f t="shared" si="19"/>
        <v>32</v>
      </c>
      <c r="W132" s="302" t="s">
        <v>34</v>
      </c>
      <c r="X132" s="302">
        <v>-1</v>
      </c>
      <c r="Y132" s="302">
        <v>0</v>
      </c>
      <c r="Z132" s="302">
        <v>0</v>
      </c>
      <c r="AA132" s="302">
        <v>0</v>
      </c>
      <c r="AB132" s="302">
        <v>-2</v>
      </c>
      <c r="AC132" s="302">
        <v>0</v>
      </c>
      <c r="AD132" s="302">
        <v>0</v>
      </c>
      <c r="AE132" s="302"/>
      <c r="AF132" s="303" t="s">
        <v>29</v>
      </c>
      <c r="AG132" s="305">
        <f>VLOOKUP(Master20[[#This Row],[Elevated Priority]],Epriority,2,)</f>
        <v>0</v>
      </c>
      <c r="AH132" s="321">
        <f>IF(Master20[[#This Row],[Status]]="Active",Master20[[#This Row],[Status_Score]],IF(D132="","",R132+H132+T132+V132+AG132+AE132+Master20[[#This Row],[Risk Mitigation]]+Master20[[#This Row],[Master Plan]]+Master20[[#This Row],[Community Request]]+Master20[[#This Row],[Community need]]+Master20[[#This Row],[Offset Aging Inf.]]+Master20[[#This Row],[Energy Savings]]+Master20[[#This Row],[Gen Revenue]]-5))</f>
        <v>86</v>
      </c>
      <c r="AI132" s="302"/>
      <c r="AJ132" s="302"/>
      <c r="AK132" s="302"/>
      <c r="AL132" s="302"/>
      <c r="AM132" s="302"/>
      <c r="AN132" s="300"/>
      <c r="AO132" s="306"/>
      <c r="AP132" s="306"/>
      <c r="AQ132" s="306"/>
      <c r="AR132" s="306"/>
      <c r="AS132" s="306"/>
      <c r="AT132" s="306"/>
      <c r="AU132" s="306"/>
      <c r="AV132" s="306"/>
      <c r="AW132" s="306"/>
      <c r="AX132" s="306"/>
      <c r="AY132" s="306"/>
      <c r="AZ132" s="306"/>
      <c r="BA132" s="306"/>
      <c r="BB132" s="306"/>
      <c r="BC132" s="306"/>
      <c r="BD132" s="306"/>
      <c r="BE132" s="306"/>
      <c r="BF132" s="306"/>
      <c r="BG132" s="306"/>
      <c r="BH132" s="306"/>
      <c r="BI132" s="306"/>
      <c r="BJ132" s="306"/>
      <c r="BK132" s="306"/>
      <c r="BL132" s="306"/>
      <c r="BM132" s="306"/>
      <c r="BN132" s="306"/>
      <c r="BO132" s="306"/>
    </row>
    <row r="133" spans="1:67" s="298" customFormat="1" ht="30" hidden="1" x14ac:dyDescent="0.25">
      <c r="A133" s="307">
        <f t="shared" si="22"/>
        <v>132</v>
      </c>
      <c r="B133" s="300" t="s">
        <v>70</v>
      </c>
      <c r="C133" s="300" t="s">
        <v>1045</v>
      </c>
      <c r="D133" s="300" t="s">
        <v>1203</v>
      </c>
      <c r="E133" s="300" t="s">
        <v>391</v>
      </c>
      <c r="F133" s="300" t="s">
        <v>392</v>
      </c>
      <c r="G133" s="300" t="s">
        <v>29</v>
      </c>
      <c r="H133" s="300">
        <f t="shared" si="21"/>
        <v>0</v>
      </c>
      <c r="I133" s="249"/>
      <c r="J133" s="249"/>
      <c r="K133" s="249">
        <f>Master20[[#This Row],[Initial Budget]]-Master20[[#This Row],[Previously Committed Funds]]</f>
        <v>0</v>
      </c>
      <c r="L133" s="249"/>
      <c r="M133" s="249"/>
      <c r="N133" s="258">
        <f>Master20[[#This Row],[Design $ (Add/Deduct)]]+Master20[[#This Row],[Construction $ (Add/Ded)]]</f>
        <v>0</v>
      </c>
      <c r="O133" s="256">
        <v>150000</v>
      </c>
      <c r="P133" s="301">
        <v>2018</v>
      </c>
      <c r="Q133" s="300" t="s">
        <v>686</v>
      </c>
      <c r="R133" s="301">
        <f t="shared" si="20"/>
        <v>60</v>
      </c>
      <c r="S133" s="302">
        <v>5</v>
      </c>
      <c r="T133" s="299">
        <f t="shared" ref="T133:T164" si="23">VLOOKUP(S133,Department,2,FALSE)</f>
        <v>15</v>
      </c>
      <c r="U133" s="302" t="s">
        <v>43</v>
      </c>
      <c r="V133" s="302">
        <f t="shared" si="19"/>
        <v>16</v>
      </c>
      <c r="W133" s="302" t="s">
        <v>34</v>
      </c>
      <c r="X133" s="302">
        <v>0</v>
      </c>
      <c r="Y133" s="302">
        <v>0</v>
      </c>
      <c r="Z133" s="302">
        <v>0</v>
      </c>
      <c r="AA133" s="302">
        <v>0</v>
      </c>
      <c r="AB133" s="302">
        <v>0</v>
      </c>
      <c r="AC133" s="302">
        <v>0</v>
      </c>
      <c r="AD133" s="302">
        <v>0</v>
      </c>
      <c r="AE133" s="302"/>
      <c r="AF133" s="303" t="s">
        <v>29</v>
      </c>
      <c r="AG133" s="305">
        <f>VLOOKUP(Master20[[#This Row],[Elevated Priority]],Epriority,2,)</f>
        <v>0</v>
      </c>
      <c r="AH133" s="321">
        <f>IF(Master20[[#This Row],[Status]]="Active",Master20[[#This Row],[Status_Score]],IF(D133="","",R133+H133+T133+V133+AG133+AE133+Master20[[#This Row],[Risk Mitigation]]+Master20[[#This Row],[Master Plan]]+Master20[[#This Row],[Community Request]]+Master20[[#This Row],[Community need]]+Master20[[#This Row],[Offset Aging Inf.]]+Master20[[#This Row],[Energy Savings]]+Master20[[#This Row],[Gen Revenue]]-5))</f>
        <v>86</v>
      </c>
      <c r="AI133" s="302"/>
      <c r="AJ133" s="302"/>
      <c r="AK133" s="302"/>
      <c r="AL133" s="302"/>
      <c r="AM133" s="302"/>
      <c r="AN133" s="300"/>
      <c r="AO133" s="306"/>
      <c r="AP133" s="306"/>
      <c r="AQ133" s="306"/>
      <c r="AR133" s="306"/>
      <c r="AS133" s="306"/>
      <c r="AT133" s="306"/>
      <c r="AU133" s="306"/>
      <c r="AV133" s="306"/>
      <c r="AW133" s="306"/>
      <c r="AX133" s="306"/>
      <c r="AY133" s="306"/>
      <c r="AZ133" s="306"/>
      <c r="BA133" s="306"/>
      <c r="BB133" s="306"/>
      <c r="BC133" s="306"/>
      <c r="BD133" s="306"/>
      <c r="BE133" s="306"/>
      <c r="BF133" s="306"/>
      <c r="BG133" s="306"/>
      <c r="BH133" s="306"/>
      <c r="BI133" s="306"/>
      <c r="BJ133" s="306"/>
      <c r="BK133" s="306"/>
      <c r="BL133" s="306"/>
      <c r="BM133" s="306"/>
      <c r="BN133" s="306"/>
      <c r="BO133" s="306"/>
    </row>
    <row r="134" spans="1:67" s="298" customFormat="1" ht="135" hidden="1" x14ac:dyDescent="0.25">
      <c r="A134" s="307">
        <f t="shared" si="22"/>
        <v>133</v>
      </c>
      <c r="B134" s="378" t="s">
        <v>1215</v>
      </c>
      <c r="C134" s="300" t="s">
        <v>1194</v>
      </c>
      <c r="D134" s="300" t="s">
        <v>912</v>
      </c>
      <c r="E134" s="300" t="s">
        <v>913</v>
      </c>
      <c r="F134" s="300" t="s">
        <v>914</v>
      </c>
      <c r="G134" s="300" t="s">
        <v>29</v>
      </c>
      <c r="H134" s="300">
        <f t="shared" si="21"/>
        <v>0</v>
      </c>
      <c r="I134" s="249"/>
      <c r="J134" s="249"/>
      <c r="K134" s="249">
        <f>Master20[[#This Row],[Initial Budget]]-Master20[[#This Row],[Previously Committed Funds]]</f>
        <v>0</v>
      </c>
      <c r="L134" s="249"/>
      <c r="M134" s="249"/>
      <c r="N134" s="258">
        <f>Master20[[#This Row],[Design $ (Add/Deduct)]]+Master20[[#This Row],[Construction $ (Add/Ded)]]</f>
        <v>0</v>
      </c>
      <c r="O134" s="256">
        <v>30000000</v>
      </c>
      <c r="P134" s="301">
        <v>2018</v>
      </c>
      <c r="Q134" s="300" t="s">
        <v>46</v>
      </c>
      <c r="R134" s="301">
        <f t="shared" si="20"/>
        <v>50</v>
      </c>
      <c r="S134" s="302">
        <v>6</v>
      </c>
      <c r="T134" s="299">
        <f t="shared" si="23"/>
        <v>18</v>
      </c>
      <c r="U134" s="302" t="s">
        <v>45</v>
      </c>
      <c r="V134" s="302">
        <f t="shared" si="19"/>
        <v>32</v>
      </c>
      <c r="W134" s="302" t="s">
        <v>34</v>
      </c>
      <c r="X134" s="302">
        <v>-3</v>
      </c>
      <c r="Y134" s="302">
        <v>0</v>
      </c>
      <c r="Z134" s="302">
        <v>0</v>
      </c>
      <c r="AA134" s="302">
        <v>0</v>
      </c>
      <c r="AB134" s="302">
        <v>-2</v>
      </c>
      <c r="AC134" s="302">
        <v>-3</v>
      </c>
      <c r="AD134" s="302">
        <v>0</v>
      </c>
      <c r="AE134" s="302"/>
      <c r="AF134" s="303" t="s">
        <v>29</v>
      </c>
      <c r="AG134" s="305">
        <f>VLOOKUP(Master20[[#This Row],[Elevated Priority]],Epriority,2,)</f>
        <v>0</v>
      </c>
      <c r="AH134" s="321">
        <f>IF(Master20[[#This Row],[Status]]="Active",Master20[[#This Row],[Status_Score]],IF(D134="","",R134+H134+T134+V134+AG134+AE134+Master20[[#This Row],[Risk Mitigation]]+Master20[[#This Row],[Master Plan]]+Master20[[#This Row],[Community Request]]+Master20[[#This Row],[Community need]]+Master20[[#This Row],[Offset Aging Inf.]]+Master20[[#This Row],[Energy Savings]]+Master20[[#This Row],[Gen Revenue]]-5))</f>
        <v>87</v>
      </c>
      <c r="AI134" s="302"/>
      <c r="AJ134" s="302"/>
      <c r="AK134" s="302"/>
      <c r="AL134" s="302"/>
      <c r="AM134" s="302"/>
      <c r="AN134" s="300"/>
      <c r="AO134" s="306"/>
      <c r="AP134" s="306"/>
      <c r="AQ134" s="306"/>
      <c r="AR134" s="306"/>
      <c r="AS134" s="306"/>
      <c r="AT134" s="306"/>
      <c r="AU134" s="306"/>
      <c r="AV134" s="306"/>
      <c r="AW134" s="306"/>
      <c r="AX134" s="306"/>
      <c r="AY134" s="306"/>
      <c r="AZ134" s="306"/>
      <c r="BA134" s="306"/>
      <c r="BB134" s="306"/>
      <c r="BC134" s="306"/>
      <c r="BD134" s="306"/>
      <c r="BE134" s="306"/>
      <c r="BF134" s="306"/>
      <c r="BG134" s="306"/>
      <c r="BH134" s="306"/>
      <c r="BI134" s="306"/>
      <c r="BJ134" s="306"/>
      <c r="BK134" s="306"/>
      <c r="BL134" s="306"/>
      <c r="BM134" s="306"/>
      <c r="BN134" s="306"/>
      <c r="BO134" s="306"/>
    </row>
    <row r="135" spans="1:67" s="298" customFormat="1" ht="30" hidden="1" x14ac:dyDescent="0.25">
      <c r="A135" s="307">
        <f t="shared" si="22"/>
        <v>134</v>
      </c>
      <c r="B135" s="300" t="s">
        <v>67</v>
      </c>
      <c r="C135" s="300" t="s">
        <v>159</v>
      </c>
      <c r="D135" s="300" t="s">
        <v>575</v>
      </c>
      <c r="E135" s="300" t="s">
        <v>576</v>
      </c>
      <c r="F135" s="300" t="s">
        <v>577</v>
      </c>
      <c r="G135" s="300" t="s">
        <v>29</v>
      </c>
      <c r="H135" s="300">
        <f t="shared" si="21"/>
        <v>0</v>
      </c>
      <c r="I135" s="249"/>
      <c r="J135" s="249"/>
      <c r="K135" s="249">
        <f>Master20[[#This Row],[Initial Budget]]-Master20[[#This Row],[Previously Committed Funds]]</f>
        <v>0</v>
      </c>
      <c r="L135" s="249"/>
      <c r="M135" s="249"/>
      <c r="N135" s="258">
        <f>Master20[[#This Row],[Design $ (Add/Deduct)]]+Master20[[#This Row],[Construction $ (Add/Ded)]]</f>
        <v>0</v>
      </c>
      <c r="O135" s="256">
        <v>350000</v>
      </c>
      <c r="P135" s="301">
        <v>2018</v>
      </c>
      <c r="Q135" s="300" t="s">
        <v>830</v>
      </c>
      <c r="R135" s="301">
        <f t="shared" si="20"/>
        <v>10</v>
      </c>
      <c r="S135" s="302">
        <v>8</v>
      </c>
      <c r="T135" s="299">
        <f t="shared" si="23"/>
        <v>20</v>
      </c>
      <c r="U135" s="302" t="s">
        <v>47</v>
      </c>
      <c r="V135" s="302">
        <f t="shared" si="19"/>
        <v>64</v>
      </c>
      <c r="W135" s="302" t="s">
        <v>34</v>
      </c>
      <c r="X135" s="302">
        <v>0</v>
      </c>
      <c r="Y135" s="302">
        <v>0</v>
      </c>
      <c r="Z135" s="302">
        <v>0</v>
      </c>
      <c r="AA135" s="302">
        <v>0</v>
      </c>
      <c r="AB135" s="302">
        <v>-2</v>
      </c>
      <c r="AC135" s="302">
        <v>0</v>
      </c>
      <c r="AD135" s="302">
        <v>0</v>
      </c>
      <c r="AE135" s="302"/>
      <c r="AF135" s="303" t="s">
        <v>29</v>
      </c>
      <c r="AG135" s="305">
        <f>VLOOKUP(Master20[[#This Row],[Elevated Priority]],Epriority,2,)</f>
        <v>0</v>
      </c>
      <c r="AH135" s="321">
        <f>IF(Master20[[#This Row],[Status]]="Active",Master20[[#This Row],[Status_Score]],IF(D135="","",R135+H135+T135+V135+AG135+AE135+Master20[[#This Row],[Risk Mitigation]]+Master20[[#This Row],[Master Plan]]+Master20[[#This Row],[Community Request]]+Master20[[#This Row],[Community need]]+Master20[[#This Row],[Offset Aging Inf.]]+Master20[[#This Row],[Energy Savings]]+Master20[[#This Row],[Gen Revenue]]-5))</f>
        <v>87</v>
      </c>
      <c r="AI135" s="302"/>
      <c r="AJ135" s="302"/>
      <c r="AK135" s="302"/>
      <c r="AL135" s="302"/>
      <c r="AM135" s="302"/>
      <c r="AN135" s="300"/>
      <c r="AO135" s="306"/>
      <c r="AP135" s="306"/>
      <c r="AQ135" s="306"/>
      <c r="AR135" s="306"/>
      <c r="AS135" s="306"/>
      <c r="AT135" s="306"/>
      <c r="AU135" s="306"/>
      <c r="AV135" s="306"/>
      <c r="AW135" s="306"/>
      <c r="AX135" s="306"/>
      <c r="AY135" s="306"/>
      <c r="AZ135" s="306"/>
      <c r="BA135" s="306"/>
      <c r="BB135" s="306"/>
      <c r="BC135" s="306"/>
      <c r="BD135" s="306"/>
      <c r="BE135" s="306"/>
      <c r="BF135" s="306"/>
      <c r="BG135" s="306"/>
      <c r="BH135" s="306"/>
      <c r="BI135" s="306"/>
      <c r="BJ135" s="306"/>
      <c r="BK135" s="306"/>
      <c r="BL135" s="306"/>
      <c r="BM135" s="306"/>
      <c r="BN135" s="306"/>
      <c r="BO135" s="306"/>
    </row>
    <row r="136" spans="1:67" s="298" customFormat="1" ht="30" hidden="1" x14ac:dyDescent="0.25">
      <c r="A136" s="307">
        <f t="shared" si="22"/>
        <v>135</v>
      </c>
      <c r="B136" s="378" t="s">
        <v>1216</v>
      </c>
      <c r="C136" s="300" t="s">
        <v>220</v>
      </c>
      <c r="D136" s="300" t="s">
        <v>552</v>
      </c>
      <c r="E136" s="300" t="s">
        <v>553</v>
      </c>
      <c r="F136" s="300" t="s">
        <v>554</v>
      </c>
      <c r="G136" s="300" t="s">
        <v>29</v>
      </c>
      <c r="H136" s="300">
        <f t="shared" si="21"/>
        <v>0</v>
      </c>
      <c r="I136" s="249"/>
      <c r="J136" s="249"/>
      <c r="K136" s="249">
        <f>Master20[[#This Row],[Initial Budget]]-Master20[[#This Row],[Previously Committed Funds]]</f>
        <v>0</v>
      </c>
      <c r="L136" s="249"/>
      <c r="M136" s="249"/>
      <c r="N136" s="258">
        <f>Master20[[#This Row],[Design $ (Add/Deduct)]]+Master20[[#This Row],[Construction $ (Add/Ded)]]</f>
        <v>0</v>
      </c>
      <c r="O136" s="256">
        <v>400000</v>
      </c>
      <c r="P136" s="301">
        <v>2018</v>
      </c>
      <c r="Q136" s="300" t="s">
        <v>688</v>
      </c>
      <c r="R136" s="301">
        <f t="shared" si="20"/>
        <v>20</v>
      </c>
      <c r="S136" s="302">
        <v>3</v>
      </c>
      <c r="T136" s="299">
        <f t="shared" si="23"/>
        <v>9</v>
      </c>
      <c r="U136" s="302" t="s">
        <v>47</v>
      </c>
      <c r="V136" s="302">
        <f t="shared" si="19"/>
        <v>64</v>
      </c>
      <c r="W136" s="302" t="s">
        <v>30</v>
      </c>
      <c r="X136" s="302">
        <v>0</v>
      </c>
      <c r="Y136" s="302">
        <v>0</v>
      </c>
      <c r="Z136" s="302">
        <v>0</v>
      </c>
      <c r="AA136" s="302">
        <v>0</v>
      </c>
      <c r="AB136" s="302">
        <v>0</v>
      </c>
      <c r="AC136" s="302">
        <v>0</v>
      </c>
      <c r="AD136" s="302">
        <v>0</v>
      </c>
      <c r="AE136" s="302"/>
      <c r="AF136" s="303" t="s">
        <v>29</v>
      </c>
      <c r="AG136" s="305">
        <f>VLOOKUP(Master20[[#This Row],[Elevated Priority]],Epriority,2,)</f>
        <v>0</v>
      </c>
      <c r="AH136" s="321">
        <f>IF(Master20[[#This Row],[Status]]="Active",Master20[[#This Row],[Status_Score]],IF(D136="","",R136+H136+T136+V136+AG136+AE136+Master20[[#This Row],[Risk Mitigation]]+Master20[[#This Row],[Master Plan]]+Master20[[#This Row],[Community Request]]+Master20[[#This Row],[Community need]]+Master20[[#This Row],[Offset Aging Inf.]]+Master20[[#This Row],[Energy Savings]]+Master20[[#This Row],[Gen Revenue]]-5))</f>
        <v>88</v>
      </c>
      <c r="AI136" s="302"/>
      <c r="AJ136" s="302"/>
      <c r="AK136" s="302"/>
      <c r="AL136" s="302"/>
      <c r="AM136" s="302"/>
      <c r="AN136" s="300"/>
      <c r="AO136" s="306"/>
      <c r="AP136" s="306"/>
      <c r="AQ136" s="306"/>
      <c r="AR136" s="306"/>
      <c r="AS136" s="306"/>
      <c r="AT136" s="306"/>
      <c r="AU136" s="306"/>
      <c r="AV136" s="306"/>
      <c r="AW136" s="306"/>
      <c r="AX136" s="306"/>
      <c r="AY136" s="306"/>
      <c r="AZ136" s="306"/>
      <c r="BA136" s="306"/>
      <c r="BB136" s="306"/>
      <c r="BC136" s="306"/>
      <c r="BD136" s="306"/>
      <c r="BE136" s="306"/>
      <c r="BF136" s="306"/>
      <c r="BG136" s="306"/>
      <c r="BH136" s="306"/>
      <c r="BI136" s="306"/>
      <c r="BJ136" s="306"/>
      <c r="BK136" s="306"/>
      <c r="BL136" s="306"/>
      <c r="BM136" s="306"/>
      <c r="BN136" s="306"/>
      <c r="BO136" s="306"/>
    </row>
    <row r="137" spans="1:67" s="298" customFormat="1" ht="60" hidden="1" x14ac:dyDescent="0.25">
      <c r="A137" s="307">
        <f t="shared" si="22"/>
        <v>136</v>
      </c>
      <c r="B137" s="300" t="s">
        <v>1200</v>
      </c>
      <c r="C137" s="300" t="s">
        <v>1045</v>
      </c>
      <c r="D137" s="300" t="s">
        <v>1102</v>
      </c>
      <c r="E137" s="300" t="s">
        <v>1103</v>
      </c>
      <c r="F137" s="300"/>
      <c r="G137" s="300" t="s">
        <v>29</v>
      </c>
      <c r="H137" s="300">
        <f t="shared" si="21"/>
        <v>0</v>
      </c>
      <c r="I137" s="249"/>
      <c r="J137" s="249"/>
      <c r="K137" s="249">
        <f>Master20[[#This Row],[Initial Budget]]-Master20[[#This Row],[Previously Committed Funds]]</f>
        <v>0</v>
      </c>
      <c r="L137" s="249"/>
      <c r="M137" s="249"/>
      <c r="N137" s="258">
        <f>Master20[[#This Row],[Design $ (Add/Deduct)]]+Master20[[#This Row],[Construction $ (Add/Ded)]]</f>
        <v>0</v>
      </c>
      <c r="O137" s="256">
        <v>975740</v>
      </c>
      <c r="P137" s="301">
        <v>2022</v>
      </c>
      <c r="Q137" s="300" t="s">
        <v>46</v>
      </c>
      <c r="R137" s="301">
        <f t="shared" si="20"/>
        <v>50</v>
      </c>
      <c r="S137" s="302">
        <v>4</v>
      </c>
      <c r="T137" s="299">
        <f t="shared" si="23"/>
        <v>12</v>
      </c>
      <c r="U137" s="302" t="s">
        <v>45</v>
      </c>
      <c r="V137" s="302">
        <f t="shared" si="19"/>
        <v>32</v>
      </c>
      <c r="W137" s="302" t="s">
        <v>34</v>
      </c>
      <c r="X137" s="302">
        <v>0</v>
      </c>
      <c r="Y137" s="302">
        <v>0</v>
      </c>
      <c r="Z137" s="302">
        <v>0</v>
      </c>
      <c r="AA137" s="302">
        <v>0</v>
      </c>
      <c r="AB137" s="302">
        <v>0</v>
      </c>
      <c r="AC137" s="302">
        <v>0</v>
      </c>
      <c r="AD137" s="302">
        <v>-1</v>
      </c>
      <c r="AE137" s="302"/>
      <c r="AF137" s="303" t="s">
        <v>29</v>
      </c>
      <c r="AG137" s="305">
        <f>VLOOKUP(Master20[[#This Row],[Elevated Priority]],Epriority,2,)</f>
        <v>0</v>
      </c>
      <c r="AH137" s="321">
        <f>IF(Master20[[#This Row],[Status]]="Active",Master20[[#This Row],[Status_Score]],IF(D137="","",R137+H137+T137+V137+AG137+AE137+Master20[[#This Row],[Risk Mitigation]]+Master20[[#This Row],[Master Plan]]+Master20[[#This Row],[Community Request]]+Master20[[#This Row],[Community need]]+Master20[[#This Row],[Offset Aging Inf.]]+Master20[[#This Row],[Energy Savings]]+Master20[[#This Row],[Gen Revenue]]-5))</f>
        <v>88</v>
      </c>
      <c r="AI137" s="302"/>
      <c r="AJ137" s="302"/>
      <c r="AK137" s="302"/>
      <c r="AL137" s="302"/>
      <c r="AM137" s="302"/>
      <c r="AN137" s="300"/>
      <c r="AO137" s="306"/>
      <c r="AP137" s="306"/>
      <c r="AQ137" s="306"/>
      <c r="AR137" s="306"/>
      <c r="AS137" s="306"/>
      <c r="AT137" s="306"/>
      <c r="AU137" s="306"/>
      <c r="AV137" s="306"/>
      <c r="AW137" s="306"/>
      <c r="AX137" s="306"/>
      <c r="AY137" s="306"/>
      <c r="AZ137" s="306"/>
      <c r="BA137" s="306"/>
      <c r="BB137" s="306"/>
      <c r="BC137" s="306"/>
      <c r="BD137" s="306"/>
      <c r="BE137" s="306"/>
      <c r="BF137" s="306"/>
      <c r="BG137" s="306"/>
      <c r="BH137" s="306"/>
      <c r="BI137" s="306"/>
      <c r="BJ137" s="306"/>
      <c r="BK137" s="306"/>
      <c r="BL137" s="306"/>
      <c r="BM137" s="306"/>
      <c r="BN137" s="306"/>
      <c r="BO137" s="306"/>
    </row>
    <row r="138" spans="1:67" s="298" customFormat="1" ht="45" hidden="1" x14ac:dyDescent="0.25">
      <c r="A138" s="307">
        <f t="shared" si="22"/>
        <v>137</v>
      </c>
      <c r="B138" s="378" t="s">
        <v>94</v>
      </c>
      <c r="C138" s="300" t="s">
        <v>1045</v>
      </c>
      <c r="D138" s="300" t="s">
        <v>535</v>
      </c>
      <c r="E138" s="300" t="s">
        <v>536</v>
      </c>
      <c r="F138" s="300" t="s">
        <v>537</v>
      </c>
      <c r="G138" s="300" t="s">
        <v>29</v>
      </c>
      <c r="H138" s="300">
        <f t="shared" si="21"/>
        <v>0</v>
      </c>
      <c r="I138" s="249"/>
      <c r="J138" s="249"/>
      <c r="K138" s="249">
        <f>Master20[[#This Row],[Initial Budget]]-Master20[[#This Row],[Previously Committed Funds]]</f>
        <v>0</v>
      </c>
      <c r="L138" s="249"/>
      <c r="M138" s="249"/>
      <c r="N138" s="258">
        <f>Master20[[#This Row],[Design $ (Add/Deduct)]]+Master20[[#This Row],[Construction $ (Add/Ded)]]</f>
        <v>0</v>
      </c>
      <c r="O138" s="256">
        <v>500000</v>
      </c>
      <c r="P138" s="301">
        <v>2018</v>
      </c>
      <c r="Q138" s="300" t="s">
        <v>46</v>
      </c>
      <c r="R138" s="301">
        <f t="shared" si="20"/>
        <v>50</v>
      </c>
      <c r="S138" s="302">
        <v>24</v>
      </c>
      <c r="T138" s="299">
        <f t="shared" si="23"/>
        <v>28</v>
      </c>
      <c r="U138" s="302" t="s">
        <v>43</v>
      </c>
      <c r="V138" s="302">
        <f t="shared" si="19"/>
        <v>16</v>
      </c>
      <c r="W138" s="302" t="s">
        <v>34</v>
      </c>
      <c r="X138" s="302">
        <v>-1</v>
      </c>
      <c r="Y138" s="302">
        <v>0</v>
      </c>
      <c r="Z138" s="302">
        <v>0</v>
      </c>
      <c r="AA138" s="302">
        <v>0</v>
      </c>
      <c r="AB138" s="302">
        <v>0</v>
      </c>
      <c r="AC138" s="302">
        <v>0</v>
      </c>
      <c r="AD138" s="302">
        <v>0</v>
      </c>
      <c r="AE138" s="302"/>
      <c r="AF138" s="303" t="s">
        <v>29</v>
      </c>
      <c r="AG138" s="305">
        <f>VLOOKUP(Master20[[#This Row],[Elevated Priority]],Epriority,2,)</f>
        <v>0</v>
      </c>
      <c r="AH138" s="321">
        <f>IF(Master20[[#This Row],[Status]]="Active",Master20[[#This Row],[Status_Score]],IF(D138="","",R138+H138+T138+V138+AG138+AE138+Master20[[#This Row],[Risk Mitigation]]+Master20[[#This Row],[Master Plan]]+Master20[[#This Row],[Community Request]]+Master20[[#This Row],[Community need]]+Master20[[#This Row],[Offset Aging Inf.]]+Master20[[#This Row],[Energy Savings]]+Master20[[#This Row],[Gen Revenue]]-5))</f>
        <v>88</v>
      </c>
      <c r="AI138" s="302"/>
      <c r="AJ138" s="302"/>
      <c r="AK138" s="302"/>
      <c r="AL138" s="302"/>
      <c r="AM138" s="302"/>
      <c r="AN138" s="300"/>
      <c r="AO138" s="306"/>
      <c r="AP138" s="306"/>
      <c r="AQ138" s="306"/>
      <c r="AR138" s="306"/>
      <c r="AS138" s="306"/>
      <c r="AT138" s="306"/>
      <c r="AU138" s="306"/>
      <c r="AV138" s="306"/>
      <c r="AW138" s="306"/>
      <c r="AX138" s="306"/>
      <c r="AY138" s="306"/>
      <c r="AZ138" s="306"/>
      <c r="BA138" s="306"/>
      <c r="BB138" s="306"/>
      <c r="BC138" s="306"/>
      <c r="BD138" s="306"/>
      <c r="BE138" s="306"/>
      <c r="BF138" s="306"/>
      <c r="BG138" s="306"/>
      <c r="BH138" s="306"/>
      <c r="BI138" s="306"/>
      <c r="BJ138" s="306"/>
      <c r="BK138" s="306"/>
      <c r="BL138" s="306"/>
      <c r="BM138" s="306"/>
      <c r="BN138" s="306"/>
      <c r="BO138" s="306"/>
    </row>
    <row r="139" spans="1:67" s="298" customFormat="1" ht="30" hidden="1" x14ac:dyDescent="0.25">
      <c r="A139" s="307">
        <f t="shared" si="22"/>
        <v>138</v>
      </c>
      <c r="B139" s="300" t="s">
        <v>65</v>
      </c>
      <c r="C139" s="300" t="s">
        <v>1045</v>
      </c>
      <c r="D139" s="300" t="s">
        <v>550</v>
      </c>
      <c r="E139" s="300" t="s">
        <v>551</v>
      </c>
      <c r="F139" s="300"/>
      <c r="G139" s="300" t="s">
        <v>29</v>
      </c>
      <c r="H139" s="300">
        <f t="shared" si="21"/>
        <v>0</v>
      </c>
      <c r="I139" s="249"/>
      <c r="J139" s="249"/>
      <c r="K139" s="249">
        <f>Master20[[#This Row],[Initial Budget]]-Master20[[#This Row],[Previously Committed Funds]]</f>
        <v>0</v>
      </c>
      <c r="L139" s="249"/>
      <c r="M139" s="249"/>
      <c r="N139" s="258">
        <f>Master20[[#This Row],[Design $ (Add/Deduct)]]+Master20[[#This Row],[Construction $ (Add/Ded)]]</f>
        <v>0</v>
      </c>
      <c r="O139" s="256">
        <v>2000000</v>
      </c>
      <c r="P139" s="301">
        <v>2018</v>
      </c>
      <c r="Q139" s="300" t="s">
        <v>46</v>
      </c>
      <c r="R139" s="301">
        <f t="shared" si="20"/>
        <v>50</v>
      </c>
      <c r="S139" s="302">
        <v>10</v>
      </c>
      <c r="T139" s="299">
        <f t="shared" si="23"/>
        <v>21</v>
      </c>
      <c r="U139" s="302" t="s">
        <v>45</v>
      </c>
      <c r="V139" s="302">
        <f t="shared" ref="V139:V170" si="24">VLOOKUP(U139,Urgency,2,FALSE)</f>
        <v>32</v>
      </c>
      <c r="W139" s="302" t="s">
        <v>34</v>
      </c>
      <c r="X139" s="302">
        <v>-3</v>
      </c>
      <c r="Y139" s="302">
        <v>0</v>
      </c>
      <c r="Z139" s="302">
        <v>0</v>
      </c>
      <c r="AA139" s="302">
        <v>-3</v>
      </c>
      <c r="AB139" s="302">
        <v>-2</v>
      </c>
      <c r="AC139" s="302">
        <v>-1</v>
      </c>
      <c r="AD139" s="302">
        <v>0</v>
      </c>
      <c r="AE139" s="302"/>
      <c r="AF139" s="303" t="s">
        <v>29</v>
      </c>
      <c r="AG139" s="305">
        <f>VLOOKUP(Master20[[#This Row],[Elevated Priority]],Epriority,2,)</f>
        <v>0</v>
      </c>
      <c r="AH139" s="321">
        <f>IF(Master20[[#This Row],[Status]]="Active",Master20[[#This Row],[Status_Score]],IF(D139="","",R139+H139+T139+V139+AG139+AE139+Master20[[#This Row],[Risk Mitigation]]+Master20[[#This Row],[Master Plan]]+Master20[[#This Row],[Community Request]]+Master20[[#This Row],[Community need]]+Master20[[#This Row],[Offset Aging Inf.]]+Master20[[#This Row],[Energy Savings]]+Master20[[#This Row],[Gen Revenue]]-5))</f>
        <v>89</v>
      </c>
      <c r="AI139" s="302"/>
      <c r="AJ139" s="302"/>
      <c r="AK139" s="302"/>
      <c r="AL139" s="302"/>
      <c r="AM139" s="302"/>
      <c r="AN139" s="300"/>
      <c r="AO139" s="306"/>
      <c r="AP139" s="306"/>
      <c r="AQ139" s="306"/>
      <c r="AR139" s="306"/>
      <c r="AS139" s="306"/>
      <c r="AT139" s="306"/>
      <c r="AU139" s="306"/>
      <c r="AV139" s="306"/>
      <c r="AW139" s="306"/>
      <c r="AX139" s="306"/>
      <c r="AY139" s="306"/>
      <c r="AZ139" s="306"/>
      <c r="BA139" s="306"/>
      <c r="BB139" s="306"/>
      <c r="BC139" s="306"/>
      <c r="BD139" s="306"/>
      <c r="BE139" s="306"/>
      <c r="BF139" s="306"/>
      <c r="BG139" s="306"/>
      <c r="BH139" s="306"/>
      <c r="BI139" s="306"/>
      <c r="BJ139" s="306"/>
      <c r="BK139" s="306"/>
      <c r="BL139" s="306"/>
      <c r="BM139" s="306"/>
      <c r="BN139" s="306"/>
      <c r="BO139" s="306"/>
    </row>
    <row r="140" spans="1:67" s="298" customFormat="1" ht="30" hidden="1" x14ac:dyDescent="0.25">
      <c r="A140" s="307">
        <f t="shared" si="22"/>
        <v>139</v>
      </c>
      <c r="B140" s="378" t="s">
        <v>923</v>
      </c>
      <c r="C140" s="300" t="s">
        <v>79</v>
      </c>
      <c r="D140" s="300" t="s">
        <v>513</v>
      </c>
      <c r="E140" s="300" t="s">
        <v>514</v>
      </c>
      <c r="F140" s="300" t="s">
        <v>515</v>
      </c>
      <c r="G140" s="300" t="s">
        <v>29</v>
      </c>
      <c r="H140" s="300">
        <f t="shared" si="21"/>
        <v>0</v>
      </c>
      <c r="I140" s="249"/>
      <c r="J140" s="249"/>
      <c r="K140" s="249">
        <f>Master20[[#This Row],[Initial Budget]]-Master20[[#This Row],[Previously Committed Funds]]</f>
        <v>0</v>
      </c>
      <c r="L140" s="249"/>
      <c r="M140" s="249"/>
      <c r="N140" s="258">
        <f>Master20[[#This Row],[Design $ (Add/Deduct)]]+Master20[[#This Row],[Construction $ (Add/Ded)]]</f>
        <v>0</v>
      </c>
      <c r="O140" s="256">
        <v>50000</v>
      </c>
      <c r="P140" s="301">
        <v>2018</v>
      </c>
      <c r="Q140" s="300" t="s">
        <v>686</v>
      </c>
      <c r="R140" s="301">
        <f t="shared" si="20"/>
        <v>60</v>
      </c>
      <c r="S140" s="302">
        <v>10</v>
      </c>
      <c r="T140" s="299">
        <f t="shared" si="23"/>
        <v>21</v>
      </c>
      <c r="U140" s="302" t="s">
        <v>43</v>
      </c>
      <c r="V140" s="302">
        <f t="shared" si="24"/>
        <v>16</v>
      </c>
      <c r="W140" s="302" t="s">
        <v>34</v>
      </c>
      <c r="X140" s="302">
        <v>0</v>
      </c>
      <c r="Y140" s="302">
        <v>0</v>
      </c>
      <c r="Z140" s="302">
        <v>0</v>
      </c>
      <c r="AA140" s="302">
        <v>0</v>
      </c>
      <c r="AB140" s="302">
        <v>0</v>
      </c>
      <c r="AC140" s="302">
        <v>0</v>
      </c>
      <c r="AD140" s="302">
        <v>0</v>
      </c>
      <c r="AE140" s="302"/>
      <c r="AF140" s="303" t="s">
        <v>29</v>
      </c>
      <c r="AG140" s="305">
        <f>VLOOKUP(Master20[[#This Row],[Elevated Priority]],Epriority,2,)</f>
        <v>0</v>
      </c>
      <c r="AH140" s="321">
        <f>IF(Master20[[#This Row],[Status]]="Active",Master20[[#This Row],[Status_Score]],IF(D140="","",R140+H140+T140+V140+AG140+AE140+Master20[[#This Row],[Risk Mitigation]]+Master20[[#This Row],[Master Plan]]+Master20[[#This Row],[Community Request]]+Master20[[#This Row],[Community need]]+Master20[[#This Row],[Offset Aging Inf.]]+Master20[[#This Row],[Energy Savings]]+Master20[[#This Row],[Gen Revenue]]-5))</f>
        <v>92</v>
      </c>
      <c r="AI140" s="302"/>
      <c r="AJ140" s="302"/>
      <c r="AK140" s="302"/>
      <c r="AL140" s="302"/>
      <c r="AM140" s="302"/>
      <c r="AN140" s="300"/>
      <c r="AO140" s="306"/>
      <c r="AP140" s="306"/>
      <c r="AQ140" s="306"/>
      <c r="AR140" s="306"/>
      <c r="AS140" s="306"/>
      <c r="AT140" s="306"/>
      <c r="AU140" s="306"/>
      <c r="AV140" s="306"/>
      <c r="AW140" s="306"/>
      <c r="AX140" s="306"/>
      <c r="AY140" s="306"/>
      <c r="AZ140" s="306"/>
      <c r="BA140" s="306"/>
      <c r="BB140" s="306"/>
      <c r="BC140" s="306"/>
      <c r="BD140" s="306"/>
      <c r="BE140" s="306"/>
      <c r="BF140" s="306"/>
      <c r="BG140" s="306"/>
      <c r="BH140" s="306"/>
      <c r="BI140" s="306"/>
      <c r="BJ140" s="306"/>
      <c r="BK140" s="306"/>
      <c r="BL140" s="306"/>
      <c r="BM140" s="306"/>
      <c r="BN140" s="306"/>
      <c r="BO140" s="306"/>
    </row>
    <row r="141" spans="1:67" s="298" customFormat="1" ht="45" hidden="1" x14ac:dyDescent="0.25">
      <c r="A141" s="307">
        <f t="shared" si="22"/>
        <v>140</v>
      </c>
      <c r="B141" s="300" t="s">
        <v>65</v>
      </c>
      <c r="C141" s="300" t="s">
        <v>1045</v>
      </c>
      <c r="D141" s="300" t="s">
        <v>842</v>
      </c>
      <c r="E141" s="300" t="s">
        <v>388</v>
      </c>
      <c r="F141" s="300" t="s">
        <v>389</v>
      </c>
      <c r="G141" s="300" t="s">
        <v>29</v>
      </c>
      <c r="H141" s="300">
        <f t="shared" si="21"/>
        <v>0</v>
      </c>
      <c r="I141" s="249"/>
      <c r="J141" s="249"/>
      <c r="K141" s="249">
        <f>Master20[[#This Row],[Initial Budget]]-Master20[[#This Row],[Previously Committed Funds]]</f>
        <v>0</v>
      </c>
      <c r="L141" s="249"/>
      <c r="M141" s="249"/>
      <c r="N141" s="258">
        <f>Master20[[#This Row],[Design $ (Add/Deduct)]]+Master20[[#This Row],[Construction $ (Add/Ded)]]</f>
        <v>0</v>
      </c>
      <c r="O141" s="256">
        <v>375000</v>
      </c>
      <c r="P141" s="301">
        <v>2018</v>
      </c>
      <c r="Q141" s="300" t="s">
        <v>686</v>
      </c>
      <c r="R141" s="301">
        <f t="shared" ref="R141:R172" si="25">VLOOKUP(Q141,Importance,2,FALSE)</f>
        <v>60</v>
      </c>
      <c r="S141" s="302">
        <v>10</v>
      </c>
      <c r="T141" s="299">
        <f t="shared" si="23"/>
        <v>21</v>
      </c>
      <c r="U141" s="302" t="s">
        <v>43</v>
      </c>
      <c r="V141" s="302">
        <f t="shared" si="24"/>
        <v>16</v>
      </c>
      <c r="W141" s="302" t="s">
        <v>34</v>
      </c>
      <c r="X141" s="302">
        <v>0</v>
      </c>
      <c r="Y141" s="302">
        <v>0</v>
      </c>
      <c r="Z141" s="302">
        <v>0</v>
      </c>
      <c r="AA141" s="302">
        <v>0</v>
      </c>
      <c r="AB141" s="302">
        <v>0</v>
      </c>
      <c r="AC141" s="302">
        <v>0</v>
      </c>
      <c r="AD141" s="302">
        <v>0</v>
      </c>
      <c r="AE141" s="302"/>
      <c r="AF141" s="303" t="s">
        <v>29</v>
      </c>
      <c r="AG141" s="305">
        <f>VLOOKUP(Master20[[#This Row],[Elevated Priority]],Epriority,2,)</f>
        <v>0</v>
      </c>
      <c r="AH141" s="321">
        <f>IF(Master20[[#This Row],[Status]]="Active",Master20[[#This Row],[Status_Score]],IF(D141="","",R141+H141+T141+V141+AG141+AE141+Master20[[#This Row],[Risk Mitigation]]+Master20[[#This Row],[Master Plan]]+Master20[[#This Row],[Community Request]]+Master20[[#This Row],[Community need]]+Master20[[#This Row],[Offset Aging Inf.]]+Master20[[#This Row],[Energy Savings]]+Master20[[#This Row],[Gen Revenue]]-5))</f>
        <v>92</v>
      </c>
      <c r="AI141" s="302"/>
      <c r="AJ141" s="302"/>
      <c r="AK141" s="302"/>
      <c r="AL141" s="302"/>
      <c r="AM141" s="302"/>
      <c r="AN141" s="300"/>
      <c r="AO141" s="306"/>
      <c r="AP141" s="306"/>
      <c r="AQ141" s="306"/>
      <c r="AR141" s="306"/>
      <c r="AS141" s="306"/>
      <c r="AT141" s="306"/>
      <c r="AU141" s="306"/>
      <c r="AV141" s="306"/>
      <c r="AW141" s="306"/>
      <c r="AX141" s="306"/>
      <c r="AY141" s="306"/>
      <c r="AZ141" s="306"/>
      <c r="BA141" s="306"/>
      <c r="BB141" s="306"/>
      <c r="BC141" s="306"/>
      <c r="BD141" s="306"/>
      <c r="BE141" s="306"/>
      <c r="BF141" s="306"/>
      <c r="BG141" s="306"/>
      <c r="BH141" s="306"/>
      <c r="BI141" s="306"/>
      <c r="BJ141" s="306"/>
      <c r="BK141" s="306"/>
      <c r="BL141" s="306"/>
      <c r="BM141" s="306"/>
      <c r="BN141" s="306"/>
      <c r="BO141" s="306"/>
    </row>
    <row r="142" spans="1:67" s="298" customFormat="1" hidden="1" x14ac:dyDescent="0.25">
      <c r="A142" s="307">
        <f t="shared" si="22"/>
        <v>141</v>
      </c>
      <c r="B142" s="378" t="s">
        <v>67</v>
      </c>
      <c r="C142" s="300" t="s">
        <v>995</v>
      </c>
      <c r="D142" s="300" t="s">
        <v>573</v>
      </c>
      <c r="E142" s="300"/>
      <c r="F142" s="300" t="s">
        <v>574</v>
      </c>
      <c r="G142" s="300" t="s">
        <v>29</v>
      </c>
      <c r="H142" s="300">
        <f t="shared" si="21"/>
        <v>0</v>
      </c>
      <c r="I142" s="249"/>
      <c r="J142" s="249"/>
      <c r="K142" s="249">
        <f>Master20[[#This Row],[Initial Budget]]-Master20[[#This Row],[Previously Committed Funds]]</f>
        <v>0</v>
      </c>
      <c r="L142" s="249"/>
      <c r="M142" s="249"/>
      <c r="N142" s="258">
        <f>Master20[[#This Row],[Design $ (Add/Deduct)]]+Master20[[#This Row],[Construction $ (Add/Ded)]]</f>
        <v>0</v>
      </c>
      <c r="O142" s="256">
        <v>50000</v>
      </c>
      <c r="P142" s="301">
        <v>2018</v>
      </c>
      <c r="Q142" s="300" t="s">
        <v>46</v>
      </c>
      <c r="R142" s="301">
        <f t="shared" si="25"/>
        <v>50</v>
      </c>
      <c r="S142" s="302">
        <v>5</v>
      </c>
      <c r="T142" s="299">
        <f t="shared" si="23"/>
        <v>15</v>
      </c>
      <c r="U142" s="302" t="s">
        <v>45</v>
      </c>
      <c r="V142" s="302">
        <f t="shared" si="24"/>
        <v>32</v>
      </c>
      <c r="W142" s="302" t="s">
        <v>30</v>
      </c>
      <c r="X142" s="302">
        <v>0</v>
      </c>
      <c r="Y142" s="302">
        <v>0</v>
      </c>
      <c r="Z142" s="302">
        <v>0</v>
      </c>
      <c r="AA142" s="302">
        <v>0</v>
      </c>
      <c r="AB142" s="302">
        <v>0</v>
      </c>
      <c r="AC142" s="302">
        <v>0</v>
      </c>
      <c r="AD142" s="302">
        <v>0</v>
      </c>
      <c r="AE142" s="302"/>
      <c r="AF142" s="303" t="s">
        <v>29</v>
      </c>
      <c r="AG142" s="305">
        <f>VLOOKUP(Master20[[#This Row],[Elevated Priority]],Epriority,2,)</f>
        <v>0</v>
      </c>
      <c r="AH142" s="321">
        <f>IF(Master20[[#This Row],[Status]]="Active",Master20[[#This Row],[Status_Score]],IF(D142="","",R142+H142+T142+V142+AG142+AE142+Master20[[#This Row],[Risk Mitigation]]+Master20[[#This Row],[Master Plan]]+Master20[[#This Row],[Community Request]]+Master20[[#This Row],[Community need]]+Master20[[#This Row],[Offset Aging Inf.]]+Master20[[#This Row],[Energy Savings]]+Master20[[#This Row],[Gen Revenue]]-5))</f>
        <v>92</v>
      </c>
      <c r="AI142" s="302"/>
      <c r="AJ142" s="302"/>
      <c r="AK142" s="302"/>
      <c r="AL142" s="302"/>
      <c r="AM142" s="302"/>
      <c r="AN142" s="300"/>
      <c r="AO142" s="306"/>
      <c r="AP142" s="306"/>
      <c r="AQ142" s="306"/>
      <c r="AR142" s="306"/>
      <c r="AS142" s="306"/>
      <c r="AT142" s="306"/>
      <c r="AU142" s="306"/>
      <c r="AV142" s="306"/>
      <c r="AW142" s="306"/>
      <c r="AX142" s="306"/>
      <c r="AY142" s="306"/>
      <c r="AZ142" s="306"/>
      <c r="BA142" s="306"/>
      <c r="BB142" s="306"/>
      <c r="BC142" s="306"/>
      <c r="BD142" s="306"/>
      <c r="BE142" s="306"/>
      <c r="BF142" s="306"/>
      <c r="BG142" s="306"/>
      <c r="BH142" s="306"/>
      <c r="BI142" s="306"/>
      <c r="BJ142" s="306"/>
      <c r="BK142" s="306"/>
      <c r="BL142" s="306"/>
      <c r="BM142" s="306"/>
      <c r="BN142" s="306"/>
      <c r="BO142" s="306"/>
    </row>
    <row r="143" spans="1:67" s="298" customFormat="1" ht="150" hidden="1" x14ac:dyDescent="0.25">
      <c r="A143" s="307">
        <f t="shared" si="22"/>
        <v>142</v>
      </c>
      <c r="B143" s="300" t="s">
        <v>143</v>
      </c>
      <c r="C143" s="300" t="s">
        <v>299</v>
      </c>
      <c r="D143" s="300" t="s">
        <v>450</v>
      </c>
      <c r="E143" s="300" t="s">
        <v>451</v>
      </c>
      <c r="F143" s="300" t="s">
        <v>764</v>
      </c>
      <c r="G143" s="300" t="s">
        <v>29</v>
      </c>
      <c r="H143" s="300">
        <f t="shared" si="21"/>
        <v>0</v>
      </c>
      <c r="I143" s="249"/>
      <c r="J143" s="249"/>
      <c r="K143" s="249">
        <f>Master20[[#This Row],[Initial Budget]]-Master20[[#This Row],[Previously Committed Funds]]</f>
        <v>0</v>
      </c>
      <c r="L143" s="249"/>
      <c r="M143" s="249"/>
      <c r="N143" s="258">
        <f>Master20[[#This Row],[Design $ (Add/Deduct)]]+Master20[[#This Row],[Construction $ (Add/Ded)]]</f>
        <v>0</v>
      </c>
      <c r="O143" s="256">
        <v>50000</v>
      </c>
      <c r="P143" s="301">
        <v>2018</v>
      </c>
      <c r="Q143" s="300" t="s">
        <v>686</v>
      </c>
      <c r="R143" s="301">
        <f t="shared" si="25"/>
        <v>60</v>
      </c>
      <c r="S143" s="302">
        <v>3</v>
      </c>
      <c r="T143" s="299">
        <f t="shared" si="23"/>
        <v>9</v>
      </c>
      <c r="U143" s="302" t="s">
        <v>45</v>
      </c>
      <c r="V143" s="302">
        <f t="shared" si="24"/>
        <v>32</v>
      </c>
      <c r="W143" s="302" t="s">
        <v>34</v>
      </c>
      <c r="X143" s="302">
        <v>0</v>
      </c>
      <c r="Y143" s="302">
        <v>0</v>
      </c>
      <c r="Z143" s="302">
        <v>0</v>
      </c>
      <c r="AA143" s="302">
        <v>0</v>
      </c>
      <c r="AB143" s="302">
        <v>-2</v>
      </c>
      <c r="AC143" s="302">
        <v>0</v>
      </c>
      <c r="AD143" s="302">
        <v>0</v>
      </c>
      <c r="AE143" s="302"/>
      <c r="AF143" s="303" t="s">
        <v>29</v>
      </c>
      <c r="AG143" s="305">
        <f>VLOOKUP(Master20[[#This Row],[Elevated Priority]],Epriority,2,)</f>
        <v>0</v>
      </c>
      <c r="AH143" s="321">
        <f>IF(Master20[[#This Row],[Status]]="Active",Master20[[#This Row],[Status_Score]],IF(D143="","",R143+H143+T143+V143+AG143+AE143+Master20[[#This Row],[Risk Mitigation]]+Master20[[#This Row],[Master Plan]]+Master20[[#This Row],[Community Request]]+Master20[[#This Row],[Community need]]+Master20[[#This Row],[Offset Aging Inf.]]+Master20[[#This Row],[Energy Savings]]+Master20[[#This Row],[Gen Revenue]]-5))</f>
        <v>94</v>
      </c>
      <c r="AI143" s="302"/>
      <c r="AJ143" s="302"/>
      <c r="AK143" s="302"/>
      <c r="AL143" s="302"/>
      <c r="AM143" s="302"/>
      <c r="AN143" s="300"/>
      <c r="AO143" s="306"/>
      <c r="AP143" s="306"/>
      <c r="AQ143" s="306"/>
      <c r="AR143" s="306"/>
      <c r="AS143" s="306"/>
      <c r="AT143" s="306"/>
      <c r="AU143" s="306"/>
      <c r="AV143" s="306"/>
      <c r="AW143" s="306"/>
      <c r="AX143" s="306"/>
      <c r="AY143" s="306"/>
      <c r="AZ143" s="306"/>
      <c r="BA143" s="306"/>
      <c r="BB143" s="306"/>
      <c r="BC143" s="306"/>
      <c r="BD143" s="306"/>
      <c r="BE143" s="306"/>
      <c r="BF143" s="306"/>
      <c r="BG143" s="306"/>
      <c r="BH143" s="306"/>
      <c r="BI143" s="306"/>
      <c r="BJ143" s="306"/>
      <c r="BK143" s="306"/>
      <c r="BL143" s="306"/>
      <c r="BM143" s="306"/>
      <c r="BN143" s="306"/>
      <c r="BO143" s="306"/>
    </row>
    <row r="144" spans="1:67" s="298" customFormat="1" ht="45" hidden="1" x14ac:dyDescent="0.25">
      <c r="A144" s="307">
        <f t="shared" si="22"/>
        <v>143</v>
      </c>
      <c r="B144" s="378" t="s">
        <v>1200</v>
      </c>
      <c r="C144" s="300" t="s">
        <v>1045</v>
      </c>
      <c r="D144" s="300" t="s">
        <v>1096</v>
      </c>
      <c r="E144" s="300"/>
      <c r="F144" s="300" t="s">
        <v>1097</v>
      </c>
      <c r="G144" s="300" t="s">
        <v>29</v>
      </c>
      <c r="H144" s="300">
        <f t="shared" si="21"/>
        <v>0</v>
      </c>
      <c r="I144" s="249"/>
      <c r="J144" s="249"/>
      <c r="K144" s="249">
        <f>Master20[[#This Row],[Initial Budget]]-Master20[[#This Row],[Previously Committed Funds]]</f>
        <v>0</v>
      </c>
      <c r="L144" s="249"/>
      <c r="M144" s="249"/>
      <c r="N144" s="258">
        <f>Master20[[#This Row],[Design $ (Add/Deduct)]]+Master20[[#This Row],[Construction $ (Add/Ded)]]</f>
        <v>0</v>
      </c>
      <c r="O144" s="256">
        <v>65000</v>
      </c>
      <c r="P144" s="301">
        <v>2022</v>
      </c>
      <c r="Q144" s="300" t="s">
        <v>46</v>
      </c>
      <c r="R144" s="301">
        <f t="shared" si="25"/>
        <v>50</v>
      </c>
      <c r="S144" s="302">
        <v>6</v>
      </c>
      <c r="T144" s="299">
        <f t="shared" si="23"/>
        <v>18</v>
      </c>
      <c r="U144" s="302" t="s">
        <v>45</v>
      </c>
      <c r="V144" s="302">
        <f t="shared" si="24"/>
        <v>32</v>
      </c>
      <c r="W144" s="302" t="s">
        <v>34</v>
      </c>
      <c r="X144" s="302">
        <v>0</v>
      </c>
      <c r="Y144" s="302">
        <v>0</v>
      </c>
      <c r="Z144" s="302">
        <v>0</v>
      </c>
      <c r="AA144" s="302">
        <v>0</v>
      </c>
      <c r="AB144" s="302">
        <v>0</v>
      </c>
      <c r="AC144" s="302">
        <v>0</v>
      </c>
      <c r="AD144" s="302">
        <v>0</v>
      </c>
      <c r="AE144" s="302"/>
      <c r="AF144" s="303" t="s">
        <v>29</v>
      </c>
      <c r="AG144" s="305">
        <f>VLOOKUP(Master20[[#This Row],[Elevated Priority]],Epriority,2,)</f>
        <v>0</v>
      </c>
      <c r="AH144" s="321">
        <f>IF(Master20[[#This Row],[Status]]="Active",Master20[[#This Row],[Status_Score]],IF(D144="","",R144+H144+T144+V144+AG144+AE144+Master20[[#This Row],[Risk Mitigation]]+Master20[[#This Row],[Master Plan]]+Master20[[#This Row],[Community Request]]+Master20[[#This Row],[Community need]]+Master20[[#This Row],[Offset Aging Inf.]]+Master20[[#This Row],[Energy Savings]]+Master20[[#This Row],[Gen Revenue]]-5))</f>
        <v>95</v>
      </c>
      <c r="AI144" s="302"/>
      <c r="AJ144" s="302"/>
      <c r="AK144" s="302"/>
      <c r="AL144" s="302"/>
      <c r="AM144" s="302"/>
      <c r="AN144" s="300"/>
      <c r="AO144" s="306"/>
      <c r="AP144" s="306"/>
      <c r="AQ144" s="306"/>
      <c r="AR144" s="306"/>
      <c r="AS144" s="306"/>
      <c r="AT144" s="306"/>
      <c r="AU144" s="306"/>
      <c r="AV144" s="306"/>
      <c r="AW144" s="306"/>
      <c r="AX144" s="306"/>
      <c r="AY144" s="306"/>
      <c r="AZ144" s="306"/>
      <c r="BA144" s="306"/>
      <c r="BB144" s="306"/>
      <c r="BC144" s="306"/>
      <c r="BD144" s="306"/>
      <c r="BE144" s="306"/>
      <c r="BF144" s="306"/>
      <c r="BG144" s="306"/>
      <c r="BH144" s="306"/>
      <c r="BI144" s="306"/>
      <c r="BJ144" s="306"/>
      <c r="BK144" s="306"/>
      <c r="BL144" s="306"/>
      <c r="BM144" s="306"/>
      <c r="BN144" s="306"/>
      <c r="BO144" s="306"/>
    </row>
    <row r="145" spans="1:67" s="298" customFormat="1" hidden="1" x14ac:dyDescent="0.25">
      <c r="A145" s="307">
        <f t="shared" si="22"/>
        <v>144</v>
      </c>
      <c r="B145" s="300" t="s">
        <v>94</v>
      </c>
      <c r="C145" s="300" t="s">
        <v>1045</v>
      </c>
      <c r="D145" s="300" t="s">
        <v>586</v>
      </c>
      <c r="E145" s="300" t="s">
        <v>587</v>
      </c>
      <c r="F145" s="300"/>
      <c r="G145" s="300" t="s">
        <v>29</v>
      </c>
      <c r="H145" s="300">
        <f t="shared" si="21"/>
        <v>0</v>
      </c>
      <c r="I145" s="249"/>
      <c r="J145" s="249"/>
      <c r="K145" s="249">
        <f>Master20[[#This Row],[Initial Budget]]-Master20[[#This Row],[Previously Committed Funds]]</f>
        <v>0</v>
      </c>
      <c r="L145" s="249"/>
      <c r="M145" s="249"/>
      <c r="N145" s="258">
        <f>Master20[[#This Row],[Design $ (Add/Deduct)]]+Master20[[#This Row],[Construction $ (Add/Ded)]]</f>
        <v>0</v>
      </c>
      <c r="O145" s="256">
        <v>50000</v>
      </c>
      <c r="P145" s="301">
        <v>2019</v>
      </c>
      <c r="Q145" s="300" t="s">
        <v>686</v>
      </c>
      <c r="R145" s="301">
        <f t="shared" si="25"/>
        <v>60</v>
      </c>
      <c r="S145" s="302">
        <v>15</v>
      </c>
      <c r="T145" s="299">
        <f t="shared" si="23"/>
        <v>24</v>
      </c>
      <c r="U145" s="302" t="s">
        <v>43</v>
      </c>
      <c r="V145" s="302">
        <f t="shared" si="24"/>
        <v>16</v>
      </c>
      <c r="W145" s="302" t="s">
        <v>30</v>
      </c>
      <c r="X145" s="302">
        <v>0</v>
      </c>
      <c r="Y145" s="302">
        <v>0</v>
      </c>
      <c r="Z145" s="302">
        <v>0</v>
      </c>
      <c r="AA145" s="302">
        <v>0</v>
      </c>
      <c r="AB145" s="302">
        <v>0</v>
      </c>
      <c r="AC145" s="302">
        <v>0</v>
      </c>
      <c r="AD145" s="302">
        <v>0</v>
      </c>
      <c r="AE145" s="302"/>
      <c r="AF145" s="303" t="s">
        <v>29</v>
      </c>
      <c r="AG145" s="305">
        <f>VLOOKUP(Master20[[#This Row],[Elevated Priority]],Epriority,2,)</f>
        <v>0</v>
      </c>
      <c r="AH145" s="321">
        <f>IF(Master20[[#This Row],[Status]]="Active",Master20[[#This Row],[Status_Score]],IF(D145="","",R145+H145+T145+V145+AG145+AE145+Master20[[#This Row],[Risk Mitigation]]+Master20[[#This Row],[Master Plan]]+Master20[[#This Row],[Community Request]]+Master20[[#This Row],[Community need]]+Master20[[#This Row],[Offset Aging Inf.]]+Master20[[#This Row],[Energy Savings]]+Master20[[#This Row],[Gen Revenue]]-5))</f>
        <v>95</v>
      </c>
      <c r="AI145" s="302"/>
      <c r="AJ145" s="302"/>
      <c r="AK145" s="302"/>
      <c r="AL145" s="302"/>
      <c r="AM145" s="302"/>
      <c r="AN145" s="300"/>
      <c r="AO145" s="306"/>
      <c r="AP145" s="306"/>
      <c r="AQ145" s="306"/>
      <c r="AR145" s="306"/>
      <c r="AS145" s="306"/>
      <c r="AT145" s="306"/>
      <c r="AU145" s="306"/>
      <c r="AV145" s="306"/>
      <c r="AW145" s="306"/>
      <c r="AX145" s="306"/>
      <c r="AY145" s="306"/>
      <c r="AZ145" s="306"/>
      <c r="BA145" s="306"/>
      <c r="BB145" s="306"/>
      <c r="BC145" s="306"/>
      <c r="BD145" s="306"/>
      <c r="BE145" s="306"/>
      <c r="BF145" s="306"/>
      <c r="BG145" s="306"/>
      <c r="BH145" s="306"/>
      <c r="BI145" s="306"/>
      <c r="BJ145" s="306"/>
      <c r="BK145" s="306"/>
      <c r="BL145" s="306"/>
      <c r="BM145" s="306"/>
      <c r="BN145" s="306"/>
      <c r="BO145" s="306"/>
    </row>
    <row r="146" spans="1:67" s="298" customFormat="1" ht="45" hidden="1" x14ac:dyDescent="0.25">
      <c r="A146" s="307">
        <f t="shared" si="22"/>
        <v>145</v>
      </c>
      <c r="B146" s="378" t="s">
        <v>67</v>
      </c>
      <c r="C146" s="300" t="s">
        <v>1045</v>
      </c>
      <c r="D146" s="300" t="s">
        <v>615</v>
      </c>
      <c r="E146" s="300" t="s">
        <v>917</v>
      </c>
      <c r="F146" s="300" t="s">
        <v>617</v>
      </c>
      <c r="G146" s="300" t="s">
        <v>29</v>
      </c>
      <c r="H146" s="300">
        <f t="shared" si="21"/>
        <v>0</v>
      </c>
      <c r="I146" s="249"/>
      <c r="J146" s="249"/>
      <c r="K146" s="249">
        <f>Master20[[#This Row],[Initial Budget]]-Master20[[#This Row],[Previously Committed Funds]]</f>
        <v>0</v>
      </c>
      <c r="L146" s="249"/>
      <c r="M146" s="249"/>
      <c r="N146" s="258">
        <f>Master20[[#This Row],[Design $ (Add/Deduct)]]+Master20[[#This Row],[Construction $ (Add/Ded)]]</f>
        <v>0</v>
      </c>
      <c r="O146" s="256">
        <v>1500000</v>
      </c>
      <c r="P146" s="301">
        <v>2019</v>
      </c>
      <c r="Q146" s="300" t="s">
        <v>46</v>
      </c>
      <c r="R146" s="301">
        <f t="shared" si="25"/>
        <v>50</v>
      </c>
      <c r="S146" s="302">
        <v>9</v>
      </c>
      <c r="T146" s="299">
        <f t="shared" si="23"/>
        <v>21</v>
      </c>
      <c r="U146" s="302" t="s">
        <v>45</v>
      </c>
      <c r="V146" s="302">
        <f t="shared" si="24"/>
        <v>32</v>
      </c>
      <c r="W146" s="302" t="s">
        <v>34</v>
      </c>
      <c r="X146" s="302">
        <v>0</v>
      </c>
      <c r="Y146" s="302">
        <v>0</v>
      </c>
      <c r="Z146" s="302">
        <v>0</v>
      </c>
      <c r="AA146" s="302">
        <v>0</v>
      </c>
      <c r="AB146" s="302">
        <v>0</v>
      </c>
      <c r="AC146" s="302">
        <v>0</v>
      </c>
      <c r="AD146" s="302">
        <v>0</v>
      </c>
      <c r="AE146" s="302"/>
      <c r="AF146" s="303" t="s">
        <v>29</v>
      </c>
      <c r="AG146" s="305">
        <f>VLOOKUP(Master20[[#This Row],[Elevated Priority]],Epriority,2,)</f>
        <v>0</v>
      </c>
      <c r="AH146" s="321">
        <f>IF(Master20[[#This Row],[Status]]="Active",Master20[[#This Row],[Status_Score]],IF(D146="","",R146+H146+T146+V146+AG146+AE146+Master20[[#This Row],[Risk Mitigation]]+Master20[[#This Row],[Master Plan]]+Master20[[#This Row],[Community Request]]+Master20[[#This Row],[Community need]]+Master20[[#This Row],[Offset Aging Inf.]]+Master20[[#This Row],[Energy Savings]]+Master20[[#This Row],[Gen Revenue]]-5))</f>
        <v>98</v>
      </c>
      <c r="AI146" s="302"/>
      <c r="AJ146" s="302"/>
      <c r="AK146" s="302"/>
      <c r="AL146" s="302"/>
      <c r="AM146" s="302"/>
      <c r="AN146" s="300"/>
      <c r="AO146" s="306"/>
      <c r="AP146" s="306"/>
      <c r="AQ146" s="306"/>
      <c r="AR146" s="306"/>
      <c r="AS146" s="306"/>
      <c r="AT146" s="306"/>
      <c r="AU146" s="306"/>
      <c r="AV146" s="306"/>
      <c r="AW146" s="306"/>
      <c r="AX146" s="306"/>
      <c r="AY146" s="306"/>
      <c r="AZ146" s="306"/>
      <c r="BA146" s="306"/>
      <c r="BB146" s="306"/>
      <c r="BC146" s="306"/>
      <c r="BD146" s="306"/>
      <c r="BE146" s="306"/>
      <c r="BF146" s="306"/>
      <c r="BG146" s="306"/>
      <c r="BH146" s="306"/>
      <c r="BI146" s="306"/>
      <c r="BJ146" s="306"/>
      <c r="BK146" s="306"/>
      <c r="BL146" s="306"/>
      <c r="BM146" s="306"/>
      <c r="BN146" s="306"/>
      <c r="BO146" s="306"/>
    </row>
    <row r="147" spans="1:67" s="298" customFormat="1" hidden="1" x14ac:dyDescent="0.25">
      <c r="A147" s="307">
        <f t="shared" si="22"/>
        <v>146</v>
      </c>
      <c r="B147" s="300" t="s">
        <v>67</v>
      </c>
      <c r="C147" s="300" t="s">
        <v>995</v>
      </c>
      <c r="D147" s="300" t="s">
        <v>566</v>
      </c>
      <c r="E147" s="300"/>
      <c r="F147" s="300"/>
      <c r="G147" s="300" t="s">
        <v>29</v>
      </c>
      <c r="H147" s="300">
        <f t="shared" si="21"/>
        <v>0</v>
      </c>
      <c r="I147" s="249"/>
      <c r="J147" s="249"/>
      <c r="K147" s="249">
        <f>Master20[[#This Row],[Initial Budget]]-Master20[[#This Row],[Previously Committed Funds]]</f>
        <v>0</v>
      </c>
      <c r="L147" s="249"/>
      <c r="M147" s="249"/>
      <c r="N147" s="258">
        <f>Master20[[#This Row],[Design $ (Add/Deduct)]]+Master20[[#This Row],[Construction $ (Add/Ded)]]</f>
        <v>0</v>
      </c>
      <c r="O147" s="256">
        <v>400000</v>
      </c>
      <c r="P147" s="301">
        <v>2018</v>
      </c>
      <c r="Q147" s="300" t="s">
        <v>688</v>
      </c>
      <c r="R147" s="301">
        <f t="shared" si="25"/>
        <v>20</v>
      </c>
      <c r="S147" s="302">
        <v>10</v>
      </c>
      <c r="T147" s="299">
        <f t="shared" si="23"/>
        <v>21</v>
      </c>
      <c r="U147" s="302" t="s">
        <v>47</v>
      </c>
      <c r="V147" s="302">
        <f t="shared" si="24"/>
        <v>64</v>
      </c>
      <c r="W147" s="302" t="s">
        <v>30</v>
      </c>
      <c r="X147" s="302">
        <v>0</v>
      </c>
      <c r="Y147" s="302">
        <v>0</v>
      </c>
      <c r="Z147" s="302">
        <v>0</v>
      </c>
      <c r="AA147" s="302">
        <v>0</v>
      </c>
      <c r="AB147" s="302">
        <v>0</v>
      </c>
      <c r="AC147" s="302">
        <v>0</v>
      </c>
      <c r="AD147" s="302">
        <v>0</v>
      </c>
      <c r="AE147" s="302"/>
      <c r="AF147" s="303" t="s">
        <v>29</v>
      </c>
      <c r="AG147" s="305">
        <f>VLOOKUP(Master20[[#This Row],[Elevated Priority]],Epriority,2,)</f>
        <v>0</v>
      </c>
      <c r="AH147" s="321">
        <f>IF(Master20[[#This Row],[Status]]="Active",Master20[[#This Row],[Status_Score]],IF(D147="","",R147+H147+T147+V147+AG147+AE147+Master20[[#This Row],[Risk Mitigation]]+Master20[[#This Row],[Master Plan]]+Master20[[#This Row],[Community Request]]+Master20[[#This Row],[Community need]]+Master20[[#This Row],[Offset Aging Inf.]]+Master20[[#This Row],[Energy Savings]]+Master20[[#This Row],[Gen Revenue]]-5))</f>
        <v>100</v>
      </c>
      <c r="AI147" s="302"/>
      <c r="AJ147" s="302"/>
      <c r="AK147" s="302"/>
      <c r="AL147" s="302"/>
      <c r="AM147" s="302"/>
      <c r="AN147" s="300"/>
      <c r="AO147" s="306"/>
      <c r="AP147" s="306"/>
      <c r="AQ147" s="306"/>
      <c r="AR147" s="306"/>
      <c r="AS147" s="306"/>
      <c r="AT147" s="306"/>
      <c r="AU147" s="306"/>
      <c r="AV147" s="306"/>
      <c r="AW147" s="306"/>
      <c r="AX147" s="306"/>
      <c r="AY147" s="306"/>
      <c r="AZ147" s="306"/>
      <c r="BA147" s="306"/>
      <c r="BB147" s="306"/>
      <c r="BC147" s="306"/>
      <c r="BD147" s="306"/>
      <c r="BE147" s="306"/>
      <c r="BF147" s="306"/>
      <c r="BG147" s="306"/>
      <c r="BH147" s="306"/>
      <c r="BI147" s="306"/>
      <c r="BJ147" s="306"/>
      <c r="BK147" s="306"/>
      <c r="BL147" s="306"/>
      <c r="BM147" s="306"/>
      <c r="BN147" s="306"/>
      <c r="BO147" s="306"/>
    </row>
    <row r="148" spans="1:67" s="298" customFormat="1" ht="30" hidden="1" x14ac:dyDescent="0.25">
      <c r="A148" s="307">
        <f t="shared" si="22"/>
        <v>147</v>
      </c>
      <c r="B148" s="378" t="s">
        <v>1196</v>
      </c>
      <c r="C148" s="300" t="s">
        <v>1045</v>
      </c>
      <c r="D148" s="300" t="s">
        <v>926</v>
      </c>
      <c r="E148" s="300" t="s">
        <v>927</v>
      </c>
      <c r="F148" s="300" t="s">
        <v>928</v>
      </c>
      <c r="G148" s="300" t="s">
        <v>832</v>
      </c>
      <c r="H148" s="300">
        <f t="shared" si="21"/>
        <v>100</v>
      </c>
      <c r="I148" s="249"/>
      <c r="J148" s="249"/>
      <c r="K148" s="249">
        <f>Master20[[#This Row],[Initial Budget]]-Master20[[#This Row],[Previously Committed Funds]]</f>
        <v>0</v>
      </c>
      <c r="L148" s="249"/>
      <c r="M148" s="249"/>
      <c r="N148" s="258">
        <f>Master20[[#This Row],[Design $ (Add/Deduct)]]+Master20[[#This Row],[Construction $ (Add/Ded)]]</f>
        <v>0</v>
      </c>
      <c r="O148" s="256">
        <v>5000000</v>
      </c>
      <c r="P148" s="301">
        <v>2020</v>
      </c>
      <c r="Q148" s="300" t="s">
        <v>46</v>
      </c>
      <c r="R148" s="301">
        <f t="shared" si="25"/>
        <v>50</v>
      </c>
      <c r="S148" s="302">
        <v>1</v>
      </c>
      <c r="T148" s="299">
        <f t="shared" si="23"/>
        <v>3</v>
      </c>
      <c r="U148" s="302" t="s">
        <v>41</v>
      </c>
      <c r="V148" s="302">
        <f t="shared" si="24"/>
        <v>4</v>
      </c>
      <c r="W148" s="302" t="s">
        <v>34</v>
      </c>
      <c r="X148" s="302">
        <v>-9</v>
      </c>
      <c r="Y148" s="302">
        <v>0</v>
      </c>
      <c r="Z148" s="302">
        <v>-3</v>
      </c>
      <c r="AA148" s="302">
        <v>-3</v>
      </c>
      <c r="AB148" s="302">
        <v>-2</v>
      </c>
      <c r="AC148" s="302">
        <v>-9</v>
      </c>
      <c r="AD148" s="302">
        <v>0</v>
      </c>
      <c r="AE148" s="302"/>
      <c r="AF148" s="303" t="s">
        <v>35</v>
      </c>
      <c r="AG148" s="305">
        <f>VLOOKUP(Master20[[#This Row],[Elevated Priority]],Epriority,2,)</f>
        <v>-25</v>
      </c>
      <c r="AH148" s="321">
        <f>IF(Master20[[#This Row],[Status]]="Active",Master20[[#This Row],[Status_Score]],IF(D148="","",R148+H148+T148+V148+AG148+AE148+Master20[[#This Row],[Risk Mitigation]]+Master20[[#This Row],[Master Plan]]+Master20[[#This Row],[Community Request]]+Master20[[#This Row],[Community need]]+Master20[[#This Row],[Offset Aging Inf.]]+Master20[[#This Row],[Energy Savings]]+Master20[[#This Row],[Gen Revenue]]-5))</f>
        <v>101</v>
      </c>
      <c r="AI148" s="302" t="s">
        <v>717</v>
      </c>
      <c r="AJ148" s="302">
        <v>2021</v>
      </c>
      <c r="AK148" s="302">
        <v>2023</v>
      </c>
      <c r="AL148" s="302">
        <v>2021</v>
      </c>
      <c r="AM148" s="302">
        <v>2023</v>
      </c>
      <c r="AN148" s="300" t="s">
        <v>983</v>
      </c>
      <c r="AO148" s="306"/>
      <c r="AP148" s="306"/>
      <c r="AQ148" s="306"/>
      <c r="AR148" s="306"/>
      <c r="AS148" s="306"/>
      <c r="AT148" s="306"/>
      <c r="AU148" s="306"/>
      <c r="AV148" s="306"/>
      <c r="AW148" s="306"/>
      <c r="AX148" s="306"/>
      <c r="AY148" s="306"/>
      <c r="AZ148" s="306"/>
      <c r="BA148" s="306"/>
      <c r="BB148" s="306"/>
      <c r="BC148" s="306"/>
      <c r="BD148" s="306"/>
      <c r="BE148" s="306"/>
      <c r="BF148" s="306"/>
      <c r="BG148" s="306"/>
      <c r="BH148" s="306"/>
      <c r="BI148" s="306"/>
      <c r="BJ148" s="306"/>
      <c r="BK148" s="306"/>
      <c r="BL148" s="306"/>
      <c r="BM148" s="306"/>
      <c r="BN148" s="306"/>
      <c r="BO148" s="306"/>
    </row>
    <row r="149" spans="1:67" s="298" customFormat="1" ht="60" hidden="1" x14ac:dyDescent="0.25">
      <c r="A149" s="307">
        <f t="shared" si="22"/>
        <v>148</v>
      </c>
      <c r="B149" s="300" t="s">
        <v>70</v>
      </c>
      <c r="C149" s="300" t="s">
        <v>1045</v>
      </c>
      <c r="D149" s="300" t="s">
        <v>486</v>
      </c>
      <c r="E149" s="300" t="s">
        <v>487</v>
      </c>
      <c r="F149" s="300" t="s">
        <v>488</v>
      </c>
      <c r="G149" s="300" t="s">
        <v>29</v>
      </c>
      <c r="H149" s="300">
        <f t="shared" si="21"/>
        <v>0</v>
      </c>
      <c r="I149" s="249"/>
      <c r="J149" s="249"/>
      <c r="K149" s="249">
        <f>Master20[[#This Row],[Initial Budget]]-Master20[[#This Row],[Previously Committed Funds]]</f>
        <v>0</v>
      </c>
      <c r="L149" s="249"/>
      <c r="M149" s="249"/>
      <c r="N149" s="258">
        <f>Master20[[#This Row],[Design $ (Add/Deduct)]]+Master20[[#This Row],[Construction $ (Add/Ded)]]</f>
        <v>0</v>
      </c>
      <c r="O149" s="256">
        <v>1000000</v>
      </c>
      <c r="P149" s="301">
        <v>2018</v>
      </c>
      <c r="Q149" s="300" t="s">
        <v>686</v>
      </c>
      <c r="R149" s="301">
        <f t="shared" si="25"/>
        <v>60</v>
      </c>
      <c r="S149" s="302">
        <v>6</v>
      </c>
      <c r="T149" s="299">
        <f t="shared" si="23"/>
        <v>18</v>
      </c>
      <c r="U149" s="302" t="s">
        <v>45</v>
      </c>
      <c r="V149" s="302">
        <f t="shared" si="24"/>
        <v>32</v>
      </c>
      <c r="W149" s="302" t="s">
        <v>34</v>
      </c>
      <c r="X149" s="302">
        <v>0</v>
      </c>
      <c r="Y149" s="302">
        <v>0</v>
      </c>
      <c r="Z149" s="302">
        <v>0</v>
      </c>
      <c r="AA149" s="302">
        <v>0</v>
      </c>
      <c r="AB149" s="302">
        <v>0</v>
      </c>
      <c r="AC149" s="302">
        <v>0</v>
      </c>
      <c r="AD149" s="302">
        <v>-2</v>
      </c>
      <c r="AE149" s="302"/>
      <c r="AF149" s="303" t="s">
        <v>29</v>
      </c>
      <c r="AG149" s="305">
        <f>VLOOKUP(Master20[[#This Row],[Elevated Priority]],Epriority,2,)</f>
        <v>0</v>
      </c>
      <c r="AH149" s="321">
        <f>IF(Master20[[#This Row],[Status]]="Active",Master20[[#This Row],[Status_Score]],IF(D149="","",R149+H149+T149+V149+AG149+AE149+Master20[[#This Row],[Risk Mitigation]]+Master20[[#This Row],[Master Plan]]+Master20[[#This Row],[Community Request]]+Master20[[#This Row],[Community need]]+Master20[[#This Row],[Offset Aging Inf.]]+Master20[[#This Row],[Energy Savings]]+Master20[[#This Row],[Gen Revenue]]-5))</f>
        <v>103</v>
      </c>
      <c r="AI149" s="302"/>
      <c r="AJ149" s="302"/>
      <c r="AK149" s="302"/>
      <c r="AL149" s="302"/>
      <c r="AM149" s="302"/>
      <c r="AN149" s="300"/>
      <c r="AO149" s="306"/>
      <c r="AP149" s="306"/>
      <c r="AQ149" s="306"/>
      <c r="AR149" s="306"/>
      <c r="AS149" s="306"/>
      <c r="AT149" s="306"/>
      <c r="AU149" s="306"/>
      <c r="AV149" s="306"/>
      <c r="AW149" s="306"/>
      <c r="AX149" s="306"/>
      <c r="AY149" s="306"/>
      <c r="AZ149" s="306"/>
      <c r="BA149" s="306"/>
      <c r="BB149" s="306"/>
      <c r="BC149" s="306"/>
      <c r="BD149" s="306"/>
      <c r="BE149" s="306"/>
      <c r="BF149" s="306"/>
      <c r="BG149" s="306"/>
      <c r="BH149" s="306"/>
      <c r="BI149" s="306"/>
      <c r="BJ149" s="306"/>
      <c r="BK149" s="306"/>
      <c r="BL149" s="306"/>
      <c r="BM149" s="306"/>
      <c r="BN149" s="306"/>
      <c r="BO149" s="306"/>
    </row>
    <row r="150" spans="1:67" s="298" customFormat="1" ht="30" hidden="1" x14ac:dyDescent="0.25">
      <c r="A150" s="307">
        <f t="shared" si="22"/>
        <v>149</v>
      </c>
      <c r="B150" s="378" t="s">
        <v>79</v>
      </c>
      <c r="C150" s="300" t="s">
        <v>1045</v>
      </c>
      <c r="D150" s="300" t="s">
        <v>113</v>
      </c>
      <c r="E150" s="300" t="s">
        <v>114</v>
      </c>
      <c r="F150" s="300" t="s">
        <v>115</v>
      </c>
      <c r="G150" s="300" t="s">
        <v>832</v>
      </c>
      <c r="H150" s="300">
        <f t="shared" si="21"/>
        <v>100</v>
      </c>
      <c r="I150" s="249"/>
      <c r="J150" s="249"/>
      <c r="K150" s="249">
        <f>Master20[[#This Row],[Initial Budget]]-Master20[[#This Row],[Previously Committed Funds]]</f>
        <v>0</v>
      </c>
      <c r="L150" s="249"/>
      <c r="M150" s="249"/>
      <c r="N150" s="258">
        <f>Master20[[#This Row],[Design $ (Add/Deduct)]]+Master20[[#This Row],[Construction $ (Add/Ded)]]</f>
        <v>0</v>
      </c>
      <c r="O150" s="256">
        <v>25000</v>
      </c>
      <c r="P150" s="301">
        <v>2018</v>
      </c>
      <c r="Q150" s="300" t="s">
        <v>32</v>
      </c>
      <c r="R150" s="301">
        <f t="shared" si="25"/>
        <v>1</v>
      </c>
      <c r="S150" s="302">
        <v>2</v>
      </c>
      <c r="T150" s="299">
        <f t="shared" si="23"/>
        <v>6</v>
      </c>
      <c r="U150" s="302" t="s">
        <v>41</v>
      </c>
      <c r="V150" s="302">
        <f t="shared" si="24"/>
        <v>4</v>
      </c>
      <c r="W150" s="302" t="s">
        <v>30</v>
      </c>
      <c r="X150" s="302">
        <v>0</v>
      </c>
      <c r="Y150" s="302">
        <v>0</v>
      </c>
      <c r="Z150" s="302">
        <v>0</v>
      </c>
      <c r="AA150" s="302">
        <v>0</v>
      </c>
      <c r="AB150" s="302">
        <v>0</v>
      </c>
      <c r="AC150" s="302">
        <v>0</v>
      </c>
      <c r="AD150" s="302">
        <v>0</v>
      </c>
      <c r="AE150" s="302"/>
      <c r="AF150" s="303" t="s">
        <v>29</v>
      </c>
      <c r="AG150" s="305">
        <f>VLOOKUP(Master20[[#This Row],[Elevated Priority]],Epriority,2,)</f>
        <v>0</v>
      </c>
      <c r="AH150" s="321">
        <f>IF(Master20[[#This Row],[Status]]="Active",Master20[[#This Row],[Status_Score]],IF(D150="","",R150+H150+T150+V150+AG150+AE150+Master20[[#This Row],[Risk Mitigation]]+Master20[[#This Row],[Master Plan]]+Master20[[#This Row],[Community Request]]+Master20[[#This Row],[Community need]]+Master20[[#This Row],[Offset Aging Inf.]]+Master20[[#This Row],[Energy Savings]]+Master20[[#This Row],[Gen Revenue]]-5))</f>
        <v>106</v>
      </c>
      <c r="AI150" s="302" t="s">
        <v>1042</v>
      </c>
      <c r="AJ150" s="302"/>
      <c r="AK150" s="302">
        <v>2021</v>
      </c>
      <c r="AL150" s="302"/>
      <c r="AM150" s="302">
        <v>2021</v>
      </c>
      <c r="AN150" s="300" t="s">
        <v>723</v>
      </c>
      <c r="AO150" s="306"/>
      <c r="AP150" s="306"/>
      <c r="AQ150" s="306"/>
      <c r="AR150" s="306"/>
      <c r="AS150" s="306"/>
      <c r="AT150" s="306"/>
      <c r="AU150" s="306"/>
      <c r="AV150" s="306"/>
      <c r="AW150" s="306"/>
      <c r="AX150" s="306"/>
      <c r="AY150" s="306"/>
      <c r="AZ150" s="306"/>
      <c r="BA150" s="306"/>
      <c r="BB150" s="306"/>
      <c r="BC150" s="306"/>
      <c r="BD150" s="306"/>
      <c r="BE150" s="306"/>
      <c r="BF150" s="306"/>
      <c r="BG150" s="306"/>
      <c r="BH150" s="306"/>
      <c r="BI150" s="306"/>
      <c r="BJ150" s="306"/>
      <c r="BK150" s="306"/>
      <c r="BL150" s="306"/>
      <c r="BM150" s="306"/>
      <c r="BN150" s="306"/>
      <c r="BO150" s="306"/>
    </row>
    <row r="151" spans="1:67" s="298" customFormat="1" ht="75" hidden="1" x14ac:dyDescent="0.25">
      <c r="A151" s="307">
        <f t="shared" si="22"/>
        <v>150</v>
      </c>
      <c r="B151" s="300" t="s">
        <v>1200</v>
      </c>
      <c r="C151" s="300" t="s">
        <v>1045</v>
      </c>
      <c r="D151" s="300" t="s">
        <v>519</v>
      </c>
      <c r="E151" s="300" t="s">
        <v>520</v>
      </c>
      <c r="F151" s="300" t="s">
        <v>521</v>
      </c>
      <c r="G151" s="300" t="s">
        <v>29</v>
      </c>
      <c r="H151" s="300">
        <f t="shared" si="21"/>
        <v>0</v>
      </c>
      <c r="I151" s="249"/>
      <c r="J151" s="249"/>
      <c r="K151" s="249">
        <f>Master20[[#This Row],[Initial Budget]]-Master20[[#This Row],[Previously Committed Funds]]</f>
        <v>0</v>
      </c>
      <c r="L151" s="249"/>
      <c r="M151" s="249"/>
      <c r="N151" s="258">
        <f>Master20[[#This Row],[Design $ (Add/Deduct)]]+Master20[[#This Row],[Construction $ (Add/Ded)]]</f>
        <v>0</v>
      </c>
      <c r="O151" s="256">
        <v>22000000</v>
      </c>
      <c r="P151" s="301">
        <v>2018</v>
      </c>
      <c r="Q151" s="300" t="s">
        <v>46</v>
      </c>
      <c r="R151" s="301">
        <f t="shared" si="25"/>
        <v>50</v>
      </c>
      <c r="S151" s="302">
        <v>3</v>
      </c>
      <c r="T151" s="299">
        <f t="shared" si="23"/>
        <v>9</v>
      </c>
      <c r="U151" s="302" t="s">
        <v>47</v>
      </c>
      <c r="V151" s="302">
        <f t="shared" si="24"/>
        <v>64</v>
      </c>
      <c r="W151" s="302" t="s">
        <v>34</v>
      </c>
      <c r="X151" s="302">
        <v>-7</v>
      </c>
      <c r="Y151" s="302">
        <v>0</v>
      </c>
      <c r="Z151" s="302">
        <v>0</v>
      </c>
      <c r="AA151" s="302">
        <v>0</v>
      </c>
      <c r="AB151" s="302">
        <v>0</v>
      </c>
      <c r="AC151" s="302">
        <v>-3</v>
      </c>
      <c r="AD151" s="302">
        <v>0</v>
      </c>
      <c r="AE151" s="302"/>
      <c r="AF151" s="303" t="s">
        <v>29</v>
      </c>
      <c r="AG151" s="305">
        <f>VLOOKUP(Master20[[#This Row],[Elevated Priority]],Epriority,2,)</f>
        <v>0</v>
      </c>
      <c r="AH151" s="321">
        <f>IF(Master20[[#This Row],[Status]]="Active",Master20[[#This Row],[Status_Score]],IF(D151="","",R151+H151+T151+V151+AG151+AE151+Master20[[#This Row],[Risk Mitigation]]+Master20[[#This Row],[Master Plan]]+Master20[[#This Row],[Community Request]]+Master20[[#This Row],[Community need]]+Master20[[#This Row],[Offset Aging Inf.]]+Master20[[#This Row],[Energy Savings]]+Master20[[#This Row],[Gen Revenue]]-5))</f>
        <v>108</v>
      </c>
      <c r="AI151" s="302"/>
      <c r="AJ151" s="302"/>
      <c r="AK151" s="302"/>
      <c r="AL151" s="302"/>
      <c r="AM151" s="302"/>
      <c r="AN151" s="300"/>
      <c r="AO151" s="306"/>
      <c r="AP151" s="306"/>
      <c r="AQ151" s="306"/>
      <c r="AR151" s="306"/>
      <c r="AS151" s="306"/>
      <c r="AT151" s="306"/>
      <c r="AU151" s="306"/>
      <c r="AV151" s="306"/>
      <c r="AW151" s="306"/>
      <c r="AX151" s="306"/>
      <c r="AY151" s="306"/>
      <c r="AZ151" s="306"/>
      <c r="BA151" s="306"/>
      <c r="BB151" s="306"/>
      <c r="BC151" s="306"/>
      <c r="BD151" s="306"/>
      <c r="BE151" s="306"/>
      <c r="BF151" s="306"/>
      <c r="BG151" s="306"/>
      <c r="BH151" s="306"/>
      <c r="BI151" s="306"/>
      <c r="BJ151" s="306"/>
      <c r="BK151" s="306"/>
      <c r="BL151" s="306"/>
      <c r="BM151" s="306"/>
      <c r="BN151" s="306"/>
      <c r="BO151" s="306"/>
    </row>
    <row r="152" spans="1:67" s="298" customFormat="1" ht="45" hidden="1" x14ac:dyDescent="0.25">
      <c r="A152" s="307">
        <f t="shared" si="22"/>
        <v>151</v>
      </c>
      <c r="B152" s="378" t="s">
        <v>70</v>
      </c>
      <c r="C152" s="300" t="s">
        <v>1045</v>
      </c>
      <c r="D152" s="300" t="s">
        <v>821</v>
      </c>
      <c r="E152" s="300" t="s">
        <v>822</v>
      </c>
      <c r="F152" s="300" t="s">
        <v>823</v>
      </c>
      <c r="G152" s="300" t="s">
        <v>832</v>
      </c>
      <c r="H152" s="300">
        <f t="shared" si="21"/>
        <v>100</v>
      </c>
      <c r="I152" s="249"/>
      <c r="J152" s="249"/>
      <c r="K152" s="249">
        <f>Master20[[#This Row],[Initial Budget]]-Master20[[#This Row],[Previously Committed Funds]]</f>
        <v>0</v>
      </c>
      <c r="L152" s="249"/>
      <c r="M152" s="249"/>
      <c r="N152" s="258">
        <f>Master20[[#This Row],[Design $ (Add/Deduct)]]+Master20[[#This Row],[Construction $ (Add/Ded)]]</f>
        <v>0</v>
      </c>
      <c r="O152" s="256">
        <v>200000</v>
      </c>
      <c r="P152" s="301">
        <v>2018</v>
      </c>
      <c r="Q152" s="300" t="s">
        <v>36</v>
      </c>
      <c r="R152" s="301">
        <f t="shared" si="25"/>
        <v>10</v>
      </c>
      <c r="S152" s="302">
        <v>3</v>
      </c>
      <c r="T152" s="299">
        <f t="shared" si="23"/>
        <v>9</v>
      </c>
      <c r="U152" s="302" t="s">
        <v>41</v>
      </c>
      <c r="V152" s="302">
        <f t="shared" si="24"/>
        <v>4</v>
      </c>
      <c r="W152" s="302" t="s">
        <v>34</v>
      </c>
      <c r="X152" s="302">
        <v>0</v>
      </c>
      <c r="Y152" s="302">
        <v>0</v>
      </c>
      <c r="Z152" s="302">
        <v>-3</v>
      </c>
      <c r="AA152" s="302">
        <v>0</v>
      </c>
      <c r="AB152" s="302">
        <v>-2</v>
      </c>
      <c r="AC152" s="302">
        <v>0</v>
      </c>
      <c r="AD152" s="302">
        <v>-3</v>
      </c>
      <c r="AE152" s="302"/>
      <c r="AF152" s="303" t="s">
        <v>29</v>
      </c>
      <c r="AG152" s="305">
        <f>VLOOKUP(Master20[[#This Row],[Elevated Priority]],Epriority,2,)</f>
        <v>0</v>
      </c>
      <c r="AH152" s="321">
        <f>IF(Master20[[#This Row],[Status]]="Active",Master20[[#This Row],[Status_Score]],IF(D152="","",R152+H152+T152+V152+AG152+AE152+Master20[[#This Row],[Risk Mitigation]]+Master20[[#This Row],[Master Plan]]+Master20[[#This Row],[Community Request]]+Master20[[#This Row],[Community need]]+Master20[[#This Row],[Offset Aging Inf.]]+Master20[[#This Row],[Energy Savings]]+Master20[[#This Row],[Gen Revenue]]-5))</f>
        <v>110</v>
      </c>
      <c r="AI152" s="302" t="s">
        <v>716</v>
      </c>
      <c r="AJ152" s="302">
        <v>2021</v>
      </c>
      <c r="AK152" s="302">
        <v>2022</v>
      </c>
      <c r="AL152" s="302">
        <v>2021</v>
      </c>
      <c r="AM152" s="302">
        <v>2022</v>
      </c>
      <c r="AN152" s="300"/>
      <c r="AO152" s="306"/>
      <c r="AP152" s="306"/>
      <c r="AQ152" s="306"/>
      <c r="AR152" s="306"/>
      <c r="AS152" s="306"/>
      <c r="AT152" s="306"/>
      <c r="AU152" s="306"/>
      <c r="AV152" s="306"/>
      <c r="AW152" s="306"/>
      <c r="AX152" s="306"/>
      <c r="AY152" s="306"/>
      <c r="AZ152" s="306"/>
      <c r="BA152" s="306"/>
      <c r="BB152" s="306"/>
      <c r="BC152" s="306"/>
      <c r="BD152" s="306"/>
      <c r="BE152" s="306"/>
      <c r="BF152" s="306"/>
      <c r="BG152" s="306"/>
      <c r="BH152" s="306"/>
      <c r="BI152" s="306"/>
      <c r="BJ152" s="306"/>
      <c r="BK152" s="306"/>
      <c r="BL152" s="306"/>
      <c r="BM152" s="306"/>
      <c r="BN152" s="306"/>
      <c r="BO152" s="306"/>
    </row>
    <row r="153" spans="1:67" s="298" customFormat="1" ht="105" hidden="1" x14ac:dyDescent="0.25">
      <c r="A153" s="307">
        <f t="shared" si="22"/>
        <v>152</v>
      </c>
      <c r="B153" s="300" t="s">
        <v>1211</v>
      </c>
      <c r="C153" s="300" t="s">
        <v>1201</v>
      </c>
      <c r="D153" s="300" t="s">
        <v>141</v>
      </c>
      <c r="E153" s="300" t="s">
        <v>142</v>
      </c>
      <c r="F153" s="300"/>
      <c r="G153" s="300" t="s">
        <v>832</v>
      </c>
      <c r="H153" s="300">
        <f t="shared" si="21"/>
        <v>100</v>
      </c>
      <c r="I153" s="249"/>
      <c r="J153" s="249"/>
      <c r="K153" s="249">
        <f>Master20[[#This Row],[Initial Budget]]-Master20[[#This Row],[Previously Committed Funds]]</f>
        <v>0</v>
      </c>
      <c r="L153" s="249"/>
      <c r="M153" s="249"/>
      <c r="N153" s="258">
        <f>Master20[[#This Row],[Design $ (Add/Deduct)]]+Master20[[#This Row],[Construction $ (Add/Ded)]]</f>
        <v>0</v>
      </c>
      <c r="O153" s="256">
        <v>100000</v>
      </c>
      <c r="P153" s="301">
        <v>2018</v>
      </c>
      <c r="Q153" s="300" t="s">
        <v>36</v>
      </c>
      <c r="R153" s="301">
        <f t="shared" si="25"/>
        <v>10</v>
      </c>
      <c r="S153" s="302">
        <v>1</v>
      </c>
      <c r="T153" s="299">
        <f t="shared" si="23"/>
        <v>3</v>
      </c>
      <c r="U153" s="302" t="s">
        <v>37</v>
      </c>
      <c r="V153" s="302">
        <f t="shared" si="24"/>
        <v>3</v>
      </c>
      <c r="W153" s="302" t="s">
        <v>30</v>
      </c>
      <c r="X153" s="302">
        <v>0</v>
      </c>
      <c r="Y153" s="302">
        <v>0</v>
      </c>
      <c r="Z153" s="302">
        <v>0</v>
      </c>
      <c r="AA153" s="302">
        <v>0</v>
      </c>
      <c r="AB153" s="302">
        <v>0</v>
      </c>
      <c r="AC153" s="302">
        <v>0</v>
      </c>
      <c r="AD153" s="302">
        <v>0</v>
      </c>
      <c r="AE153" s="302"/>
      <c r="AF153" s="303" t="s">
        <v>29</v>
      </c>
      <c r="AG153" s="305">
        <f>VLOOKUP(Master20[[#This Row],[Elevated Priority]],Epriority,2,)</f>
        <v>0</v>
      </c>
      <c r="AH153" s="321">
        <f>IF(Master20[[#This Row],[Status]]="Active",Master20[[#This Row],[Status_Score]],IF(D153="","",R153+H153+T153+V153+AG153+AE153+Master20[[#This Row],[Risk Mitigation]]+Master20[[#This Row],[Master Plan]]+Master20[[#This Row],[Community Request]]+Master20[[#This Row],[Community need]]+Master20[[#This Row],[Offset Aging Inf.]]+Master20[[#This Row],[Energy Savings]]+Master20[[#This Row],[Gen Revenue]]-5))</f>
        <v>111</v>
      </c>
      <c r="AI153" s="302"/>
      <c r="AJ153" s="302">
        <v>2021</v>
      </c>
      <c r="AK153" s="302">
        <v>2021</v>
      </c>
      <c r="AL153" s="302">
        <v>2021</v>
      </c>
      <c r="AM153" s="302">
        <v>2021</v>
      </c>
      <c r="AN153" s="300"/>
      <c r="AO153" s="306"/>
      <c r="AP153" s="306"/>
      <c r="AQ153" s="306"/>
      <c r="AR153" s="306"/>
      <c r="AS153" s="306"/>
      <c r="AT153" s="306"/>
      <c r="AU153" s="306"/>
      <c r="AV153" s="306"/>
      <c r="AW153" s="306"/>
      <c r="AX153" s="306"/>
      <c r="AY153" s="306"/>
      <c r="AZ153" s="306"/>
      <c r="BA153" s="306"/>
      <c r="BB153" s="306"/>
      <c r="BC153" s="306"/>
      <c r="BD153" s="306"/>
      <c r="BE153" s="306"/>
      <c r="BF153" s="306"/>
      <c r="BG153" s="306"/>
      <c r="BH153" s="306"/>
      <c r="BI153" s="306"/>
      <c r="BJ153" s="306"/>
      <c r="BK153" s="306"/>
      <c r="BL153" s="306"/>
      <c r="BM153" s="306"/>
      <c r="BN153" s="306"/>
      <c r="BO153" s="306"/>
    </row>
    <row r="154" spans="1:67" s="298" customFormat="1" ht="165" hidden="1" x14ac:dyDescent="0.25">
      <c r="A154" s="307">
        <f t="shared" si="22"/>
        <v>153</v>
      </c>
      <c r="B154" s="378" t="s">
        <v>1200</v>
      </c>
      <c r="C154" s="300" t="s">
        <v>1045</v>
      </c>
      <c r="D154" s="300" t="s">
        <v>1100</v>
      </c>
      <c r="E154" s="300" t="s">
        <v>1101</v>
      </c>
      <c r="F154" s="300"/>
      <c r="G154" s="300" t="s">
        <v>29</v>
      </c>
      <c r="H154" s="300">
        <f t="shared" si="21"/>
        <v>0</v>
      </c>
      <c r="I154" s="249"/>
      <c r="J154" s="249"/>
      <c r="K154" s="249">
        <f>Master20[[#This Row],[Initial Budget]]-Master20[[#This Row],[Previously Committed Funds]]</f>
        <v>0</v>
      </c>
      <c r="L154" s="249"/>
      <c r="M154" s="249"/>
      <c r="N154" s="258">
        <f>Master20[[#This Row],[Design $ (Add/Deduct)]]+Master20[[#This Row],[Construction $ (Add/Ded)]]</f>
        <v>0</v>
      </c>
      <c r="O154" s="256">
        <v>966000</v>
      </c>
      <c r="P154" s="301">
        <v>2022</v>
      </c>
      <c r="Q154" s="300" t="s">
        <v>46</v>
      </c>
      <c r="R154" s="301">
        <f t="shared" si="25"/>
        <v>50</v>
      </c>
      <c r="S154" s="302">
        <v>2</v>
      </c>
      <c r="T154" s="299">
        <f t="shared" si="23"/>
        <v>6</v>
      </c>
      <c r="U154" s="302" t="s">
        <v>47</v>
      </c>
      <c r="V154" s="302">
        <f t="shared" si="24"/>
        <v>64</v>
      </c>
      <c r="W154" s="302" t="s">
        <v>34</v>
      </c>
      <c r="X154" s="302">
        <v>0</v>
      </c>
      <c r="Y154" s="302">
        <v>0</v>
      </c>
      <c r="Z154" s="302">
        <v>0</v>
      </c>
      <c r="AA154" s="302">
        <v>0</v>
      </c>
      <c r="AB154" s="302">
        <v>0</v>
      </c>
      <c r="AC154" s="302">
        <v>0</v>
      </c>
      <c r="AD154" s="302">
        <v>-1</v>
      </c>
      <c r="AE154" s="302"/>
      <c r="AF154" s="303" t="s">
        <v>29</v>
      </c>
      <c r="AG154" s="305">
        <f>VLOOKUP(Master20[[#This Row],[Elevated Priority]],Epriority,2,)</f>
        <v>0</v>
      </c>
      <c r="AH154" s="321">
        <f>IF(Master20[[#This Row],[Status]]="Active",Master20[[#This Row],[Status_Score]],IF(D154="","",R154+H154+T154+V154+AG154+AE154+Master20[[#This Row],[Risk Mitigation]]+Master20[[#This Row],[Master Plan]]+Master20[[#This Row],[Community Request]]+Master20[[#This Row],[Community need]]+Master20[[#This Row],[Offset Aging Inf.]]+Master20[[#This Row],[Energy Savings]]+Master20[[#This Row],[Gen Revenue]]-5))</f>
        <v>114</v>
      </c>
      <c r="AI154" s="302"/>
      <c r="AJ154" s="302"/>
      <c r="AK154" s="302"/>
      <c r="AL154" s="302"/>
      <c r="AM154" s="302"/>
      <c r="AN154" s="300"/>
      <c r="AO154" s="306"/>
      <c r="AP154" s="306"/>
      <c r="AQ154" s="306"/>
      <c r="AR154" s="306"/>
      <c r="AS154" s="306"/>
      <c r="AT154" s="306"/>
      <c r="AU154" s="306"/>
      <c r="AV154" s="306"/>
      <c r="AW154" s="306"/>
      <c r="AX154" s="306"/>
      <c r="AY154" s="306"/>
      <c r="AZ154" s="306"/>
      <c r="BA154" s="306"/>
      <c r="BB154" s="306"/>
      <c r="BC154" s="306"/>
      <c r="BD154" s="306"/>
      <c r="BE154" s="306"/>
      <c r="BF154" s="306"/>
      <c r="BG154" s="306"/>
      <c r="BH154" s="306"/>
      <c r="BI154" s="306"/>
      <c r="BJ154" s="306"/>
      <c r="BK154" s="306"/>
      <c r="BL154" s="306"/>
      <c r="BM154" s="306"/>
      <c r="BN154" s="306"/>
      <c r="BO154" s="306"/>
    </row>
    <row r="155" spans="1:67" s="298" customFormat="1" ht="30" x14ac:dyDescent="0.25">
      <c r="A155" s="307">
        <f t="shared" si="22"/>
        <v>154</v>
      </c>
      <c r="B155" s="300" t="s">
        <v>214</v>
      </c>
      <c r="C155" s="300" t="s">
        <v>1045</v>
      </c>
      <c r="D155" s="300" t="s">
        <v>215</v>
      </c>
      <c r="E155" s="300" t="s">
        <v>216</v>
      </c>
      <c r="F155" s="300" t="s">
        <v>658</v>
      </c>
      <c r="G155" s="300" t="s">
        <v>832</v>
      </c>
      <c r="H155" s="300">
        <f t="shared" si="21"/>
        <v>100</v>
      </c>
      <c r="I155" s="249"/>
      <c r="J155" s="249"/>
      <c r="K155" s="249">
        <f>Master20[[#This Row],[Initial Budget]]-Master20[[#This Row],[Previously Committed Funds]]</f>
        <v>0</v>
      </c>
      <c r="L155" s="249"/>
      <c r="M155" s="249"/>
      <c r="N155" s="258">
        <f>Master20[[#This Row],[Design $ (Add/Deduct)]]+Master20[[#This Row],[Construction $ (Add/Ded)]]</f>
        <v>0</v>
      </c>
      <c r="O155" s="256">
        <v>250000</v>
      </c>
      <c r="P155" s="301">
        <v>2024</v>
      </c>
      <c r="Q155" s="300" t="s">
        <v>688</v>
      </c>
      <c r="R155" s="301">
        <f t="shared" si="25"/>
        <v>20</v>
      </c>
      <c r="S155" s="302">
        <v>1</v>
      </c>
      <c r="T155" s="299">
        <f t="shared" si="23"/>
        <v>3</v>
      </c>
      <c r="U155" s="302" t="s">
        <v>41</v>
      </c>
      <c r="V155" s="302">
        <f t="shared" si="24"/>
        <v>4</v>
      </c>
      <c r="W155" s="302" t="s">
        <v>30</v>
      </c>
      <c r="X155" s="302">
        <v>0</v>
      </c>
      <c r="Y155" s="302">
        <v>0</v>
      </c>
      <c r="Z155" s="302">
        <v>0</v>
      </c>
      <c r="AA155" s="302">
        <v>0</v>
      </c>
      <c r="AB155" s="302">
        <v>0</v>
      </c>
      <c r="AC155" s="302">
        <v>0</v>
      </c>
      <c r="AD155" s="302">
        <v>0</v>
      </c>
      <c r="AE155" s="302"/>
      <c r="AF155" s="303" t="s">
        <v>29</v>
      </c>
      <c r="AG155" s="305">
        <f>VLOOKUP(Master20[[#This Row],[Elevated Priority]],Epriority,2,)</f>
        <v>0</v>
      </c>
      <c r="AH155" s="321">
        <f>IF(Master20[[#This Row],[Status]]="Active",Master20[[#This Row],[Status_Score]],IF(D155="","",R155+H155+T155+V155+AG155+AE155+Master20[[#This Row],[Risk Mitigation]]+Master20[[#This Row],[Master Plan]]+Master20[[#This Row],[Community Request]]+Master20[[#This Row],[Community need]]+Master20[[#This Row],[Offset Aging Inf.]]+Master20[[#This Row],[Energy Savings]]+Master20[[#This Row],[Gen Revenue]]-5))</f>
        <v>122</v>
      </c>
      <c r="AI155" s="302"/>
      <c r="AJ155" s="302"/>
      <c r="AK155" s="302"/>
      <c r="AL155" s="302"/>
      <c r="AM155" s="302"/>
      <c r="AN155" s="300"/>
      <c r="AO155" s="306"/>
      <c r="AP155" s="306"/>
      <c r="AQ155" s="306"/>
      <c r="AR155" s="306"/>
      <c r="AS155" s="306"/>
      <c r="AT155" s="306"/>
      <c r="AU155" s="306"/>
      <c r="AV155" s="306"/>
      <c r="AW155" s="306"/>
      <c r="AX155" s="306"/>
      <c r="AY155" s="306"/>
      <c r="AZ155" s="306"/>
      <c r="BA155" s="306"/>
      <c r="BB155" s="306"/>
      <c r="BC155" s="306"/>
      <c r="BD155" s="306"/>
      <c r="BE155" s="306"/>
      <c r="BF155" s="306"/>
      <c r="BG155" s="306"/>
      <c r="BH155" s="306"/>
      <c r="BI155" s="306"/>
      <c r="BJ155" s="306"/>
      <c r="BK155" s="306"/>
      <c r="BL155" s="306"/>
      <c r="BM155" s="306"/>
      <c r="BN155" s="306"/>
      <c r="BO155" s="306"/>
    </row>
    <row r="156" spans="1:67" s="298" customFormat="1" ht="45" hidden="1" x14ac:dyDescent="0.25">
      <c r="A156" s="307">
        <f t="shared" si="22"/>
        <v>155</v>
      </c>
      <c r="B156" s="378" t="s">
        <v>67</v>
      </c>
      <c r="C156" s="300" t="s">
        <v>1045</v>
      </c>
      <c r="D156" s="300" t="s">
        <v>428</v>
      </c>
      <c r="E156" s="300" t="s">
        <v>429</v>
      </c>
      <c r="F156" s="300" t="s">
        <v>430</v>
      </c>
      <c r="G156" s="300" t="s">
        <v>832</v>
      </c>
      <c r="H156" s="300">
        <f t="shared" si="21"/>
        <v>100</v>
      </c>
      <c r="I156" s="249"/>
      <c r="J156" s="249"/>
      <c r="K156" s="249">
        <f>Master20[[#This Row],[Initial Budget]]-Master20[[#This Row],[Previously Committed Funds]]</f>
        <v>0</v>
      </c>
      <c r="L156" s="249"/>
      <c r="M156" s="249"/>
      <c r="N156" s="258">
        <f>Master20[[#This Row],[Design $ (Add/Deduct)]]+Master20[[#This Row],[Construction $ (Add/Ded)]]</f>
        <v>0</v>
      </c>
      <c r="O156" s="256">
        <v>75000</v>
      </c>
      <c r="P156" s="301">
        <v>2018</v>
      </c>
      <c r="Q156" s="300" t="s">
        <v>688</v>
      </c>
      <c r="R156" s="301">
        <f t="shared" si="25"/>
        <v>20</v>
      </c>
      <c r="S156" s="302">
        <v>2</v>
      </c>
      <c r="T156" s="299">
        <f t="shared" si="23"/>
        <v>6</v>
      </c>
      <c r="U156" s="302" t="s">
        <v>41</v>
      </c>
      <c r="V156" s="302">
        <f t="shared" si="24"/>
        <v>4</v>
      </c>
      <c r="W156" s="302" t="s">
        <v>30</v>
      </c>
      <c r="X156" s="302">
        <v>0</v>
      </c>
      <c r="Y156" s="302">
        <v>0</v>
      </c>
      <c r="Z156" s="302">
        <v>0</v>
      </c>
      <c r="AA156" s="302">
        <v>0</v>
      </c>
      <c r="AB156" s="302">
        <v>0</v>
      </c>
      <c r="AC156" s="302">
        <v>0</v>
      </c>
      <c r="AD156" s="302">
        <v>0</v>
      </c>
      <c r="AE156" s="302"/>
      <c r="AF156" s="303" t="s">
        <v>29</v>
      </c>
      <c r="AG156" s="305">
        <f>VLOOKUP(Master20[[#This Row],[Elevated Priority]],Epriority,2,)</f>
        <v>0</v>
      </c>
      <c r="AH156" s="321">
        <f>IF(Master20[[#This Row],[Status]]="Active",Master20[[#This Row],[Status_Score]],IF(D156="","",R156+H156+T156+V156+AG156+AE156+Master20[[#This Row],[Risk Mitigation]]+Master20[[#This Row],[Master Plan]]+Master20[[#This Row],[Community Request]]+Master20[[#This Row],[Community need]]+Master20[[#This Row],[Offset Aging Inf.]]+Master20[[#This Row],[Energy Savings]]+Master20[[#This Row],[Gen Revenue]]-5))</f>
        <v>125</v>
      </c>
      <c r="AI156" s="302"/>
      <c r="AJ156" s="302"/>
      <c r="AK156" s="302"/>
      <c r="AL156" s="302"/>
      <c r="AM156" s="302"/>
      <c r="AN156" s="300"/>
      <c r="AO156" s="306"/>
      <c r="AP156" s="306"/>
      <c r="AQ156" s="306"/>
      <c r="AR156" s="306"/>
      <c r="AS156" s="306"/>
      <c r="AT156" s="306"/>
      <c r="AU156" s="306"/>
      <c r="AV156" s="306"/>
      <c r="AW156" s="306"/>
      <c r="AX156" s="306"/>
      <c r="AY156" s="306"/>
      <c r="AZ156" s="306"/>
      <c r="BA156" s="306"/>
      <c r="BB156" s="306"/>
      <c r="BC156" s="306"/>
      <c r="BD156" s="306"/>
      <c r="BE156" s="306"/>
      <c r="BF156" s="306"/>
      <c r="BG156" s="306"/>
      <c r="BH156" s="306"/>
      <c r="BI156" s="306"/>
      <c r="BJ156" s="306"/>
      <c r="BK156" s="306"/>
      <c r="BL156" s="306"/>
      <c r="BM156" s="306"/>
      <c r="BN156" s="306"/>
      <c r="BO156" s="306"/>
    </row>
    <row r="157" spans="1:67" s="298" customFormat="1" ht="60" x14ac:dyDescent="0.25">
      <c r="A157" s="307">
        <f t="shared" si="22"/>
        <v>156</v>
      </c>
      <c r="B157" s="378" t="s">
        <v>214</v>
      </c>
      <c r="C157" s="300" t="s">
        <v>1045</v>
      </c>
      <c r="D157" s="300" t="s">
        <v>225</v>
      </c>
      <c r="E157" s="300" t="s">
        <v>226</v>
      </c>
      <c r="F157" s="300" t="s">
        <v>227</v>
      </c>
      <c r="G157" s="300" t="s">
        <v>832</v>
      </c>
      <c r="H157" s="300">
        <f t="shared" si="21"/>
        <v>100</v>
      </c>
      <c r="I157" s="249"/>
      <c r="J157" s="249"/>
      <c r="K157" s="249">
        <f>Master20[[#This Row],[Initial Budget]]-Master20[[#This Row],[Previously Committed Funds]]</f>
        <v>0</v>
      </c>
      <c r="L157" s="249"/>
      <c r="M157" s="249"/>
      <c r="N157" s="258">
        <f>Master20[[#This Row],[Design $ (Add/Deduct)]]+Master20[[#This Row],[Construction $ (Add/Ded)]]</f>
        <v>0</v>
      </c>
      <c r="O157" s="256">
        <v>250000</v>
      </c>
      <c r="P157" s="301">
        <v>2024</v>
      </c>
      <c r="Q157" s="300" t="s">
        <v>688</v>
      </c>
      <c r="R157" s="301">
        <f t="shared" si="25"/>
        <v>20</v>
      </c>
      <c r="S157" s="302">
        <v>2</v>
      </c>
      <c r="T157" s="299">
        <f t="shared" si="23"/>
        <v>6</v>
      </c>
      <c r="U157" s="302" t="s">
        <v>41</v>
      </c>
      <c r="V157" s="302">
        <f t="shared" si="24"/>
        <v>4</v>
      </c>
      <c r="W157" s="302" t="s">
        <v>30</v>
      </c>
      <c r="X157" s="302">
        <v>0</v>
      </c>
      <c r="Y157" s="302">
        <v>0</v>
      </c>
      <c r="Z157" s="302">
        <v>0</v>
      </c>
      <c r="AA157" s="302">
        <v>0</v>
      </c>
      <c r="AB157" s="302">
        <v>0</v>
      </c>
      <c r="AC157" s="302">
        <v>0</v>
      </c>
      <c r="AD157" s="302">
        <v>0</v>
      </c>
      <c r="AE157" s="302"/>
      <c r="AF157" s="303" t="s">
        <v>29</v>
      </c>
      <c r="AG157" s="305">
        <f>VLOOKUP(Master20[[#This Row],[Elevated Priority]],Epriority,2,)</f>
        <v>0</v>
      </c>
      <c r="AH157" s="321">
        <f>IF(Master20[[#This Row],[Status]]="Active",Master20[[#This Row],[Status_Score]],IF(D157="","",R157+H157+T157+V157+AG157+AE157+Master20[[#This Row],[Risk Mitigation]]+Master20[[#This Row],[Master Plan]]+Master20[[#This Row],[Community Request]]+Master20[[#This Row],[Community need]]+Master20[[#This Row],[Offset Aging Inf.]]+Master20[[#This Row],[Energy Savings]]+Master20[[#This Row],[Gen Revenue]]-5))</f>
        <v>125</v>
      </c>
      <c r="AI157" s="302"/>
      <c r="AJ157" s="302"/>
      <c r="AK157" s="302"/>
      <c r="AL157" s="302"/>
      <c r="AM157" s="302"/>
      <c r="AN157" s="300"/>
      <c r="AO157" s="306"/>
      <c r="AP157" s="306"/>
      <c r="AQ157" s="306"/>
      <c r="AR157" s="306"/>
      <c r="AS157" s="306"/>
      <c r="AT157" s="306"/>
      <c r="AU157" s="306"/>
      <c r="AV157" s="306"/>
      <c r="AW157" s="306"/>
      <c r="AX157" s="306"/>
      <c r="AY157" s="306"/>
      <c r="AZ157" s="306"/>
      <c r="BA157" s="306"/>
      <c r="BB157" s="306"/>
      <c r="BC157" s="306"/>
      <c r="BD157" s="306"/>
      <c r="BE157" s="306"/>
      <c r="BF157" s="306"/>
      <c r="BG157" s="306"/>
      <c r="BH157" s="306"/>
      <c r="BI157" s="306"/>
      <c r="BJ157" s="306"/>
      <c r="BK157" s="306"/>
      <c r="BL157" s="306"/>
      <c r="BM157" s="306"/>
      <c r="BN157" s="306"/>
      <c r="BO157" s="306"/>
    </row>
    <row r="158" spans="1:67" s="298" customFormat="1" ht="165" hidden="1" x14ac:dyDescent="0.25">
      <c r="A158" s="307">
        <f t="shared" si="22"/>
        <v>157</v>
      </c>
      <c r="B158" s="378" t="s">
        <v>143</v>
      </c>
      <c r="C158" s="300" t="s">
        <v>1045</v>
      </c>
      <c r="D158" s="300" t="s">
        <v>372</v>
      </c>
      <c r="E158" s="300" t="s">
        <v>765</v>
      </c>
      <c r="F158" s="300" t="s">
        <v>766</v>
      </c>
      <c r="G158" s="300" t="s">
        <v>29</v>
      </c>
      <c r="H158" s="300">
        <f t="shared" ref="H158:H189" si="26">VLOOKUP(G158,Status_Score,2,FALSE)</f>
        <v>0</v>
      </c>
      <c r="I158" s="249"/>
      <c r="J158" s="249"/>
      <c r="K158" s="249">
        <f>Master20[[#This Row],[Initial Budget]]-Master20[[#This Row],[Previously Committed Funds]]</f>
        <v>0</v>
      </c>
      <c r="L158" s="249"/>
      <c r="M158" s="249"/>
      <c r="N158" s="258">
        <f>Master20[[#This Row],[Design $ (Add/Deduct)]]+Master20[[#This Row],[Construction $ (Add/Ded)]]</f>
        <v>0</v>
      </c>
      <c r="O158" s="256">
        <v>15000000</v>
      </c>
      <c r="P158" s="301">
        <v>2018</v>
      </c>
      <c r="Q158" s="300" t="s">
        <v>46</v>
      </c>
      <c r="R158" s="301">
        <f t="shared" si="25"/>
        <v>50</v>
      </c>
      <c r="S158" s="302">
        <v>6</v>
      </c>
      <c r="T158" s="299">
        <f t="shared" si="23"/>
        <v>18</v>
      </c>
      <c r="U158" s="302" t="s">
        <v>47</v>
      </c>
      <c r="V158" s="302">
        <f t="shared" si="24"/>
        <v>64</v>
      </c>
      <c r="W158" s="302" t="s">
        <v>34</v>
      </c>
      <c r="X158" s="302">
        <v>0</v>
      </c>
      <c r="Y158" s="302">
        <v>0</v>
      </c>
      <c r="Z158" s="302">
        <v>-1</v>
      </c>
      <c r="AA158" s="302">
        <v>0</v>
      </c>
      <c r="AB158" s="302">
        <v>0</v>
      </c>
      <c r="AC158" s="302">
        <v>0</v>
      </c>
      <c r="AD158" s="302">
        <v>0</v>
      </c>
      <c r="AE158" s="302"/>
      <c r="AF158" s="303" t="s">
        <v>29</v>
      </c>
      <c r="AG158" s="305">
        <f>VLOOKUP(Master20[[#This Row],[Elevated Priority]],Epriority,2,)</f>
        <v>0</v>
      </c>
      <c r="AH158" s="321">
        <f>IF(Master20[[#This Row],[Status]]="Active",Master20[[#This Row],[Status_Score]],IF(D158="","",R158+H158+T158+V158+AG158+AE158+Master20[[#This Row],[Risk Mitigation]]+Master20[[#This Row],[Master Plan]]+Master20[[#This Row],[Community Request]]+Master20[[#This Row],[Community need]]+Master20[[#This Row],[Offset Aging Inf.]]+Master20[[#This Row],[Energy Savings]]+Master20[[#This Row],[Gen Revenue]]-5))</f>
        <v>126</v>
      </c>
      <c r="AI158" s="302"/>
      <c r="AJ158" s="302"/>
      <c r="AK158" s="302"/>
      <c r="AL158" s="302"/>
      <c r="AM158" s="302"/>
      <c r="AN158" s="300"/>
      <c r="AO158" s="306"/>
      <c r="AP158" s="306"/>
      <c r="AQ158" s="306"/>
      <c r="AR158" s="306"/>
      <c r="AS158" s="306"/>
      <c r="AT158" s="306"/>
      <c r="AU158" s="306"/>
      <c r="AV158" s="306"/>
      <c r="AW158" s="306"/>
      <c r="AX158" s="306"/>
      <c r="AY158" s="306"/>
      <c r="AZ158" s="306"/>
      <c r="BA158" s="306"/>
      <c r="BB158" s="306"/>
      <c r="BC158" s="306"/>
      <c r="BD158" s="306"/>
      <c r="BE158" s="306"/>
      <c r="BF158" s="306"/>
      <c r="BG158" s="306"/>
      <c r="BH158" s="306"/>
      <c r="BI158" s="306"/>
      <c r="BJ158" s="306"/>
      <c r="BK158" s="306"/>
      <c r="BL158" s="306"/>
      <c r="BM158" s="306"/>
      <c r="BN158" s="306"/>
      <c r="BO158" s="306"/>
    </row>
    <row r="159" spans="1:67" s="298" customFormat="1" ht="30" hidden="1" x14ac:dyDescent="0.25">
      <c r="A159" s="307">
        <f t="shared" si="22"/>
        <v>158</v>
      </c>
      <c r="B159" s="300" t="s">
        <v>67</v>
      </c>
      <c r="C159" s="300" t="s">
        <v>995</v>
      </c>
      <c r="D159" s="300" t="s">
        <v>565</v>
      </c>
      <c r="E159" s="300"/>
      <c r="F159" s="300"/>
      <c r="G159" s="300" t="s">
        <v>832</v>
      </c>
      <c r="H159" s="300">
        <f t="shared" si="26"/>
        <v>100</v>
      </c>
      <c r="I159" s="249"/>
      <c r="J159" s="249"/>
      <c r="K159" s="249">
        <f>Master20[[#This Row],[Initial Budget]]-Master20[[#This Row],[Previously Committed Funds]]</f>
        <v>0</v>
      </c>
      <c r="L159" s="249"/>
      <c r="M159" s="249"/>
      <c r="N159" s="258">
        <f>Master20[[#This Row],[Design $ (Add/Deduct)]]+Master20[[#This Row],[Construction $ (Add/Ded)]]</f>
        <v>0</v>
      </c>
      <c r="O159" s="256">
        <v>25000</v>
      </c>
      <c r="P159" s="301">
        <v>2018</v>
      </c>
      <c r="Q159" s="300" t="s">
        <v>36</v>
      </c>
      <c r="R159" s="301">
        <f t="shared" si="25"/>
        <v>10</v>
      </c>
      <c r="S159" s="302">
        <v>10</v>
      </c>
      <c r="T159" s="299">
        <f t="shared" si="23"/>
        <v>21</v>
      </c>
      <c r="U159" s="302" t="s">
        <v>33</v>
      </c>
      <c r="V159" s="302">
        <f t="shared" si="24"/>
        <v>1</v>
      </c>
      <c r="W159" s="302" t="s">
        <v>30</v>
      </c>
      <c r="X159" s="302">
        <v>0</v>
      </c>
      <c r="Y159" s="302">
        <v>0</v>
      </c>
      <c r="Z159" s="302">
        <v>0</v>
      </c>
      <c r="AA159" s="302">
        <v>0</v>
      </c>
      <c r="AB159" s="302">
        <v>0</v>
      </c>
      <c r="AC159" s="302">
        <v>0</v>
      </c>
      <c r="AD159" s="302">
        <v>0</v>
      </c>
      <c r="AE159" s="302"/>
      <c r="AF159" s="303" t="s">
        <v>29</v>
      </c>
      <c r="AG159" s="305">
        <f>VLOOKUP(Master20[[#This Row],[Elevated Priority]],Epriority,2,)</f>
        <v>0</v>
      </c>
      <c r="AH159" s="321">
        <f>IF(Master20[[#This Row],[Status]]="Active",Master20[[#This Row],[Status_Score]],IF(D159="","",R159+H159+T159+V159+AG159+AE159+Master20[[#This Row],[Risk Mitigation]]+Master20[[#This Row],[Master Plan]]+Master20[[#This Row],[Community Request]]+Master20[[#This Row],[Community need]]+Master20[[#This Row],[Offset Aging Inf.]]+Master20[[#This Row],[Energy Savings]]+Master20[[#This Row],[Gen Revenue]]-5))</f>
        <v>127</v>
      </c>
      <c r="AI159" s="302" t="s">
        <v>717</v>
      </c>
      <c r="AJ159" s="302">
        <v>2021</v>
      </c>
      <c r="AK159" s="302">
        <v>2022</v>
      </c>
      <c r="AL159" s="302">
        <v>2021</v>
      </c>
      <c r="AM159" s="302">
        <v>2022</v>
      </c>
      <c r="AN159" s="300"/>
      <c r="AO159" s="306"/>
      <c r="AP159" s="306"/>
      <c r="AQ159" s="306"/>
      <c r="AR159" s="306"/>
      <c r="AS159" s="306"/>
      <c r="AT159" s="306"/>
      <c r="AU159" s="306"/>
      <c r="AV159" s="306"/>
      <c r="AW159" s="306"/>
      <c r="AX159" s="306"/>
      <c r="AY159" s="306"/>
      <c r="AZ159" s="306"/>
      <c r="BA159" s="306"/>
      <c r="BB159" s="306"/>
      <c r="BC159" s="306"/>
      <c r="BD159" s="306"/>
      <c r="BE159" s="306"/>
      <c r="BF159" s="306"/>
      <c r="BG159" s="306"/>
      <c r="BH159" s="306"/>
      <c r="BI159" s="306"/>
      <c r="BJ159" s="306"/>
      <c r="BK159" s="306"/>
      <c r="BL159" s="306"/>
      <c r="BM159" s="306"/>
      <c r="BN159" s="306"/>
      <c r="BO159" s="306"/>
    </row>
    <row r="160" spans="1:67" s="298" customFormat="1" ht="30" hidden="1" x14ac:dyDescent="0.25">
      <c r="A160" s="307">
        <f t="shared" si="22"/>
        <v>159</v>
      </c>
      <c r="B160" s="378" t="s">
        <v>65</v>
      </c>
      <c r="C160" s="300" t="s">
        <v>1045</v>
      </c>
      <c r="D160" s="300" t="s">
        <v>208</v>
      </c>
      <c r="E160" s="300" t="s">
        <v>209</v>
      </c>
      <c r="F160" s="300" t="s">
        <v>210</v>
      </c>
      <c r="G160" s="300" t="s">
        <v>832</v>
      </c>
      <c r="H160" s="300">
        <f t="shared" si="26"/>
        <v>100</v>
      </c>
      <c r="I160" s="249"/>
      <c r="J160" s="249"/>
      <c r="K160" s="249">
        <f>Master20[[#This Row],[Initial Budget]]-Master20[[#This Row],[Previously Committed Funds]]</f>
        <v>0</v>
      </c>
      <c r="L160" s="249"/>
      <c r="M160" s="249"/>
      <c r="N160" s="258">
        <f>Master20[[#This Row],[Design $ (Add/Deduct)]]+Master20[[#This Row],[Construction $ (Add/Ded)]]</f>
        <v>0</v>
      </c>
      <c r="O160" s="256">
        <v>250000</v>
      </c>
      <c r="P160" s="301">
        <v>2018</v>
      </c>
      <c r="Q160" s="300" t="s">
        <v>688</v>
      </c>
      <c r="R160" s="301">
        <f t="shared" si="25"/>
        <v>20</v>
      </c>
      <c r="S160" s="302">
        <v>4</v>
      </c>
      <c r="T160" s="299">
        <f t="shared" si="23"/>
        <v>12</v>
      </c>
      <c r="U160" s="302" t="s">
        <v>41</v>
      </c>
      <c r="V160" s="302">
        <f t="shared" si="24"/>
        <v>4</v>
      </c>
      <c r="W160" s="302" t="s">
        <v>30</v>
      </c>
      <c r="X160" s="302">
        <v>0</v>
      </c>
      <c r="Y160" s="302">
        <v>0</v>
      </c>
      <c r="Z160" s="302">
        <v>0</v>
      </c>
      <c r="AA160" s="302">
        <v>0</v>
      </c>
      <c r="AB160" s="302">
        <v>0</v>
      </c>
      <c r="AC160" s="302">
        <v>0</v>
      </c>
      <c r="AD160" s="302">
        <v>0</v>
      </c>
      <c r="AE160" s="302"/>
      <c r="AF160" s="303" t="s">
        <v>29</v>
      </c>
      <c r="AG160" s="305">
        <f>VLOOKUP(Master20[[#This Row],[Elevated Priority]],Epriority,2,)</f>
        <v>0</v>
      </c>
      <c r="AH160" s="321">
        <f>IF(Master20[[#This Row],[Status]]="Active",Master20[[#This Row],[Status_Score]],IF(D160="","",R160+H160+T160+V160+AG160+AE160+Master20[[#This Row],[Risk Mitigation]]+Master20[[#This Row],[Master Plan]]+Master20[[#This Row],[Community Request]]+Master20[[#This Row],[Community need]]+Master20[[#This Row],[Offset Aging Inf.]]+Master20[[#This Row],[Energy Savings]]+Master20[[#This Row],[Gen Revenue]]-5))</f>
        <v>131</v>
      </c>
      <c r="AI160" s="302"/>
      <c r="AJ160" s="302"/>
      <c r="AK160" s="302"/>
      <c r="AL160" s="302"/>
      <c r="AM160" s="302"/>
      <c r="AN160" s="300"/>
      <c r="AO160" s="306"/>
      <c r="AP160" s="306"/>
      <c r="AQ160" s="306"/>
      <c r="AR160" s="306"/>
      <c r="AS160" s="306"/>
      <c r="AT160" s="306"/>
      <c r="AU160" s="306"/>
      <c r="AV160" s="306"/>
      <c r="AW160" s="306"/>
      <c r="AX160" s="306"/>
      <c r="AY160" s="306"/>
      <c r="AZ160" s="306"/>
      <c r="BA160" s="306"/>
      <c r="BB160" s="306"/>
      <c r="BC160" s="306"/>
      <c r="BD160" s="306"/>
      <c r="BE160" s="306"/>
      <c r="BF160" s="306"/>
      <c r="BG160" s="306"/>
      <c r="BH160" s="306"/>
      <c r="BI160" s="306"/>
      <c r="BJ160" s="306"/>
      <c r="BK160" s="306"/>
      <c r="BL160" s="306"/>
      <c r="BM160" s="306"/>
      <c r="BN160" s="306"/>
      <c r="BO160" s="306"/>
    </row>
    <row r="161" spans="1:67" s="298" customFormat="1" ht="30" x14ac:dyDescent="0.25">
      <c r="A161" s="307">
        <f t="shared" si="22"/>
        <v>160</v>
      </c>
      <c r="B161" s="300" t="s">
        <v>214</v>
      </c>
      <c r="C161" s="300" t="s">
        <v>1045</v>
      </c>
      <c r="D161" s="300" t="s">
        <v>307</v>
      </c>
      <c r="E161" s="300" t="s">
        <v>308</v>
      </c>
      <c r="F161" s="300" t="s">
        <v>309</v>
      </c>
      <c r="G161" s="300" t="s">
        <v>832</v>
      </c>
      <c r="H161" s="300">
        <f t="shared" si="26"/>
        <v>100</v>
      </c>
      <c r="I161" s="249"/>
      <c r="J161" s="249"/>
      <c r="K161" s="249">
        <f>Master20[[#This Row],[Initial Budget]]-Master20[[#This Row],[Previously Committed Funds]]</f>
        <v>0</v>
      </c>
      <c r="L161" s="249"/>
      <c r="M161" s="249"/>
      <c r="N161" s="258">
        <f>Master20[[#This Row],[Design $ (Add/Deduct)]]+Master20[[#This Row],[Construction $ (Add/Ded)]]</f>
        <v>0</v>
      </c>
      <c r="O161" s="256">
        <v>150000</v>
      </c>
      <c r="P161" s="301">
        <v>2024</v>
      </c>
      <c r="Q161" s="300" t="s">
        <v>688</v>
      </c>
      <c r="R161" s="301">
        <f t="shared" si="25"/>
        <v>20</v>
      </c>
      <c r="S161" s="302">
        <v>2</v>
      </c>
      <c r="T161" s="299">
        <f t="shared" si="23"/>
        <v>6</v>
      </c>
      <c r="U161" s="302" t="s">
        <v>41</v>
      </c>
      <c r="V161" s="302">
        <f t="shared" si="24"/>
        <v>4</v>
      </c>
      <c r="W161" s="302" t="s">
        <v>30</v>
      </c>
      <c r="X161" s="302">
        <v>0</v>
      </c>
      <c r="Y161" s="302">
        <v>0</v>
      </c>
      <c r="Z161" s="302">
        <v>0</v>
      </c>
      <c r="AA161" s="302">
        <v>0</v>
      </c>
      <c r="AB161" s="302">
        <v>0</v>
      </c>
      <c r="AC161" s="302">
        <v>0</v>
      </c>
      <c r="AD161" s="302">
        <v>0</v>
      </c>
      <c r="AE161" s="302"/>
      <c r="AF161" s="303" t="s">
        <v>29</v>
      </c>
      <c r="AG161" s="305">
        <f>VLOOKUP(Master20[[#This Row],[Elevated Priority]],Epriority,2,)</f>
        <v>0</v>
      </c>
      <c r="AH161" s="321">
        <f>IF(Master20[[#This Row],[Status]]="Active",Master20[[#This Row],[Status_Score]],IF(D161="","",R161+H161+T161+V161+AG161+AE161+Master20[[#This Row],[Risk Mitigation]]+Master20[[#This Row],[Master Plan]]+Master20[[#This Row],[Community Request]]+Master20[[#This Row],[Community need]]+Master20[[#This Row],[Offset Aging Inf.]]+Master20[[#This Row],[Energy Savings]]+Master20[[#This Row],[Gen Revenue]]-5))</f>
        <v>125</v>
      </c>
      <c r="AI161" s="302"/>
      <c r="AJ161" s="302"/>
      <c r="AK161" s="302"/>
      <c r="AL161" s="302"/>
      <c r="AM161" s="302"/>
      <c r="AN161" s="300"/>
      <c r="AO161" s="306"/>
      <c r="AP161" s="306"/>
      <c r="AQ161" s="306"/>
      <c r="AR161" s="306"/>
      <c r="AS161" s="306"/>
      <c r="AT161" s="306"/>
      <c r="AU161" s="306"/>
      <c r="AV161" s="306"/>
      <c r="AW161" s="306"/>
      <c r="AX161" s="306"/>
      <c r="AY161" s="306"/>
      <c r="AZ161" s="306"/>
      <c r="BA161" s="306"/>
      <c r="BB161" s="306"/>
      <c r="BC161" s="306"/>
      <c r="BD161" s="306"/>
      <c r="BE161" s="306"/>
      <c r="BF161" s="306"/>
      <c r="BG161" s="306"/>
      <c r="BH161" s="306"/>
      <c r="BI161" s="306"/>
      <c r="BJ161" s="306"/>
      <c r="BK161" s="306"/>
      <c r="BL161" s="306"/>
      <c r="BM161" s="306"/>
      <c r="BN161" s="306"/>
      <c r="BO161" s="306"/>
    </row>
    <row r="162" spans="1:67" s="298" customFormat="1" ht="30" hidden="1" x14ac:dyDescent="0.25">
      <c r="A162" s="307">
        <f t="shared" si="22"/>
        <v>161</v>
      </c>
      <c r="B162" s="378" t="s">
        <v>65</v>
      </c>
      <c r="C162" s="300" t="s">
        <v>1045</v>
      </c>
      <c r="D162" s="300" t="s">
        <v>578</v>
      </c>
      <c r="E162" s="300" t="s">
        <v>579</v>
      </c>
      <c r="F162" s="300" t="s">
        <v>580</v>
      </c>
      <c r="G162" s="300" t="s">
        <v>29</v>
      </c>
      <c r="H162" s="300">
        <f t="shared" si="26"/>
        <v>0</v>
      </c>
      <c r="I162" s="249"/>
      <c r="J162" s="249"/>
      <c r="K162" s="249">
        <f>Master20[[#This Row],[Initial Budget]]-Master20[[#This Row],[Previously Committed Funds]]</f>
        <v>0</v>
      </c>
      <c r="L162" s="249"/>
      <c r="M162" s="249"/>
      <c r="N162" s="258">
        <f>Master20[[#This Row],[Design $ (Add/Deduct)]]+Master20[[#This Row],[Construction $ (Add/Ded)]]</f>
        <v>0</v>
      </c>
      <c r="O162" s="256">
        <v>100000</v>
      </c>
      <c r="P162" s="301">
        <v>2018</v>
      </c>
      <c r="Q162" s="300" t="s">
        <v>46</v>
      </c>
      <c r="R162" s="301">
        <f t="shared" si="25"/>
        <v>50</v>
      </c>
      <c r="S162" s="302">
        <v>15</v>
      </c>
      <c r="T162" s="299">
        <f t="shared" si="23"/>
        <v>24</v>
      </c>
      <c r="U162" s="302" t="s">
        <v>47</v>
      </c>
      <c r="V162" s="302">
        <f t="shared" si="24"/>
        <v>64</v>
      </c>
      <c r="W162" s="302" t="s">
        <v>34</v>
      </c>
      <c r="X162" s="302">
        <v>0</v>
      </c>
      <c r="Y162" s="302">
        <v>0</v>
      </c>
      <c r="Z162" s="302">
        <v>0</v>
      </c>
      <c r="AA162" s="302">
        <v>0</v>
      </c>
      <c r="AB162" s="302">
        <v>0</v>
      </c>
      <c r="AC162" s="302">
        <v>0</v>
      </c>
      <c r="AD162" s="302">
        <v>0</v>
      </c>
      <c r="AE162" s="302"/>
      <c r="AF162" s="303" t="s">
        <v>29</v>
      </c>
      <c r="AG162" s="305">
        <f>VLOOKUP(Master20[[#This Row],[Elevated Priority]],Epriority,2,)</f>
        <v>0</v>
      </c>
      <c r="AH162" s="321">
        <f>IF(Master20[[#This Row],[Status]]="Active",Master20[[#This Row],[Status_Score]],IF(D162="","",R162+H162+T162+V162+AG162+AE162+Master20[[#This Row],[Risk Mitigation]]+Master20[[#This Row],[Master Plan]]+Master20[[#This Row],[Community Request]]+Master20[[#This Row],[Community need]]+Master20[[#This Row],[Offset Aging Inf.]]+Master20[[#This Row],[Energy Savings]]+Master20[[#This Row],[Gen Revenue]]-5))</f>
        <v>133</v>
      </c>
      <c r="AI162" s="302"/>
      <c r="AJ162" s="302"/>
      <c r="AK162" s="302"/>
      <c r="AL162" s="302"/>
      <c r="AM162" s="302"/>
      <c r="AN162" s="300"/>
      <c r="AO162" s="306"/>
      <c r="AP162" s="306"/>
      <c r="AQ162" s="306"/>
      <c r="AR162" s="306"/>
      <c r="AS162" s="306"/>
      <c r="AT162" s="306"/>
      <c r="AU162" s="306"/>
      <c r="AV162" s="306"/>
      <c r="AW162" s="306"/>
      <c r="AX162" s="306"/>
      <c r="AY162" s="306"/>
      <c r="AZ162" s="306"/>
      <c r="BA162" s="306"/>
      <c r="BB162" s="306"/>
      <c r="BC162" s="306"/>
      <c r="BD162" s="306"/>
      <c r="BE162" s="306"/>
      <c r="BF162" s="306"/>
      <c r="BG162" s="306"/>
      <c r="BH162" s="306"/>
      <c r="BI162" s="306"/>
      <c r="BJ162" s="306"/>
      <c r="BK162" s="306"/>
      <c r="BL162" s="306"/>
      <c r="BM162" s="306"/>
      <c r="BN162" s="306"/>
      <c r="BO162" s="306"/>
    </row>
    <row r="163" spans="1:67" s="298" customFormat="1" ht="30" hidden="1" x14ac:dyDescent="0.25">
      <c r="A163" s="307">
        <f t="shared" si="22"/>
        <v>162</v>
      </c>
      <c r="B163" s="300" t="s">
        <v>67</v>
      </c>
      <c r="C163" s="300" t="s">
        <v>1045</v>
      </c>
      <c r="D163" s="300" t="s">
        <v>1197</v>
      </c>
      <c r="E163" s="300" t="s">
        <v>206</v>
      </c>
      <c r="F163" s="300" t="s">
        <v>207</v>
      </c>
      <c r="G163" s="300" t="s">
        <v>832</v>
      </c>
      <c r="H163" s="300">
        <f t="shared" si="26"/>
        <v>100</v>
      </c>
      <c r="I163" s="249"/>
      <c r="J163" s="249"/>
      <c r="K163" s="249">
        <f>Master20[[#This Row],[Initial Budget]]-Master20[[#This Row],[Previously Committed Funds]]</f>
        <v>0</v>
      </c>
      <c r="L163" s="249"/>
      <c r="M163" s="249"/>
      <c r="N163" s="258">
        <f>Master20[[#This Row],[Design $ (Add/Deduct)]]+Master20[[#This Row],[Construction $ (Add/Ded)]]</f>
        <v>0</v>
      </c>
      <c r="O163" s="256">
        <v>2000000</v>
      </c>
      <c r="P163" s="301">
        <v>2018</v>
      </c>
      <c r="Q163" s="300" t="s">
        <v>687</v>
      </c>
      <c r="R163" s="301">
        <f t="shared" si="25"/>
        <v>30</v>
      </c>
      <c r="S163" s="302">
        <v>2</v>
      </c>
      <c r="T163" s="299">
        <f t="shared" si="23"/>
        <v>6</v>
      </c>
      <c r="U163" s="302" t="s">
        <v>41</v>
      </c>
      <c r="V163" s="302">
        <f t="shared" si="24"/>
        <v>4</v>
      </c>
      <c r="W163" s="302" t="s">
        <v>34</v>
      </c>
      <c r="X163" s="302">
        <v>0</v>
      </c>
      <c r="Y163" s="302">
        <v>0</v>
      </c>
      <c r="Z163" s="302">
        <v>0</v>
      </c>
      <c r="AA163" s="302">
        <v>0</v>
      </c>
      <c r="AB163" s="302">
        <v>0</v>
      </c>
      <c r="AC163" s="302">
        <v>0</v>
      </c>
      <c r="AD163" s="302">
        <v>0</v>
      </c>
      <c r="AE163" s="302"/>
      <c r="AF163" s="303" t="s">
        <v>29</v>
      </c>
      <c r="AG163" s="305">
        <f>VLOOKUP(Master20[[#This Row],[Elevated Priority]],Epriority,2,)</f>
        <v>0</v>
      </c>
      <c r="AH163" s="321">
        <f>IF(Master20[[#This Row],[Status]]="Active",Master20[[#This Row],[Status_Score]],IF(D163="","",R163+H163+T163+V163+AG163+AE163+Master20[[#This Row],[Risk Mitigation]]+Master20[[#This Row],[Master Plan]]+Master20[[#This Row],[Community Request]]+Master20[[#This Row],[Community need]]+Master20[[#This Row],[Offset Aging Inf.]]+Master20[[#This Row],[Energy Savings]]+Master20[[#This Row],[Gen Revenue]]-5))</f>
        <v>135</v>
      </c>
      <c r="AI163" s="302"/>
      <c r="AJ163" s="302"/>
      <c r="AK163" s="302"/>
      <c r="AL163" s="302"/>
      <c r="AM163" s="302"/>
      <c r="AN163" s="300"/>
      <c r="AO163" s="306"/>
      <c r="AP163" s="306"/>
      <c r="AQ163" s="306"/>
      <c r="AR163" s="306"/>
      <c r="AS163" s="306"/>
      <c r="AT163" s="306"/>
      <c r="AU163" s="306"/>
      <c r="AV163" s="306"/>
      <c r="AW163" s="306"/>
      <c r="AX163" s="306"/>
      <c r="AY163" s="306"/>
      <c r="AZ163" s="306"/>
      <c r="BA163" s="306"/>
      <c r="BB163" s="306"/>
      <c r="BC163" s="306"/>
      <c r="BD163" s="306"/>
      <c r="BE163" s="306"/>
      <c r="BF163" s="306"/>
      <c r="BG163" s="306"/>
      <c r="BH163" s="306"/>
      <c r="BI163" s="306"/>
      <c r="BJ163" s="306"/>
      <c r="BK163" s="306"/>
      <c r="BL163" s="306"/>
      <c r="BM163" s="306"/>
      <c r="BN163" s="306"/>
      <c r="BO163" s="306"/>
    </row>
    <row r="164" spans="1:67" s="298" customFormat="1" ht="60" hidden="1" x14ac:dyDescent="0.25">
      <c r="A164" s="307">
        <f t="shared" si="22"/>
        <v>163</v>
      </c>
      <c r="B164" s="378" t="s">
        <v>70</v>
      </c>
      <c r="C164" s="300" t="s">
        <v>1045</v>
      </c>
      <c r="D164" s="300" t="s">
        <v>288</v>
      </c>
      <c r="E164" s="300" t="s">
        <v>289</v>
      </c>
      <c r="F164" s="300" t="s">
        <v>290</v>
      </c>
      <c r="G164" s="300" t="s">
        <v>832</v>
      </c>
      <c r="H164" s="300">
        <f t="shared" si="26"/>
        <v>100</v>
      </c>
      <c r="I164" s="249"/>
      <c r="J164" s="249"/>
      <c r="K164" s="249">
        <f>Master20[[#This Row],[Initial Budget]]-Master20[[#This Row],[Previously Committed Funds]]</f>
        <v>0</v>
      </c>
      <c r="L164" s="249"/>
      <c r="M164" s="249"/>
      <c r="N164" s="258">
        <f>Master20[[#This Row],[Design $ (Add/Deduct)]]+Master20[[#This Row],[Construction $ (Add/Ded)]]</f>
        <v>0</v>
      </c>
      <c r="O164" s="256">
        <v>40000</v>
      </c>
      <c r="P164" s="301">
        <v>2018</v>
      </c>
      <c r="Q164" s="300" t="s">
        <v>687</v>
      </c>
      <c r="R164" s="301">
        <f t="shared" si="25"/>
        <v>30</v>
      </c>
      <c r="S164" s="302">
        <v>4</v>
      </c>
      <c r="T164" s="299">
        <f t="shared" si="23"/>
        <v>12</v>
      </c>
      <c r="U164" s="302" t="s">
        <v>41</v>
      </c>
      <c r="V164" s="302">
        <f t="shared" si="24"/>
        <v>4</v>
      </c>
      <c r="W164" s="302" t="s">
        <v>30</v>
      </c>
      <c r="X164" s="302">
        <v>0</v>
      </c>
      <c r="Y164" s="302">
        <v>0</v>
      </c>
      <c r="Z164" s="302">
        <v>0</v>
      </c>
      <c r="AA164" s="302">
        <v>0</v>
      </c>
      <c r="AB164" s="302">
        <v>0</v>
      </c>
      <c r="AC164" s="302">
        <v>0</v>
      </c>
      <c r="AD164" s="302">
        <v>0</v>
      </c>
      <c r="AE164" s="302"/>
      <c r="AF164" s="303" t="s">
        <v>29</v>
      </c>
      <c r="AG164" s="305">
        <f>VLOOKUP(Master20[[#This Row],[Elevated Priority]],Epriority,2,)</f>
        <v>0</v>
      </c>
      <c r="AH164" s="321">
        <f>IF(Master20[[#This Row],[Status]]="Active",Master20[[#This Row],[Status_Score]],IF(D164="","",R164+H164+T164+V164+AG164+AE164+Master20[[#This Row],[Risk Mitigation]]+Master20[[#This Row],[Master Plan]]+Master20[[#This Row],[Community Request]]+Master20[[#This Row],[Community need]]+Master20[[#This Row],[Offset Aging Inf.]]+Master20[[#This Row],[Energy Savings]]+Master20[[#This Row],[Gen Revenue]]-5))</f>
        <v>141</v>
      </c>
      <c r="AI164" s="302" t="s">
        <v>1043</v>
      </c>
      <c r="AJ164" s="302">
        <v>2020</v>
      </c>
      <c r="AK164" s="302"/>
      <c r="AL164" s="302">
        <v>2020</v>
      </c>
      <c r="AM164" s="302"/>
      <c r="AN164" s="300"/>
      <c r="AO164" s="306"/>
      <c r="AP164" s="306"/>
      <c r="AQ164" s="306"/>
      <c r="AR164" s="306"/>
      <c r="AS164" s="306"/>
      <c r="AT164" s="306"/>
      <c r="AU164" s="306"/>
      <c r="AV164" s="306"/>
      <c r="AW164" s="306"/>
      <c r="AX164" s="306"/>
      <c r="AY164" s="306"/>
      <c r="AZ164" s="306"/>
      <c r="BA164" s="306"/>
      <c r="BB164" s="306"/>
      <c r="BC164" s="306"/>
      <c r="BD164" s="306"/>
      <c r="BE164" s="306"/>
      <c r="BF164" s="306"/>
      <c r="BG164" s="306"/>
      <c r="BH164" s="306"/>
      <c r="BI164" s="306"/>
      <c r="BJ164" s="306"/>
      <c r="BK164" s="306"/>
      <c r="BL164" s="306"/>
      <c r="BM164" s="306"/>
      <c r="BN164" s="306"/>
      <c r="BO164" s="306"/>
    </row>
    <row r="165" spans="1:67" s="298" customFormat="1" ht="30" hidden="1" x14ac:dyDescent="0.25">
      <c r="A165" s="307">
        <f t="shared" si="22"/>
        <v>164</v>
      </c>
      <c r="B165" s="300" t="s">
        <v>67</v>
      </c>
      <c r="C165" s="300" t="s">
        <v>1045</v>
      </c>
      <c r="D165" s="300" t="s">
        <v>425</v>
      </c>
      <c r="E165" s="300" t="s">
        <v>426</v>
      </c>
      <c r="F165" s="300" t="s">
        <v>427</v>
      </c>
      <c r="G165" s="300" t="s">
        <v>832</v>
      </c>
      <c r="H165" s="300">
        <f t="shared" si="26"/>
        <v>100</v>
      </c>
      <c r="I165" s="249"/>
      <c r="J165" s="249"/>
      <c r="K165" s="249">
        <f>Master20[[#This Row],[Initial Budget]]-Master20[[#This Row],[Previously Committed Funds]]</f>
        <v>0</v>
      </c>
      <c r="L165" s="249"/>
      <c r="M165" s="249"/>
      <c r="N165" s="258">
        <f>Master20[[#This Row],[Design $ (Add/Deduct)]]+Master20[[#This Row],[Construction $ (Add/Ded)]]</f>
        <v>0</v>
      </c>
      <c r="O165" s="256">
        <v>275000</v>
      </c>
      <c r="P165" s="301">
        <v>2018</v>
      </c>
      <c r="Q165" s="300" t="s">
        <v>830</v>
      </c>
      <c r="R165" s="301">
        <f t="shared" si="25"/>
        <v>10</v>
      </c>
      <c r="S165" s="302">
        <v>2</v>
      </c>
      <c r="T165" s="299">
        <f t="shared" ref="T165:T185" si="27">VLOOKUP(S165,Department,2,FALSE)</f>
        <v>6</v>
      </c>
      <c r="U165" s="302" t="s">
        <v>45</v>
      </c>
      <c r="V165" s="302">
        <f t="shared" si="24"/>
        <v>32</v>
      </c>
      <c r="W165" s="302" t="s">
        <v>34</v>
      </c>
      <c r="X165" s="302">
        <v>0</v>
      </c>
      <c r="Y165" s="302">
        <v>0</v>
      </c>
      <c r="Z165" s="302">
        <v>0</v>
      </c>
      <c r="AA165" s="302">
        <v>0</v>
      </c>
      <c r="AB165" s="302">
        <v>0</v>
      </c>
      <c r="AC165" s="302">
        <v>0</v>
      </c>
      <c r="AD165" s="302">
        <v>0</v>
      </c>
      <c r="AE165" s="302"/>
      <c r="AF165" s="303" t="s">
        <v>29</v>
      </c>
      <c r="AG165" s="305">
        <f>VLOOKUP(Master20[[#This Row],[Elevated Priority]],Epriority,2,)</f>
        <v>0</v>
      </c>
      <c r="AH165" s="321">
        <f>IF(Master20[[#This Row],[Status]]="Active",Master20[[#This Row],[Status_Score]],IF(D165="","",R165+H165+T165+V165+AG165+AE165+Master20[[#This Row],[Risk Mitigation]]+Master20[[#This Row],[Master Plan]]+Master20[[#This Row],[Community Request]]+Master20[[#This Row],[Community need]]+Master20[[#This Row],[Offset Aging Inf.]]+Master20[[#This Row],[Energy Savings]]+Master20[[#This Row],[Gen Revenue]]-5))</f>
        <v>143</v>
      </c>
      <c r="AI165" s="302"/>
      <c r="AJ165" s="302"/>
      <c r="AK165" s="302"/>
      <c r="AL165" s="302"/>
      <c r="AM165" s="302"/>
      <c r="AN165" s="300"/>
      <c r="AO165" s="306"/>
      <c r="AP165" s="306"/>
      <c r="AQ165" s="306"/>
      <c r="AR165" s="306"/>
      <c r="AS165" s="306"/>
      <c r="AT165" s="306"/>
      <c r="AU165" s="306"/>
      <c r="AV165" s="306"/>
      <c r="AW165" s="306"/>
      <c r="AX165" s="306"/>
      <c r="AY165" s="306"/>
      <c r="AZ165" s="306"/>
      <c r="BA165" s="306"/>
      <c r="BB165" s="306"/>
      <c r="BC165" s="306"/>
      <c r="BD165" s="306"/>
      <c r="BE165" s="306"/>
      <c r="BF165" s="306"/>
      <c r="BG165" s="306"/>
      <c r="BH165" s="306"/>
      <c r="BI165" s="306"/>
      <c r="BJ165" s="306"/>
      <c r="BK165" s="306"/>
      <c r="BL165" s="306"/>
      <c r="BM165" s="306"/>
      <c r="BN165" s="306"/>
      <c r="BO165" s="306"/>
    </row>
    <row r="166" spans="1:67" s="298" customFormat="1" ht="60" hidden="1" x14ac:dyDescent="0.25">
      <c r="A166" s="307">
        <f t="shared" si="22"/>
        <v>165</v>
      </c>
      <c r="B166" s="378" t="s">
        <v>67</v>
      </c>
      <c r="C166" s="300" t="s">
        <v>1045</v>
      </c>
      <c r="D166" s="300" t="s">
        <v>434</v>
      </c>
      <c r="E166" s="300" t="s">
        <v>435</v>
      </c>
      <c r="F166" s="300" t="s">
        <v>436</v>
      </c>
      <c r="G166" s="300" t="s">
        <v>832</v>
      </c>
      <c r="H166" s="300">
        <f t="shared" si="26"/>
        <v>100</v>
      </c>
      <c r="I166" s="249"/>
      <c r="J166" s="249"/>
      <c r="K166" s="249">
        <f>Master20[[#This Row],[Initial Budget]]-Master20[[#This Row],[Previously Committed Funds]]</f>
        <v>0</v>
      </c>
      <c r="L166" s="249"/>
      <c r="M166" s="249"/>
      <c r="N166" s="258">
        <f>Master20[[#This Row],[Design $ (Add/Deduct)]]+Master20[[#This Row],[Construction $ (Add/Ded)]]</f>
        <v>0</v>
      </c>
      <c r="O166" s="256">
        <v>65000</v>
      </c>
      <c r="P166" s="301">
        <v>2018</v>
      </c>
      <c r="Q166" s="300" t="s">
        <v>687</v>
      </c>
      <c r="R166" s="301">
        <f t="shared" si="25"/>
        <v>30</v>
      </c>
      <c r="S166" s="302">
        <v>2</v>
      </c>
      <c r="T166" s="299">
        <f t="shared" si="27"/>
        <v>6</v>
      </c>
      <c r="U166" s="302" t="s">
        <v>43</v>
      </c>
      <c r="V166" s="302">
        <f t="shared" si="24"/>
        <v>16</v>
      </c>
      <c r="W166" s="302" t="s">
        <v>30</v>
      </c>
      <c r="X166" s="302">
        <v>0</v>
      </c>
      <c r="Y166" s="302">
        <v>0</v>
      </c>
      <c r="Z166" s="302">
        <v>0</v>
      </c>
      <c r="AA166" s="302">
        <v>0</v>
      </c>
      <c r="AB166" s="302">
        <v>0</v>
      </c>
      <c r="AC166" s="302">
        <v>0</v>
      </c>
      <c r="AD166" s="302">
        <v>0</v>
      </c>
      <c r="AE166" s="302"/>
      <c r="AF166" s="303" t="s">
        <v>29</v>
      </c>
      <c r="AG166" s="305">
        <f>VLOOKUP(Master20[[#This Row],[Elevated Priority]],Epriority,2,)</f>
        <v>0</v>
      </c>
      <c r="AH166" s="321">
        <f>IF(Master20[[#This Row],[Status]]="Active",Master20[[#This Row],[Status_Score]],IF(D166="","",R166+H166+T166+V166+AG166+AE166+Master20[[#This Row],[Risk Mitigation]]+Master20[[#This Row],[Master Plan]]+Master20[[#This Row],[Community Request]]+Master20[[#This Row],[Community need]]+Master20[[#This Row],[Offset Aging Inf.]]+Master20[[#This Row],[Energy Savings]]+Master20[[#This Row],[Gen Revenue]]-5))</f>
        <v>147</v>
      </c>
      <c r="AI166" s="302"/>
      <c r="AJ166" s="302"/>
      <c r="AK166" s="302"/>
      <c r="AL166" s="302"/>
      <c r="AM166" s="302"/>
      <c r="AN166" s="300"/>
      <c r="AO166" s="306"/>
      <c r="AP166" s="306"/>
      <c r="AQ166" s="306"/>
      <c r="AR166" s="306"/>
      <c r="AS166" s="306"/>
      <c r="AT166" s="306"/>
      <c r="AU166" s="306"/>
      <c r="AV166" s="306"/>
      <c r="AW166" s="306"/>
      <c r="AX166" s="306"/>
      <c r="AY166" s="306"/>
      <c r="AZ166" s="306"/>
      <c r="BA166" s="306"/>
      <c r="BB166" s="306"/>
      <c r="BC166" s="306"/>
      <c r="BD166" s="306"/>
      <c r="BE166" s="306"/>
      <c r="BF166" s="306"/>
      <c r="BG166" s="306"/>
      <c r="BH166" s="306"/>
      <c r="BI166" s="306"/>
      <c r="BJ166" s="306"/>
      <c r="BK166" s="306"/>
      <c r="BL166" s="306"/>
      <c r="BM166" s="306"/>
      <c r="BN166" s="306"/>
      <c r="BO166" s="306"/>
    </row>
    <row r="167" spans="1:67" s="298" customFormat="1" ht="120" hidden="1" x14ac:dyDescent="0.25">
      <c r="A167" s="307">
        <f t="shared" si="22"/>
        <v>166</v>
      </c>
      <c r="B167" s="300" t="s">
        <v>67</v>
      </c>
      <c r="C167" s="300" t="s">
        <v>1045</v>
      </c>
      <c r="D167" s="300" t="s">
        <v>791</v>
      </c>
      <c r="E167" s="300" t="s">
        <v>792</v>
      </c>
      <c r="F167" s="300" t="s">
        <v>900</v>
      </c>
      <c r="G167" s="300" t="s">
        <v>832</v>
      </c>
      <c r="H167" s="300">
        <f t="shared" si="26"/>
        <v>100</v>
      </c>
      <c r="I167" s="249"/>
      <c r="J167" s="249"/>
      <c r="K167" s="249">
        <f>Master20[[#This Row],[Initial Budget]]-Master20[[#This Row],[Previously Committed Funds]]</f>
        <v>0</v>
      </c>
      <c r="L167" s="249">
        <v>45000</v>
      </c>
      <c r="M167" s="249"/>
      <c r="N167" s="258">
        <f>Master20[[#This Row],[Design $ (Add/Deduct)]]+Master20[[#This Row],[Construction $ (Add/Ded)]]</f>
        <v>45000</v>
      </c>
      <c r="O167" s="256">
        <v>235000</v>
      </c>
      <c r="P167" s="301">
        <v>2020</v>
      </c>
      <c r="Q167" s="300" t="s">
        <v>688</v>
      </c>
      <c r="R167" s="301">
        <f t="shared" si="25"/>
        <v>20</v>
      </c>
      <c r="S167" s="302">
        <v>10</v>
      </c>
      <c r="T167" s="299">
        <f t="shared" si="27"/>
        <v>21</v>
      </c>
      <c r="U167" s="302" t="s">
        <v>43</v>
      </c>
      <c r="V167" s="302">
        <f t="shared" si="24"/>
        <v>16</v>
      </c>
      <c r="W167" s="302" t="s">
        <v>30</v>
      </c>
      <c r="X167" s="302">
        <v>0</v>
      </c>
      <c r="Y167" s="302">
        <v>0</v>
      </c>
      <c r="Z167" s="302">
        <v>0</v>
      </c>
      <c r="AA167" s="302">
        <v>0</v>
      </c>
      <c r="AB167" s="302">
        <v>0</v>
      </c>
      <c r="AC167" s="302">
        <v>0</v>
      </c>
      <c r="AD167" s="302">
        <v>0</v>
      </c>
      <c r="AE167" s="302"/>
      <c r="AF167" s="303" t="s">
        <v>29</v>
      </c>
      <c r="AG167" s="305">
        <f>VLOOKUP(Master20[[#This Row],[Elevated Priority]],Epriority,2,)</f>
        <v>0</v>
      </c>
      <c r="AH167" s="321">
        <f>IF(Master20[[#This Row],[Status]]="Active",Master20[[#This Row],[Status_Score]],IF(D167="","",R167+H167+T167+V167+AG167+AE167+Master20[[#This Row],[Risk Mitigation]]+Master20[[#This Row],[Master Plan]]+Master20[[#This Row],[Community Request]]+Master20[[#This Row],[Community need]]+Master20[[#This Row],[Offset Aging Inf.]]+Master20[[#This Row],[Energy Savings]]+Master20[[#This Row],[Gen Revenue]]-5))</f>
        <v>152</v>
      </c>
      <c r="AI167" s="302"/>
      <c r="AJ167" s="302"/>
      <c r="AK167" s="302"/>
      <c r="AL167" s="302"/>
      <c r="AM167" s="302"/>
      <c r="AN167" s="300"/>
      <c r="AO167" s="306"/>
      <c r="AP167" s="306"/>
      <c r="AQ167" s="306"/>
      <c r="AR167" s="306"/>
      <c r="AS167" s="306"/>
      <c r="AT167" s="306"/>
      <c r="AU167" s="306"/>
      <c r="AV167" s="306"/>
      <c r="AW167" s="306"/>
      <c r="AX167" s="306"/>
      <c r="AY167" s="306"/>
      <c r="AZ167" s="306"/>
      <c r="BA167" s="306"/>
      <c r="BB167" s="306"/>
      <c r="BC167" s="306"/>
      <c r="BD167" s="306"/>
      <c r="BE167" s="306"/>
      <c r="BF167" s="306"/>
      <c r="BG167" s="306"/>
      <c r="BH167" s="306"/>
      <c r="BI167" s="306"/>
      <c r="BJ167" s="306"/>
      <c r="BK167" s="306"/>
      <c r="BL167" s="306"/>
      <c r="BM167" s="306"/>
      <c r="BN167" s="306"/>
      <c r="BO167" s="306"/>
    </row>
    <row r="168" spans="1:67" s="298" customFormat="1" ht="45" hidden="1" x14ac:dyDescent="0.25">
      <c r="A168" s="307">
        <f t="shared" si="22"/>
        <v>167</v>
      </c>
      <c r="B168" s="378" t="s">
        <v>67</v>
      </c>
      <c r="C168" s="300" t="s">
        <v>1045</v>
      </c>
      <c r="D168" s="300" t="s">
        <v>778</v>
      </c>
      <c r="E168" s="300" t="s">
        <v>801</v>
      </c>
      <c r="F168" s="300" t="s">
        <v>901</v>
      </c>
      <c r="G168" s="300" t="s">
        <v>832</v>
      </c>
      <c r="H168" s="300">
        <f t="shared" si="26"/>
        <v>100</v>
      </c>
      <c r="I168" s="249"/>
      <c r="J168" s="249"/>
      <c r="K168" s="249">
        <f>Master20[[#This Row],[Initial Budget]]-Master20[[#This Row],[Previously Committed Funds]]</f>
        <v>0</v>
      </c>
      <c r="L168" s="249"/>
      <c r="M168" s="249"/>
      <c r="N168" s="258"/>
      <c r="O168" s="256">
        <v>100000</v>
      </c>
      <c r="P168" s="301">
        <v>2020</v>
      </c>
      <c r="Q168" s="300" t="s">
        <v>688</v>
      </c>
      <c r="R168" s="301">
        <f t="shared" si="25"/>
        <v>20</v>
      </c>
      <c r="S168" s="302">
        <v>10</v>
      </c>
      <c r="T168" s="299">
        <f t="shared" si="27"/>
        <v>21</v>
      </c>
      <c r="U168" s="302" t="s">
        <v>43</v>
      </c>
      <c r="V168" s="302">
        <f t="shared" si="24"/>
        <v>16</v>
      </c>
      <c r="W168" s="302" t="s">
        <v>30</v>
      </c>
      <c r="X168" s="302">
        <v>0</v>
      </c>
      <c r="Y168" s="302">
        <v>0</v>
      </c>
      <c r="Z168" s="302">
        <v>0</v>
      </c>
      <c r="AA168" s="302">
        <v>0</v>
      </c>
      <c r="AB168" s="302">
        <v>0</v>
      </c>
      <c r="AC168" s="302">
        <v>0</v>
      </c>
      <c r="AD168" s="302">
        <v>0</v>
      </c>
      <c r="AE168" s="302"/>
      <c r="AF168" s="303" t="s">
        <v>29</v>
      </c>
      <c r="AG168" s="305">
        <f>VLOOKUP(Master20[[#This Row],[Elevated Priority]],Epriority,2,)</f>
        <v>0</v>
      </c>
      <c r="AH168" s="321">
        <f>IF(Master20[[#This Row],[Status]]="Active",Master20[[#This Row],[Status_Score]],IF(D168="","",R168+H168+T168+V168+AG168+AE168+Master20[[#This Row],[Risk Mitigation]]+Master20[[#This Row],[Master Plan]]+Master20[[#This Row],[Community Request]]+Master20[[#This Row],[Community need]]+Master20[[#This Row],[Offset Aging Inf.]]+Master20[[#This Row],[Energy Savings]]+Master20[[#This Row],[Gen Revenue]]-5))</f>
        <v>152</v>
      </c>
      <c r="AI168" s="302"/>
      <c r="AJ168" s="302"/>
      <c r="AK168" s="302"/>
      <c r="AL168" s="302"/>
      <c r="AM168" s="302"/>
      <c r="AN168" s="300"/>
      <c r="AO168" s="306"/>
      <c r="AP168" s="306"/>
      <c r="AQ168" s="306"/>
      <c r="AR168" s="306"/>
      <c r="AS168" s="306"/>
      <c r="AT168" s="306"/>
      <c r="AU168" s="306"/>
      <c r="AV168" s="306"/>
      <c r="AW168" s="306"/>
      <c r="AX168" s="306"/>
      <c r="AY168" s="306"/>
      <c r="AZ168" s="306"/>
      <c r="BA168" s="306"/>
      <c r="BB168" s="306"/>
      <c r="BC168" s="306"/>
      <c r="BD168" s="306"/>
      <c r="BE168" s="306"/>
      <c r="BF168" s="306"/>
      <c r="BG168" s="306"/>
      <c r="BH168" s="306"/>
      <c r="BI168" s="306"/>
      <c r="BJ168" s="306"/>
      <c r="BK168" s="306"/>
      <c r="BL168" s="306"/>
      <c r="BM168" s="306"/>
      <c r="BN168" s="306"/>
      <c r="BO168" s="306"/>
    </row>
    <row r="169" spans="1:67" s="298" customFormat="1" ht="45" hidden="1" x14ac:dyDescent="0.25">
      <c r="A169" s="307">
        <f t="shared" si="22"/>
        <v>168</v>
      </c>
      <c r="B169" s="300" t="s">
        <v>1217</v>
      </c>
      <c r="C169" s="300" t="s">
        <v>220</v>
      </c>
      <c r="D169" s="300" t="s">
        <v>437</v>
      </c>
      <c r="E169" s="300"/>
      <c r="F169" s="300"/>
      <c r="G169" s="300" t="s">
        <v>832</v>
      </c>
      <c r="H169" s="300">
        <f t="shared" si="26"/>
        <v>100</v>
      </c>
      <c r="I169" s="249"/>
      <c r="J169" s="249"/>
      <c r="K169" s="249">
        <f>Master20[[#This Row],[Initial Budget]]-Master20[[#This Row],[Previously Committed Funds]]</f>
        <v>0</v>
      </c>
      <c r="L169" s="249"/>
      <c r="M169" s="249"/>
      <c r="N169" s="258">
        <f>Master20[[#This Row],[Design $ (Add/Deduct)]]+Master20[[#This Row],[Construction $ (Add/Ded)]]</f>
        <v>0</v>
      </c>
      <c r="O169" s="256">
        <v>40000</v>
      </c>
      <c r="P169" s="301">
        <v>2018</v>
      </c>
      <c r="Q169" s="300" t="s">
        <v>46</v>
      </c>
      <c r="R169" s="301">
        <f t="shared" si="25"/>
        <v>50</v>
      </c>
      <c r="S169" s="302">
        <v>10</v>
      </c>
      <c r="T169" s="299">
        <f t="shared" si="27"/>
        <v>21</v>
      </c>
      <c r="U169" s="302" t="s">
        <v>29</v>
      </c>
      <c r="V169" s="302">
        <f t="shared" si="24"/>
        <v>0</v>
      </c>
      <c r="W169" s="302" t="s">
        <v>30</v>
      </c>
      <c r="X169" s="302">
        <v>0</v>
      </c>
      <c r="Y169" s="302">
        <v>0</v>
      </c>
      <c r="Z169" s="302">
        <v>0</v>
      </c>
      <c r="AA169" s="302">
        <v>0</v>
      </c>
      <c r="AB169" s="302">
        <v>0</v>
      </c>
      <c r="AC169" s="302">
        <v>0</v>
      </c>
      <c r="AD169" s="302">
        <v>0</v>
      </c>
      <c r="AE169" s="302"/>
      <c r="AF169" s="303" t="s">
        <v>29</v>
      </c>
      <c r="AG169" s="305">
        <f>VLOOKUP(Master20[[#This Row],[Elevated Priority]],Epriority,2,)</f>
        <v>0</v>
      </c>
      <c r="AH169" s="321">
        <f>IF(Master20[[#This Row],[Status]]="Active",Master20[[#This Row],[Status_Score]],IF(D169="","",R169+H169+T169+V169+AG169+AE169+Master20[[#This Row],[Risk Mitigation]]+Master20[[#This Row],[Master Plan]]+Master20[[#This Row],[Community Request]]+Master20[[#This Row],[Community need]]+Master20[[#This Row],[Offset Aging Inf.]]+Master20[[#This Row],[Energy Savings]]+Master20[[#This Row],[Gen Revenue]]-5))</f>
        <v>166</v>
      </c>
      <c r="AI169" s="302"/>
      <c r="AJ169" s="302"/>
      <c r="AK169" s="302"/>
      <c r="AL169" s="302"/>
      <c r="AM169" s="302"/>
      <c r="AN169" s="300"/>
      <c r="AO169" s="306"/>
      <c r="AP169" s="306"/>
      <c r="AQ169" s="306"/>
      <c r="AR169" s="306"/>
      <c r="AS169" s="306"/>
      <c r="AT169" s="306"/>
      <c r="AU169" s="306"/>
      <c r="AV169" s="306"/>
      <c r="AW169" s="306"/>
      <c r="AX169" s="306"/>
      <c r="AY169" s="306"/>
      <c r="AZ169" s="306"/>
      <c r="BA169" s="306"/>
      <c r="BB169" s="306"/>
      <c r="BC169" s="306"/>
      <c r="BD169" s="306"/>
      <c r="BE169" s="306"/>
      <c r="BF169" s="306"/>
      <c r="BG169" s="306"/>
      <c r="BH169" s="306"/>
      <c r="BI169" s="306"/>
      <c r="BJ169" s="306"/>
      <c r="BK169" s="306"/>
      <c r="BL169" s="306"/>
      <c r="BM169" s="306"/>
      <c r="BN169" s="306"/>
      <c r="BO169" s="306"/>
    </row>
    <row r="170" spans="1:67" s="298" customFormat="1" ht="75" hidden="1" x14ac:dyDescent="0.25">
      <c r="A170" s="307">
        <f t="shared" si="22"/>
        <v>169</v>
      </c>
      <c r="B170" s="378" t="s">
        <v>67</v>
      </c>
      <c r="C170" s="300" t="s">
        <v>1045</v>
      </c>
      <c r="D170" s="300" t="s">
        <v>419</v>
      </c>
      <c r="E170" s="300" t="s">
        <v>420</v>
      </c>
      <c r="F170" s="300" t="s">
        <v>421</v>
      </c>
      <c r="G170" s="300" t="s">
        <v>832</v>
      </c>
      <c r="H170" s="300">
        <f t="shared" si="26"/>
        <v>100</v>
      </c>
      <c r="I170" s="249"/>
      <c r="J170" s="249"/>
      <c r="K170" s="249">
        <f>Master20[[#This Row],[Initial Budget]]-Master20[[#This Row],[Previously Committed Funds]]</f>
        <v>0</v>
      </c>
      <c r="L170" s="249"/>
      <c r="M170" s="249"/>
      <c r="N170" s="258">
        <f>Master20[[#This Row],[Design $ (Add/Deduct)]]+Master20[[#This Row],[Construction $ (Add/Ded)]]</f>
        <v>0</v>
      </c>
      <c r="O170" s="256">
        <v>100000</v>
      </c>
      <c r="P170" s="301">
        <v>2018</v>
      </c>
      <c r="Q170" s="300" t="s">
        <v>46</v>
      </c>
      <c r="R170" s="301">
        <f t="shared" si="25"/>
        <v>50</v>
      </c>
      <c r="S170" s="302">
        <v>2</v>
      </c>
      <c r="T170" s="299">
        <f t="shared" si="27"/>
        <v>6</v>
      </c>
      <c r="U170" s="302" t="s">
        <v>43</v>
      </c>
      <c r="V170" s="302">
        <f t="shared" si="24"/>
        <v>16</v>
      </c>
      <c r="W170" s="302" t="s">
        <v>34</v>
      </c>
      <c r="X170" s="302">
        <v>0</v>
      </c>
      <c r="Y170" s="302">
        <v>0</v>
      </c>
      <c r="Z170" s="302">
        <v>0</v>
      </c>
      <c r="AA170" s="302">
        <v>0</v>
      </c>
      <c r="AB170" s="302">
        <v>0</v>
      </c>
      <c r="AC170" s="302">
        <v>0</v>
      </c>
      <c r="AD170" s="302">
        <v>0</v>
      </c>
      <c r="AE170" s="302"/>
      <c r="AF170" s="303" t="s">
        <v>29</v>
      </c>
      <c r="AG170" s="305">
        <f>VLOOKUP(Master20[[#This Row],[Elevated Priority]],Epriority,2,)</f>
        <v>0</v>
      </c>
      <c r="AH170" s="321">
        <f>IF(Master20[[#This Row],[Status]]="Active",Master20[[#This Row],[Status_Score]],IF(D170="","",R170+H170+T170+V170+AG170+AE170+Master20[[#This Row],[Risk Mitigation]]+Master20[[#This Row],[Master Plan]]+Master20[[#This Row],[Community Request]]+Master20[[#This Row],[Community need]]+Master20[[#This Row],[Offset Aging Inf.]]+Master20[[#This Row],[Energy Savings]]+Master20[[#This Row],[Gen Revenue]]-5))</f>
        <v>167</v>
      </c>
      <c r="AI170" s="302"/>
      <c r="AJ170" s="302"/>
      <c r="AK170" s="302"/>
      <c r="AL170" s="302"/>
      <c r="AM170" s="302"/>
      <c r="AN170" s="300"/>
      <c r="AO170" s="306"/>
      <c r="AP170" s="306"/>
      <c r="AQ170" s="306"/>
      <c r="AR170" s="306"/>
      <c r="AS170" s="306"/>
      <c r="AT170" s="306"/>
      <c r="AU170" s="306"/>
      <c r="AV170" s="306"/>
      <c r="AW170" s="306"/>
      <c r="AX170" s="306"/>
      <c r="AY170" s="306"/>
      <c r="AZ170" s="306"/>
      <c r="BA170" s="306"/>
      <c r="BB170" s="306"/>
      <c r="BC170" s="306"/>
      <c r="BD170" s="306"/>
      <c r="BE170" s="306"/>
      <c r="BF170" s="306"/>
      <c r="BG170" s="306"/>
      <c r="BH170" s="306"/>
      <c r="BI170" s="306"/>
      <c r="BJ170" s="306"/>
      <c r="BK170" s="306"/>
      <c r="BL170" s="306"/>
      <c r="BM170" s="306"/>
      <c r="BN170" s="306"/>
      <c r="BO170" s="306"/>
    </row>
    <row r="171" spans="1:67" s="298" customFormat="1" ht="75" hidden="1" x14ac:dyDescent="0.25">
      <c r="A171" s="307">
        <f t="shared" si="22"/>
        <v>170</v>
      </c>
      <c r="B171" s="300" t="s">
        <v>67</v>
      </c>
      <c r="C171" s="300" t="s">
        <v>1045</v>
      </c>
      <c r="D171" s="300" t="s">
        <v>531</v>
      </c>
      <c r="E171" s="300" t="s">
        <v>532</v>
      </c>
      <c r="F171" s="300" t="s">
        <v>533</v>
      </c>
      <c r="G171" s="300" t="s">
        <v>832</v>
      </c>
      <c r="H171" s="300">
        <f t="shared" si="26"/>
        <v>100</v>
      </c>
      <c r="I171" s="249"/>
      <c r="J171" s="249"/>
      <c r="K171" s="249">
        <f>Master20[[#This Row],[Initial Budget]]-Master20[[#This Row],[Previously Committed Funds]]</f>
        <v>0</v>
      </c>
      <c r="L171" s="249"/>
      <c r="M171" s="249"/>
      <c r="N171" s="258">
        <f>Master20[[#This Row],[Design $ (Add/Deduct)]]+Master20[[#This Row],[Construction $ (Add/Ded)]]</f>
        <v>0</v>
      </c>
      <c r="O171" s="256">
        <v>2000000</v>
      </c>
      <c r="P171" s="301">
        <v>2018</v>
      </c>
      <c r="Q171" s="300" t="s">
        <v>46</v>
      </c>
      <c r="R171" s="301">
        <f t="shared" si="25"/>
        <v>50</v>
      </c>
      <c r="S171" s="302">
        <v>2</v>
      </c>
      <c r="T171" s="299">
        <f t="shared" si="27"/>
        <v>6</v>
      </c>
      <c r="U171" s="302" t="s">
        <v>43</v>
      </c>
      <c r="V171" s="302">
        <f t="shared" ref="V171:V185" si="28">VLOOKUP(U171,Urgency,2,FALSE)</f>
        <v>16</v>
      </c>
      <c r="W171" s="302" t="s">
        <v>34</v>
      </c>
      <c r="X171" s="302">
        <v>0</v>
      </c>
      <c r="Y171" s="302">
        <v>0</v>
      </c>
      <c r="Z171" s="302">
        <v>0</v>
      </c>
      <c r="AA171" s="302">
        <v>0</v>
      </c>
      <c r="AB171" s="302">
        <v>0</v>
      </c>
      <c r="AC171" s="302">
        <v>0</v>
      </c>
      <c r="AD171" s="302">
        <v>0</v>
      </c>
      <c r="AE171" s="302"/>
      <c r="AF171" s="303" t="s">
        <v>29</v>
      </c>
      <c r="AG171" s="305">
        <f>VLOOKUP(Master20[[#This Row],[Elevated Priority]],Epriority,2,)</f>
        <v>0</v>
      </c>
      <c r="AH171" s="321">
        <f>IF(Master20[[#This Row],[Status]]="Active",Master20[[#This Row],[Status_Score]],IF(D171="","",R171+H171+T171+V171+AG171+AE171+Master20[[#This Row],[Risk Mitigation]]+Master20[[#This Row],[Master Plan]]+Master20[[#This Row],[Community Request]]+Master20[[#This Row],[Community need]]+Master20[[#This Row],[Offset Aging Inf.]]+Master20[[#This Row],[Energy Savings]]+Master20[[#This Row],[Gen Revenue]]-5))</f>
        <v>167</v>
      </c>
      <c r="AI171" s="302"/>
      <c r="AJ171" s="302"/>
      <c r="AK171" s="302"/>
      <c r="AL171" s="302"/>
      <c r="AM171" s="302"/>
      <c r="AN171" s="300"/>
      <c r="AO171" s="306"/>
      <c r="AP171" s="306"/>
      <c r="AQ171" s="306"/>
      <c r="AR171" s="306"/>
      <c r="AS171" s="306"/>
      <c r="AT171" s="306"/>
      <c r="AU171" s="306"/>
      <c r="AV171" s="306"/>
      <c r="AW171" s="306"/>
      <c r="AX171" s="306"/>
      <c r="AY171" s="306"/>
      <c r="AZ171" s="306"/>
      <c r="BA171" s="306"/>
      <c r="BB171" s="306"/>
      <c r="BC171" s="306"/>
      <c r="BD171" s="306"/>
      <c r="BE171" s="306"/>
      <c r="BF171" s="306"/>
      <c r="BG171" s="306"/>
      <c r="BH171" s="306"/>
      <c r="BI171" s="306"/>
      <c r="BJ171" s="306"/>
      <c r="BK171" s="306"/>
      <c r="BL171" s="306"/>
      <c r="BM171" s="306"/>
      <c r="BN171" s="306"/>
      <c r="BO171" s="306"/>
    </row>
    <row r="172" spans="1:67" s="298" customFormat="1" ht="30" hidden="1" x14ac:dyDescent="0.25">
      <c r="A172" s="307">
        <f t="shared" si="22"/>
        <v>171</v>
      </c>
      <c r="B172" s="378" t="s">
        <v>67</v>
      </c>
      <c r="C172" s="300" t="s">
        <v>1045</v>
      </c>
      <c r="D172" s="300" t="s">
        <v>431</v>
      </c>
      <c r="E172" s="300" t="s">
        <v>432</v>
      </c>
      <c r="F172" s="300" t="s">
        <v>433</v>
      </c>
      <c r="G172" s="300" t="s">
        <v>832</v>
      </c>
      <c r="H172" s="300">
        <f t="shared" si="26"/>
        <v>100</v>
      </c>
      <c r="I172" s="249"/>
      <c r="J172" s="249"/>
      <c r="K172" s="249">
        <f>Master20[[#This Row],[Initial Budget]]-Master20[[#This Row],[Previously Committed Funds]]</f>
        <v>0</v>
      </c>
      <c r="L172" s="249"/>
      <c r="M172" s="249"/>
      <c r="N172" s="258">
        <f>Master20[[#This Row],[Design $ (Add/Deduct)]]+Master20[[#This Row],[Construction $ (Add/Ded)]]</f>
        <v>0</v>
      </c>
      <c r="O172" s="256">
        <v>25000</v>
      </c>
      <c r="P172" s="301">
        <v>2018</v>
      </c>
      <c r="Q172" s="300" t="s">
        <v>46</v>
      </c>
      <c r="R172" s="301">
        <f t="shared" si="25"/>
        <v>50</v>
      </c>
      <c r="S172" s="302">
        <v>2</v>
      </c>
      <c r="T172" s="299">
        <f t="shared" si="27"/>
        <v>6</v>
      </c>
      <c r="U172" s="302" t="s">
        <v>43</v>
      </c>
      <c r="V172" s="302">
        <f t="shared" si="28"/>
        <v>16</v>
      </c>
      <c r="W172" s="302" t="s">
        <v>30</v>
      </c>
      <c r="X172" s="302">
        <v>0</v>
      </c>
      <c r="Y172" s="302">
        <v>0</v>
      </c>
      <c r="Z172" s="302">
        <v>0</v>
      </c>
      <c r="AA172" s="302">
        <v>0</v>
      </c>
      <c r="AB172" s="302">
        <v>0</v>
      </c>
      <c r="AC172" s="302">
        <v>0</v>
      </c>
      <c r="AD172" s="302">
        <v>0</v>
      </c>
      <c r="AE172" s="302"/>
      <c r="AF172" s="303" t="s">
        <v>29</v>
      </c>
      <c r="AG172" s="305">
        <f>VLOOKUP(Master20[[#This Row],[Elevated Priority]],Epriority,2,)</f>
        <v>0</v>
      </c>
      <c r="AH172" s="321">
        <f>IF(Master20[[#This Row],[Status]]="Active",Master20[[#This Row],[Status_Score]],IF(D172="","",R172+H172+T172+V172+AG172+AE172+Master20[[#This Row],[Risk Mitigation]]+Master20[[#This Row],[Master Plan]]+Master20[[#This Row],[Community Request]]+Master20[[#This Row],[Community need]]+Master20[[#This Row],[Offset Aging Inf.]]+Master20[[#This Row],[Energy Savings]]+Master20[[#This Row],[Gen Revenue]]-5))</f>
        <v>167</v>
      </c>
      <c r="AI172" s="302"/>
      <c r="AJ172" s="302"/>
      <c r="AK172" s="302"/>
      <c r="AL172" s="302"/>
      <c r="AM172" s="302"/>
      <c r="AN172" s="300"/>
      <c r="AO172" s="306"/>
      <c r="AP172" s="306"/>
      <c r="AQ172" s="306"/>
      <c r="AR172" s="306"/>
      <c r="AS172" s="306"/>
      <c r="AT172" s="306"/>
      <c r="AU172" s="306"/>
      <c r="AV172" s="306"/>
      <c r="AW172" s="306"/>
      <c r="AX172" s="306"/>
      <c r="AY172" s="306"/>
      <c r="AZ172" s="306"/>
      <c r="BA172" s="306"/>
      <c r="BB172" s="306"/>
      <c r="BC172" s="306"/>
      <c r="BD172" s="306"/>
      <c r="BE172" s="306"/>
      <c r="BF172" s="306"/>
      <c r="BG172" s="306"/>
      <c r="BH172" s="306"/>
      <c r="BI172" s="306"/>
      <c r="BJ172" s="306"/>
      <c r="BK172" s="306"/>
      <c r="BL172" s="306"/>
      <c r="BM172" s="306"/>
      <c r="BN172" s="306"/>
      <c r="BO172" s="306"/>
    </row>
    <row r="173" spans="1:67" s="298" customFormat="1" ht="30" hidden="1" x14ac:dyDescent="0.25">
      <c r="A173" s="307">
        <f t="shared" si="22"/>
        <v>172</v>
      </c>
      <c r="B173" s="300" t="s">
        <v>67</v>
      </c>
      <c r="C173" s="300" t="s">
        <v>1045</v>
      </c>
      <c r="D173" s="300" t="s">
        <v>621</v>
      </c>
      <c r="E173" s="300" t="s">
        <v>622</v>
      </c>
      <c r="F173" s="300" t="s">
        <v>623</v>
      </c>
      <c r="G173" s="300" t="s">
        <v>832</v>
      </c>
      <c r="H173" s="300">
        <f t="shared" si="26"/>
        <v>100</v>
      </c>
      <c r="I173" s="249"/>
      <c r="J173" s="249"/>
      <c r="K173" s="249">
        <f>Master20[[#This Row],[Initial Budget]]-Master20[[#This Row],[Previously Committed Funds]]</f>
        <v>0</v>
      </c>
      <c r="L173" s="249"/>
      <c r="M173" s="249"/>
      <c r="N173" s="258">
        <f>Master20[[#This Row],[Design $ (Add/Deduct)]]+Master20[[#This Row],[Construction $ (Add/Ded)]]</f>
        <v>0</v>
      </c>
      <c r="O173" s="256">
        <v>400000</v>
      </c>
      <c r="P173" s="301">
        <v>2019</v>
      </c>
      <c r="Q173" s="300" t="s">
        <v>46</v>
      </c>
      <c r="R173" s="301">
        <f t="shared" ref="R173:R185" si="29">VLOOKUP(Q173,Importance,2,FALSE)</f>
        <v>50</v>
      </c>
      <c r="S173" s="302">
        <v>7</v>
      </c>
      <c r="T173" s="299">
        <f t="shared" si="27"/>
        <v>20</v>
      </c>
      <c r="U173" s="302" t="s">
        <v>41</v>
      </c>
      <c r="V173" s="302">
        <f t="shared" si="28"/>
        <v>4</v>
      </c>
      <c r="W173" s="302" t="s">
        <v>34</v>
      </c>
      <c r="X173" s="302">
        <v>0</v>
      </c>
      <c r="Y173" s="302">
        <v>0</v>
      </c>
      <c r="Z173" s="302">
        <v>0</v>
      </c>
      <c r="AA173" s="302">
        <v>0</v>
      </c>
      <c r="AB173" s="302">
        <v>0</v>
      </c>
      <c r="AC173" s="302">
        <v>0</v>
      </c>
      <c r="AD173" s="302">
        <v>0</v>
      </c>
      <c r="AE173" s="302"/>
      <c r="AF173" s="303" t="s">
        <v>29</v>
      </c>
      <c r="AG173" s="305">
        <f>VLOOKUP(Master20[[#This Row],[Elevated Priority]],Epriority,2,)</f>
        <v>0</v>
      </c>
      <c r="AH173" s="321">
        <f>IF(Master20[[#This Row],[Status]]="Active",Master20[[#This Row],[Status_Score]],IF(D173="","",R173+H173+T173+V173+AG173+AE173+Master20[[#This Row],[Risk Mitigation]]+Master20[[#This Row],[Master Plan]]+Master20[[#This Row],[Community Request]]+Master20[[#This Row],[Community need]]+Master20[[#This Row],[Offset Aging Inf.]]+Master20[[#This Row],[Energy Savings]]+Master20[[#This Row],[Gen Revenue]]-5))</f>
        <v>169</v>
      </c>
      <c r="AI173" s="302"/>
      <c r="AJ173" s="302"/>
      <c r="AK173" s="302"/>
      <c r="AL173" s="302"/>
      <c r="AM173" s="302"/>
      <c r="AN173" s="300"/>
      <c r="AO173" s="306"/>
      <c r="AP173" s="306"/>
      <c r="AQ173" s="306"/>
      <c r="AR173" s="306"/>
      <c r="AS173" s="306"/>
      <c r="AT173" s="306"/>
      <c r="AU173" s="306"/>
      <c r="AV173" s="306"/>
      <c r="AW173" s="306"/>
      <c r="AX173" s="306"/>
      <c r="AY173" s="306"/>
      <c r="AZ173" s="306"/>
      <c r="BA173" s="306"/>
      <c r="BB173" s="306"/>
      <c r="BC173" s="306"/>
      <c r="BD173" s="306"/>
      <c r="BE173" s="306"/>
      <c r="BF173" s="306"/>
      <c r="BG173" s="306"/>
      <c r="BH173" s="306"/>
      <c r="BI173" s="306"/>
      <c r="BJ173" s="306"/>
      <c r="BK173" s="306"/>
      <c r="BL173" s="306"/>
      <c r="BM173" s="306"/>
      <c r="BN173" s="306"/>
      <c r="BO173" s="306"/>
    </row>
    <row r="174" spans="1:67" s="298" customFormat="1" ht="30" hidden="1" x14ac:dyDescent="0.25">
      <c r="A174" s="307">
        <f t="shared" si="22"/>
        <v>173</v>
      </c>
      <c r="B174" s="378" t="s">
        <v>67</v>
      </c>
      <c r="C174" s="300" t="s">
        <v>1045</v>
      </c>
      <c r="D174" s="300" t="s">
        <v>618</v>
      </c>
      <c r="E174" s="300" t="s">
        <v>619</v>
      </c>
      <c r="F174" s="300" t="s">
        <v>620</v>
      </c>
      <c r="G174" s="300" t="s">
        <v>832</v>
      </c>
      <c r="H174" s="300">
        <f t="shared" si="26"/>
        <v>100</v>
      </c>
      <c r="I174" s="249"/>
      <c r="J174" s="249"/>
      <c r="K174" s="249">
        <f>Master20[[#This Row],[Initial Budget]]-Master20[[#This Row],[Previously Committed Funds]]</f>
        <v>0</v>
      </c>
      <c r="L174" s="249"/>
      <c r="M174" s="249"/>
      <c r="N174" s="258">
        <f>Master20[[#This Row],[Design $ (Add/Deduct)]]+Master20[[#This Row],[Construction $ (Add/Ded)]]</f>
        <v>0</v>
      </c>
      <c r="O174" s="256">
        <v>500000</v>
      </c>
      <c r="P174" s="301">
        <v>2019</v>
      </c>
      <c r="Q174" s="300" t="s">
        <v>46</v>
      </c>
      <c r="R174" s="301">
        <f t="shared" si="29"/>
        <v>50</v>
      </c>
      <c r="S174" s="302">
        <v>5</v>
      </c>
      <c r="T174" s="299">
        <f t="shared" si="27"/>
        <v>15</v>
      </c>
      <c r="U174" s="302" t="s">
        <v>43</v>
      </c>
      <c r="V174" s="302">
        <f t="shared" si="28"/>
        <v>16</v>
      </c>
      <c r="W174" s="302" t="s">
        <v>34</v>
      </c>
      <c r="X174" s="302">
        <v>0</v>
      </c>
      <c r="Y174" s="302">
        <v>0</v>
      </c>
      <c r="Z174" s="302">
        <v>0</v>
      </c>
      <c r="AA174" s="302">
        <v>0</v>
      </c>
      <c r="AB174" s="302">
        <v>0</v>
      </c>
      <c r="AC174" s="302">
        <v>0</v>
      </c>
      <c r="AD174" s="302">
        <v>0</v>
      </c>
      <c r="AE174" s="302"/>
      <c r="AF174" s="303" t="s">
        <v>29</v>
      </c>
      <c r="AG174" s="305">
        <f>VLOOKUP(Master20[[#This Row],[Elevated Priority]],Epriority,2,)</f>
        <v>0</v>
      </c>
      <c r="AH174" s="321">
        <f>IF(Master20[[#This Row],[Status]]="Active",Master20[[#This Row],[Status_Score]],IF(D174="","",R174+H174+T174+V174+AG174+AE174+Master20[[#This Row],[Risk Mitigation]]+Master20[[#This Row],[Master Plan]]+Master20[[#This Row],[Community Request]]+Master20[[#This Row],[Community need]]+Master20[[#This Row],[Offset Aging Inf.]]+Master20[[#This Row],[Energy Savings]]+Master20[[#This Row],[Gen Revenue]]-5))</f>
        <v>176</v>
      </c>
      <c r="AI174" s="302"/>
      <c r="AJ174" s="302"/>
      <c r="AK174" s="302"/>
      <c r="AL174" s="302"/>
      <c r="AM174" s="302"/>
      <c r="AN174" s="300"/>
      <c r="AO174" s="306"/>
      <c r="AP174" s="306"/>
      <c r="AQ174" s="306"/>
      <c r="AR174" s="306"/>
      <c r="AS174" s="306"/>
      <c r="AT174" s="306"/>
      <c r="AU174" s="306"/>
      <c r="AV174" s="306"/>
      <c r="AW174" s="306"/>
      <c r="AX174" s="306"/>
      <c r="AY174" s="306"/>
      <c r="AZ174" s="306"/>
      <c r="BA174" s="306"/>
      <c r="BB174" s="306"/>
      <c r="BC174" s="306"/>
      <c r="BD174" s="306"/>
      <c r="BE174" s="306"/>
      <c r="BF174" s="306"/>
      <c r="BG174" s="306"/>
      <c r="BH174" s="306"/>
      <c r="BI174" s="306"/>
      <c r="BJ174" s="306"/>
      <c r="BK174" s="306"/>
      <c r="BL174" s="306"/>
      <c r="BM174" s="306"/>
      <c r="BN174" s="306"/>
      <c r="BO174" s="306"/>
    </row>
    <row r="175" spans="1:67" s="298" customFormat="1" ht="75" hidden="1" x14ac:dyDescent="0.25">
      <c r="A175" s="307">
        <f t="shared" si="22"/>
        <v>174</v>
      </c>
      <c r="B175" s="300" t="s">
        <v>67</v>
      </c>
      <c r="C175" s="300" t="s">
        <v>1045</v>
      </c>
      <c r="D175" s="300" t="s">
        <v>788</v>
      </c>
      <c r="E175" s="300" t="s">
        <v>789</v>
      </c>
      <c r="F175" s="300" t="s">
        <v>790</v>
      </c>
      <c r="G175" s="300" t="s">
        <v>832</v>
      </c>
      <c r="H175" s="300">
        <f t="shared" si="26"/>
        <v>100</v>
      </c>
      <c r="I175" s="249"/>
      <c r="J175" s="249"/>
      <c r="K175" s="249">
        <f>Master20[[#This Row],[Initial Budget]]-Master20[[#This Row],[Previously Committed Funds]]</f>
        <v>0</v>
      </c>
      <c r="L175" s="249"/>
      <c r="M175" s="249"/>
      <c r="N175" s="258">
        <f>Master20[[#This Row],[Design $ (Add/Deduct)]]+Master20[[#This Row],[Construction $ (Add/Ded)]]</f>
        <v>0</v>
      </c>
      <c r="O175" s="256">
        <v>60000</v>
      </c>
      <c r="P175" s="301">
        <v>2020</v>
      </c>
      <c r="Q175" s="300" t="s">
        <v>686</v>
      </c>
      <c r="R175" s="301">
        <f t="shared" si="29"/>
        <v>60</v>
      </c>
      <c r="S175" s="302">
        <v>10</v>
      </c>
      <c r="T175" s="299">
        <f t="shared" si="27"/>
        <v>21</v>
      </c>
      <c r="U175" s="302" t="s">
        <v>41</v>
      </c>
      <c r="V175" s="302">
        <f t="shared" si="28"/>
        <v>4</v>
      </c>
      <c r="W175" s="302" t="s">
        <v>30</v>
      </c>
      <c r="X175" s="302">
        <v>0</v>
      </c>
      <c r="Y175" s="302">
        <v>0</v>
      </c>
      <c r="Z175" s="302">
        <v>0</v>
      </c>
      <c r="AA175" s="302">
        <v>0</v>
      </c>
      <c r="AB175" s="302">
        <v>0</v>
      </c>
      <c r="AC175" s="302">
        <v>0</v>
      </c>
      <c r="AD175" s="302">
        <v>0</v>
      </c>
      <c r="AE175" s="302"/>
      <c r="AF175" s="303" t="s">
        <v>29</v>
      </c>
      <c r="AG175" s="305">
        <f>VLOOKUP(Master20[[#This Row],[Elevated Priority]],Epriority,2,)</f>
        <v>0</v>
      </c>
      <c r="AH175" s="321">
        <f>IF(Master20[[#This Row],[Status]]="Active",Master20[[#This Row],[Status_Score]],IF(D175="","",R175+H175+T175+V175+AG175+AE175+Master20[[#This Row],[Risk Mitigation]]+Master20[[#This Row],[Master Plan]]+Master20[[#This Row],[Community Request]]+Master20[[#This Row],[Community need]]+Master20[[#This Row],[Offset Aging Inf.]]+Master20[[#This Row],[Energy Savings]]+Master20[[#This Row],[Gen Revenue]]-5))</f>
        <v>180</v>
      </c>
      <c r="AI175" s="302"/>
      <c r="AJ175" s="302"/>
      <c r="AK175" s="302"/>
      <c r="AL175" s="302"/>
      <c r="AM175" s="302"/>
      <c r="AN175" s="300"/>
      <c r="AO175" s="306"/>
      <c r="AP175" s="306"/>
      <c r="AQ175" s="306"/>
      <c r="AR175" s="306"/>
      <c r="AS175" s="306"/>
      <c r="AT175" s="306"/>
      <c r="AU175" s="306"/>
      <c r="AV175" s="306"/>
      <c r="AW175" s="306"/>
      <c r="AX175" s="306"/>
      <c r="AY175" s="306"/>
      <c r="AZ175" s="306"/>
      <c r="BA175" s="306"/>
      <c r="BB175" s="306"/>
      <c r="BC175" s="306"/>
      <c r="BD175" s="306"/>
      <c r="BE175" s="306"/>
      <c r="BF175" s="306"/>
      <c r="BG175" s="306"/>
      <c r="BH175" s="306"/>
      <c r="BI175" s="306"/>
      <c r="BJ175" s="306"/>
      <c r="BK175" s="306"/>
      <c r="BL175" s="306"/>
      <c r="BM175" s="306"/>
      <c r="BN175" s="306"/>
      <c r="BO175" s="306"/>
    </row>
    <row r="176" spans="1:67" s="298" customFormat="1" hidden="1" x14ac:dyDescent="0.25">
      <c r="A176" s="307">
        <f t="shared" si="22"/>
        <v>175</v>
      </c>
      <c r="B176" s="378" t="s">
        <v>70</v>
      </c>
      <c r="C176" s="300" t="s">
        <v>1045</v>
      </c>
      <c r="D176" s="300" t="s">
        <v>1001</v>
      </c>
      <c r="E176" s="300" t="s">
        <v>859</v>
      </c>
      <c r="F176" s="300" t="s">
        <v>190</v>
      </c>
      <c r="G176" s="300" t="s">
        <v>1003</v>
      </c>
      <c r="H176" s="300">
        <f t="shared" si="26"/>
        <v>200</v>
      </c>
      <c r="I176" s="249"/>
      <c r="J176" s="249"/>
      <c r="K176" s="249">
        <f>Master20[[#This Row],[Initial Budget]]-Master20[[#This Row],[Previously Committed Funds]]</f>
        <v>0</v>
      </c>
      <c r="L176" s="249"/>
      <c r="M176" s="249"/>
      <c r="N176" s="258">
        <f>Master20[[#This Row],[Design $ (Add/Deduct)]]+Master20[[#This Row],[Construction $ (Add/Ded)]]</f>
        <v>0</v>
      </c>
      <c r="O176" s="256">
        <v>150000</v>
      </c>
      <c r="P176" s="301">
        <v>2018</v>
      </c>
      <c r="Q176" s="300" t="s">
        <v>688</v>
      </c>
      <c r="R176" s="301">
        <f t="shared" si="29"/>
        <v>20</v>
      </c>
      <c r="S176" s="302" t="s">
        <v>29</v>
      </c>
      <c r="T176" s="299">
        <f t="shared" si="27"/>
        <v>0</v>
      </c>
      <c r="U176" s="302" t="s">
        <v>41</v>
      </c>
      <c r="V176" s="302">
        <f t="shared" si="28"/>
        <v>4</v>
      </c>
      <c r="W176" s="302" t="s">
        <v>30</v>
      </c>
      <c r="X176" s="302">
        <v>0</v>
      </c>
      <c r="Y176" s="302">
        <v>0</v>
      </c>
      <c r="Z176" s="302">
        <v>0</v>
      </c>
      <c r="AA176" s="302">
        <v>0</v>
      </c>
      <c r="AB176" s="302">
        <v>0</v>
      </c>
      <c r="AC176" s="302">
        <v>0</v>
      </c>
      <c r="AD176" s="302">
        <v>0</v>
      </c>
      <c r="AE176" s="302"/>
      <c r="AF176" s="303" t="s">
        <v>29</v>
      </c>
      <c r="AG176" s="305">
        <f>VLOOKUP(Master20[[#This Row],[Elevated Priority]],Epriority,2,)</f>
        <v>0</v>
      </c>
      <c r="AH176" s="321">
        <f>IF(Master20[[#This Row],[Status]]="Active",Master20[[#This Row],[Status_Score]],IF(D176="","",R176+H176+T176+V176+AG176+AE176+Master20[[#This Row],[Risk Mitigation]]+Master20[[#This Row],[Master Plan]]+Master20[[#This Row],[Community Request]]+Master20[[#This Row],[Community need]]+Master20[[#This Row],[Offset Aging Inf.]]+Master20[[#This Row],[Energy Savings]]+Master20[[#This Row],[Gen Revenue]]-5))</f>
        <v>219</v>
      </c>
      <c r="AI176" s="302"/>
      <c r="AJ176" s="302">
        <v>2020</v>
      </c>
      <c r="AK176" s="302">
        <v>2021</v>
      </c>
      <c r="AL176" s="302">
        <v>2020</v>
      </c>
      <c r="AM176" s="302">
        <v>2021</v>
      </c>
      <c r="AN176" s="300" t="s">
        <v>978</v>
      </c>
      <c r="AO176" s="306"/>
      <c r="AP176" s="306"/>
      <c r="AQ176" s="306"/>
      <c r="AR176" s="306"/>
      <c r="AS176" s="306"/>
      <c r="AT176" s="306"/>
      <c r="AU176" s="306"/>
      <c r="AV176" s="306"/>
      <c r="AW176" s="306"/>
      <c r="AX176" s="306"/>
      <c r="AY176" s="306"/>
      <c r="AZ176" s="306"/>
      <c r="BA176" s="306"/>
      <c r="BB176" s="306"/>
      <c r="BC176" s="306"/>
      <c r="BD176" s="306"/>
      <c r="BE176" s="306"/>
      <c r="BF176" s="306"/>
      <c r="BG176" s="306"/>
      <c r="BH176" s="306"/>
      <c r="BI176" s="306"/>
      <c r="BJ176" s="306"/>
      <c r="BK176" s="306"/>
      <c r="BL176" s="306"/>
      <c r="BM176" s="306"/>
      <c r="BN176" s="306"/>
      <c r="BO176" s="306"/>
    </row>
    <row r="177" spans="1:67" s="298" customFormat="1" ht="90" hidden="1" x14ac:dyDescent="0.25">
      <c r="A177" s="307">
        <f t="shared" si="22"/>
        <v>176</v>
      </c>
      <c r="B177" s="300" t="s">
        <v>67</v>
      </c>
      <c r="C177" s="300" t="s">
        <v>73</v>
      </c>
      <c r="D177" s="300" t="s">
        <v>257</v>
      </c>
      <c r="E177" s="300" t="s">
        <v>258</v>
      </c>
      <c r="F177" s="300" t="s">
        <v>888</v>
      </c>
      <c r="G177" s="300" t="s">
        <v>1003</v>
      </c>
      <c r="H177" s="300">
        <f t="shared" si="26"/>
        <v>200</v>
      </c>
      <c r="I177" s="249"/>
      <c r="J177" s="249"/>
      <c r="K177" s="249">
        <f>Master20[[#This Row],[Initial Budget]]-Master20[[#This Row],[Previously Committed Funds]]</f>
        <v>0</v>
      </c>
      <c r="L177" s="249"/>
      <c r="M177" s="249"/>
      <c r="N177" s="258">
        <f>Master20[[#This Row],[Design $ (Add/Deduct)]]+Master20[[#This Row],[Construction $ (Add/Ded)]]</f>
        <v>0</v>
      </c>
      <c r="O177" s="256">
        <v>35000</v>
      </c>
      <c r="P177" s="301">
        <v>2018</v>
      </c>
      <c r="Q177" s="300" t="s">
        <v>688</v>
      </c>
      <c r="R177" s="301">
        <f t="shared" si="29"/>
        <v>20</v>
      </c>
      <c r="S177" s="302">
        <v>1</v>
      </c>
      <c r="T177" s="299">
        <f t="shared" si="27"/>
        <v>3</v>
      </c>
      <c r="U177" s="302" t="s">
        <v>41</v>
      </c>
      <c r="V177" s="302">
        <f t="shared" si="28"/>
        <v>4</v>
      </c>
      <c r="W177" s="302" t="s">
        <v>30</v>
      </c>
      <c r="X177" s="302">
        <v>0</v>
      </c>
      <c r="Y177" s="302">
        <v>0</v>
      </c>
      <c r="Z177" s="302">
        <v>0</v>
      </c>
      <c r="AA177" s="302">
        <v>0</v>
      </c>
      <c r="AB177" s="302">
        <v>0</v>
      </c>
      <c r="AC177" s="302">
        <v>0</v>
      </c>
      <c r="AD177" s="302">
        <v>0</v>
      </c>
      <c r="AE177" s="302"/>
      <c r="AF177" s="303" t="s">
        <v>29</v>
      </c>
      <c r="AG177" s="305">
        <f>VLOOKUP(Master20[[#This Row],[Elevated Priority]],Epriority,2,)</f>
        <v>0</v>
      </c>
      <c r="AH177" s="321">
        <f>IF(Master20[[#This Row],[Status]]="Active",Master20[[#This Row],[Status_Score]],IF(D177="","",R177+H177+T177+V177+AG177+AE177+Master20[[#This Row],[Risk Mitigation]]+Master20[[#This Row],[Master Plan]]+Master20[[#This Row],[Community Request]]+Master20[[#This Row],[Community need]]+Master20[[#This Row],[Offset Aging Inf.]]+Master20[[#This Row],[Energy Savings]]+Master20[[#This Row],[Gen Revenue]]-5))</f>
        <v>222</v>
      </c>
      <c r="AI177" s="302"/>
      <c r="AJ177" s="302">
        <v>2020</v>
      </c>
      <c r="AK177" s="302">
        <v>2021</v>
      </c>
      <c r="AL177" s="302">
        <v>2020</v>
      </c>
      <c r="AM177" s="302">
        <v>2021</v>
      </c>
      <c r="AN177" s="300" t="s">
        <v>934</v>
      </c>
      <c r="AO177" s="306"/>
      <c r="AP177" s="306"/>
      <c r="AQ177" s="306"/>
      <c r="AR177" s="306"/>
      <c r="AS177" s="306"/>
      <c r="AT177" s="306"/>
      <c r="AU177" s="306"/>
      <c r="AV177" s="306"/>
      <c r="AW177" s="306"/>
      <c r="AX177" s="306"/>
      <c r="AY177" s="306"/>
      <c r="AZ177" s="306"/>
      <c r="BA177" s="306"/>
      <c r="BB177" s="306"/>
      <c r="BC177" s="306"/>
      <c r="BD177" s="306"/>
      <c r="BE177" s="306"/>
      <c r="BF177" s="306"/>
      <c r="BG177" s="306"/>
      <c r="BH177" s="306"/>
      <c r="BI177" s="306"/>
      <c r="BJ177" s="306"/>
      <c r="BK177" s="306"/>
      <c r="BL177" s="306"/>
      <c r="BM177" s="306"/>
      <c r="BN177" s="306"/>
      <c r="BO177" s="306"/>
    </row>
    <row r="178" spans="1:67" s="298" customFormat="1" ht="30" hidden="1" x14ac:dyDescent="0.25">
      <c r="A178" s="307">
        <f t="shared" si="22"/>
        <v>177</v>
      </c>
      <c r="B178" s="378" t="s">
        <v>1200</v>
      </c>
      <c r="C178" s="300" t="s">
        <v>1045</v>
      </c>
      <c r="D178" s="300" t="s">
        <v>1002</v>
      </c>
      <c r="E178" s="300" t="s">
        <v>886</v>
      </c>
      <c r="F178" s="300" t="s">
        <v>809</v>
      </c>
      <c r="G178" s="300" t="s">
        <v>1003</v>
      </c>
      <c r="H178" s="300">
        <f t="shared" si="26"/>
        <v>200</v>
      </c>
      <c r="I178" s="249"/>
      <c r="J178" s="249"/>
      <c r="K178" s="249">
        <f>Master20[[#This Row],[Initial Budget]]-Master20[[#This Row],[Previously Committed Funds]]</f>
        <v>0</v>
      </c>
      <c r="L178" s="249">
        <v>40000</v>
      </c>
      <c r="M178" s="249"/>
      <c r="N178" s="258">
        <f>Master20[[#This Row],[Design $ (Add/Deduct)]]+Master20[[#This Row],[Construction $ (Add/Ded)]]</f>
        <v>40000</v>
      </c>
      <c r="O178" s="256">
        <v>350000</v>
      </c>
      <c r="P178" s="301">
        <v>2020</v>
      </c>
      <c r="Q178" s="300" t="s">
        <v>688</v>
      </c>
      <c r="R178" s="301">
        <f t="shared" si="29"/>
        <v>20</v>
      </c>
      <c r="S178" s="302">
        <v>1</v>
      </c>
      <c r="T178" s="299">
        <f t="shared" si="27"/>
        <v>3</v>
      </c>
      <c r="U178" s="302" t="s">
        <v>41</v>
      </c>
      <c r="V178" s="302">
        <f t="shared" si="28"/>
        <v>4</v>
      </c>
      <c r="W178" s="302" t="s">
        <v>30</v>
      </c>
      <c r="X178" s="302">
        <v>0</v>
      </c>
      <c r="Y178" s="302">
        <v>0</v>
      </c>
      <c r="Z178" s="302">
        <v>0</v>
      </c>
      <c r="AA178" s="302">
        <v>0</v>
      </c>
      <c r="AB178" s="302">
        <v>0</v>
      </c>
      <c r="AC178" s="302">
        <v>0</v>
      </c>
      <c r="AD178" s="302">
        <v>0</v>
      </c>
      <c r="AE178" s="302"/>
      <c r="AF178" s="303" t="s">
        <v>29</v>
      </c>
      <c r="AG178" s="305">
        <f>VLOOKUP(Master20[[#This Row],[Elevated Priority]],Epriority,2,)</f>
        <v>0</v>
      </c>
      <c r="AH178" s="321">
        <f>IF(Master20[[#This Row],[Status]]="Active",Master20[[#This Row],[Status_Score]],IF(D178="","",R178+H178+T178+V178+AG178+AE178+Master20[[#This Row],[Risk Mitigation]]+Master20[[#This Row],[Master Plan]]+Master20[[#This Row],[Community Request]]+Master20[[#This Row],[Community need]]+Master20[[#This Row],[Offset Aging Inf.]]+Master20[[#This Row],[Energy Savings]]+Master20[[#This Row],[Gen Revenue]]-5))</f>
        <v>222</v>
      </c>
      <c r="AI178" s="302"/>
      <c r="AJ178" s="302">
        <v>2020</v>
      </c>
      <c r="AK178" s="302">
        <v>2021</v>
      </c>
      <c r="AL178" s="302">
        <v>2020</v>
      </c>
      <c r="AM178" s="302">
        <v>2021</v>
      </c>
      <c r="AN178" s="300" t="s">
        <v>975</v>
      </c>
      <c r="AO178" s="306"/>
      <c r="AP178" s="306"/>
      <c r="AQ178" s="306"/>
      <c r="AR178" s="306"/>
      <c r="AS178" s="306"/>
      <c r="AT178" s="306"/>
      <c r="AU178" s="306"/>
      <c r="AV178" s="306"/>
      <c r="AW178" s="306"/>
      <c r="AX178" s="306"/>
      <c r="AY178" s="306"/>
      <c r="AZ178" s="306"/>
      <c r="BA178" s="306"/>
      <c r="BB178" s="306"/>
      <c r="BC178" s="306"/>
      <c r="BD178" s="306"/>
      <c r="BE178" s="306"/>
      <c r="BF178" s="306"/>
      <c r="BG178" s="306"/>
      <c r="BH178" s="306"/>
      <c r="BI178" s="306"/>
      <c r="BJ178" s="306"/>
      <c r="BK178" s="306"/>
      <c r="BL178" s="306"/>
      <c r="BM178" s="306"/>
      <c r="BN178" s="306"/>
      <c r="BO178" s="306"/>
    </row>
    <row r="179" spans="1:67" s="298" customFormat="1" ht="30" hidden="1" x14ac:dyDescent="0.25">
      <c r="A179" s="307">
        <f t="shared" si="22"/>
        <v>178</v>
      </c>
      <c r="B179" s="300" t="s">
        <v>1207</v>
      </c>
      <c r="C179" s="300" t="s">
        <v>72</v>
      </c>
      <c r="D179" s="300" t="s">
        <v>169</v>
      </c>
      <c r="E179" s="300" t="s">
        <v>889</v>
      </c>
      <c r="F179" s="300" t="s">
        <v>171</v>
      </c>
      <c r="G179" s="300" t="s">
        <v>1003</v>
      </c>
      <c r="H179" s="300">
        <f t="shared" si="26"/>
        <v>200</v>
      </c>
      <c r="I179" s="249"/>
      <c r="J179" s="249"/>
      <c r="K179" s="249">
        <f>Master20[[#This Row],[Initial Budget]]-Master20[[#This Row],[Previously Committed Funds]]</f>
        <v>0</v>
      </c>
      <c r="L179" s="249"/>
      <c r="M179" s="249"/>
      <c r="N179" s="258">
        <f>Master20[[#This Row],[Design $ (Add/Deduct)]]+Master20[[#This Row],[Construction $ (Add/Ded)]]</f>
        <v>0</v>
      </c>
      <c r="O179" s="256">
        <v>500000</v>
      </c>
      <c r="P179" s="301">
        <v>2018</v>
      </c>
      <c r="Q179" s="300" t="s">
        <v>688</v>
      </c>
      <c r="R179" s="301">
        <f t="shared" si="29"/>
        <v>20</v>
      </c>
      <c r="S179" s="302">
        <v>2</v>
      </c>
      <c r="T179" s="299">
        <f t="shared" si="27"/>
        <v>6</v>
      </c>
      <c r="U179" s="302" t="s">
        <v>41</v>
      </c>
      <c r="V179" s="302">
        <f t="shared" si="28"/>
        <v>4</v>
      </c>
      <c r="W179" s="302" t="s">
        <v>30</v>
      </c>
      <c r="X179" s="302">
        <v>0</v>
      </c>
      <c r="Y179" s="302">
        <v>0</v>
      </c>
      <c r="Z179" s="302">
        <v>0</v>
      </c>
      <c r="AA179" s="302">
        <v>0</v>
      </c>
      <c r="AB179" s="302">
        <v>0</v>
      </c>
      <c r="AC179" s="302">
        <v>0</v>
      </c>
      <c r="AD179" s="302">
        <v>0</v>
      </c>
      <c r="AE179" s="302"/>
      <c r="AF179" s="303" t="s">
        <v>29</v>
      </c>
      <c r="AG179" s="305">
        <f>VLOOKUP(Master20[[#This Row],[Elevated Priority]],Epriority,2,)</f>
        <v>0</v>
      </c>
      <c r="AH179" s="321">
        <f>IF(Master20[[#This Row],[Status]]="Active",Master20[[#This Row],[Status_Score]],IF(D179="","",R179+H179+T179+V179+AG179+AE179+Master20[[#This Row],[Risk Mitigation]]+Master20[[#This Row],[Master Plan]]+Master20[[#This Row],[Community Request]]+Master20[[#This Row],[Community need]]+Master20[[#This Row],[Offset Aging Inf.]]+Master20[[#This Row],[Energy Savings]]+Master20[[#This Row],[Gen Revenue]]-5))</f>
        <v>225</v>
      </c>
      <c r="AI179" s="302"/>
      <c r="AJ179" s="302" t="s">
        <v>1045</v>
      </c>
      <c r="AK179" s="302" t="s">
        <v>1045</v>
      </c>
      <c r="AL179" s="302" t="s">
        <v>1045</v>
      </c>
      <c r="AM179" s="302" t="s">
        <v>1045</v>
      </c>
      <c r="AN179" s="300"/>
      <c r="AO179" s="306"/>
      <c r="AP179" s="306"/>
      <c r="AQ179" s="306"/>
      <c r="AR179" s="306"/>
      <c r="AS179" s="306"/>
      <c r="AT179" s="306"/>
      <c r="AU179" s="306"/>
      <c r="AV179" s="306"/>
      <c r="AW179" s="306"/>
      <c r="AX179" s="306"/>
      <c r="AY179" s="306"/>
      <c r="AZ179" s="306"/>
      <c r="BA179" s="306"/>
      <c r="BB179" s="306"/>
      <c r="BC179" s="306"/>
      <c r="BD179" s="306"/>
      <c r="BE179" s="306"/>
      <c r="BF179" s="306"/>
      <c r="BG179" s="306"/>
      <c r="BH179" s="306"/>
      <c r="BI179" s="306"/>
      <c r="BJ179" s="306"/>
      <c r="BK179" s="306"/>
      <c r="BL179" s="306"/>
      <c r="BM179" s="306"/>
      <c r="BN179" s="306"/>
      <c r="BO179" s="306"/>
    </row>
    <row r="180" spans="1:67" s="298" customFormat="1" ht="60" hidden="1" x14ac:dyDescent="0.25">
      <c r="A180" s="307">
        <f t="shared" si="22"/>
        <v>179</v>
      </c>
      <c r="B180" s="378" t="s">
        <v>94</v>
      </c>
      <c r="C180" s="300" t="s">
        <v>1045</v>
      </c>
      <c r="D180" s="300" t="s">
        <v>588</v>
      </c>
      <c r="E180" s="300" t="s">
        <v>589</v>
      </c>
      <c r="F180" s="300"/>
      <c r="G180" s="300" t="s">
        <v>1003</v>
      </c>
      <c r="H180" s="300">
        <f t="shared" si="26"/>
        <v>200</v>
      </c>
      <c r="I180" s="249"/>
      <c r="J180" s="249"/>
      <c r="K180" s="249">
        <f>Master20[[#This Row],[Initial Budget]]-Master20[[#This Row],[Previously Committed Funds]]</f>
        <v>0</v>
      </c>
      <c r="L180" s="249"/>
      <c r="M180" s="249"/>
      <c r="N180" s="258">
        <f>Master20[[#This Row],[Design $ (Add/Deduct)]]+Master20[[#This Row],[Construction $ (Add/Ded)]]</f>
        <v>0</v>
      </c>
      <c r="O180" s="256">
        <v>25000</v>
      </c>
      <c r="P180" s="301">
        <v>2019</v>
      </c>
      <c r="Q180" s="300" t="s">
        <v>36</v>
      </c>
      <c r="R180" s="301">
        <f t="shared" si="29"/>
        <v>10</v>
      </c>
      <c r="S180" s="302">
        <v>6</v>
      </c>
      <c r="T180" s="299">
        <f t="shared" si="27"/>
        <v>18</v>
      </c>
      <c r="U180" s="302" t="s">
        <v>41</v>
      </c>
      <c r="V180" s="302">
        <f t="shared" si="28"/>
        <v>4</v>
      </c>
      <c r="W180" s="302" t="s">
        <v>30</v>
      </c>
      <c r="X180" s="302">
        <v>0</v>
      </c>
      <c r="Y180" s="302">
        <v>0</v>
      </c>
      <c r="Z180" s="302">
        <v>0</v>
      </c>
      <c r="AA180" s="302">
        <v>0</v>
      </c>
      <c r="AB180" s="302">
        <v>0</v>
      </c>
      <c r="AC180" s="302">
        <v>0</v>
      </c>
      <c r="AD180" s="302">
        <v>0</v>
      </c>
      <c r="AE180" s="302"/>
      <c r="AF180" s="303" t="s">
        <v>29</v>
      </c>
      <c r="AG180" s="305">
        <f>VLOOKUP(Master20[[#This Row],[Elevated Priority]],Epriority,2,)</f>
        <v>0</v>
      </c>
      <c r="AH180" s="321">
        <f>IF(Master20[[#This Row],[Status]]="Active",Master20[[#This Row],[Status_Score]],IF(D180="","",R180+H180+T180+V180+AG180+AE180+Master20[[#This Row],[Risk Mitigation]]+Master20[[#This Row],[Master Plan]]+Master20[[#This Row],[Community Request]]+Master20[[#This Row],[Community need]]+Master20[[#This Row],[Offset Aging Inf.]]+Master20[[#This Row],[Energy Savings]]+Master20[[#This Row],[Gen Revenue]]-5))</f>
        <v>227</v>
      </c>
      <c r="AI180" s="302"/>
      <c r="AJ180" s="302">
        <v>2021</v>
      </c>
      <c r="AK180" s="302">
        <v>2022</v>
      </c>
      <c r="AL180" s="302">
        <v>2021</v>
      </c>
      <c r="AM180" s="302">
        <v>2022</v>
      </c>
      <c r="AN180" s="300"/>
      <c r="AO180" s="306"/>
      <c r="AP180" s="306"/>
      <c r="AQ180" s="306"/>
      <c r="AR180" s="306"/>
      <c r="AS180" s="306"/>
      <c r="AT180" s="306"/>
      <c r="AU180" s="306"/>
      <c r="AV180" s="306"/>
      <c r="AW180" s="306"/>
      <c r="AX180" s="306"/>
      <c r="AY180" s="306"/>
      <c r="AZ180" s="306"/>
      <c r="BA180" s="306"/>
      <c r="BB180" s="306"/>
      <c r="BC180" s="306"/>
      <c r="BD180" s="306"/>
      <c r="BE180" s="306"/>
      <c r="BF180" s="306"/>
      <c r="BG180" s="306"/>
      <c r="BH180" s="306"/>
      <c r="BI180" s="306"/>
      <c r="BJ180" s="306"/>
      <c r="BK180" s="306"/>
      <c r="BL180" s="306"/>
      <c r="BM180" s="306"/>
      <c r="BN180" s="306"/>
      <c r="BO180" s="306"/>
    </row>
    <row r="181" spans="1:67" s="298" customFormat="1" hidden="1" x14ac:dyDescent="0.25">
      <c r="A181" s="307">
        <f t="shared" si="22"/>
        <v>180</v>
      </c>
      <c r="B181" s="300" t="s">
        <v>94</v>
      </c>
      <c r="C181" s="300" t="s">
        <v>1045</v>
      </c>
      <c r="D181" s="300" t="s">
        <v>604</v>
      </c>
      <c r="E181" s="300" t="s">
        <v>605</v>
      </c>
      <c r="F181" s="300" t="s">
        <v>606</v>
      </c>
      <c r="G181" s="300" t="s">
        <v>1003</v>
      </c>
      <c r="H181" s="300">
        <f t="shared" si="26"/>
        <v>200</v>
      </c>
      <c r="I181" s="249"/>
      <c r="J181" s="249"/>
      <c r="K181" s="249">
        <f>Master20[[#This Row],[Initial Budget]]-Master20[[#This Row],[Previously Committed Funds]]</f>
        <v>0</v>
      </c>
      <c r="L181" s="249"/>
      <c r="M181" s="249"/>
      <c r="N181" s="258">
        <f>Master20[[#This Row],[Design $ (Add/Deduct)]]+Master20[[#This Row],[Construction $ (Add/Ded)]]</f>
        <v>0</v>
      </c>
      <c r="O181" s="256">
        <v>500000</v>
      </c>
      <c r="P181" s="301">
        <v>2019</v>
      </c>
      <c r="Q181" s="300" t="s">
        <v>830</v>
      </c>
      <c r="R181" s="301">
        <f t="shared" si="29"/>
        <v>10</v>
      </c>
      <c r="S181" s="302">
        <v>18</v>
      </c>
      <c r="T181" s="299">
        <f t="shared" si="27"/>
        <v>25</v>
      </c>
      <c r="U181" s="302" t="s">
        <v>33</v>
      </c>
      <c r="V181" s="302">
        <f t="shared" si="28"/>
        <v>1</v>
      </c>
      <c r="W181" s="302" t="s">
        <v>30</v>
      </c>
      <c r="X181" s="302">
        <v>0</v>
      </c>
      <c r="Y181" s="302">
        <v>0</v>
      </c>
      <c r="Z181" s="302">
        <v>0</v>
      </c>
      <c r="AA181" s="302">
        <v>0</v>
      </c>
      <c r="AB181" s="302">
        <v>0</v>
      </c>
      <c r="AC181" s="302">
        <v>0</v>
      </c>
      <c r="AD181" s="302">
        <v>0</v>
      </c>
      <c r="AE181" s="302"/>
      <c r="AF181" s="303" t="s">
        <v>29</v>
      </c>
      <c r="AG181" s="305">
        <f>VLOOKUP(Master20[[#This Row],[Elevated Priority]],Epriority,2,)</f>
        <v>0</v>
      </c>
      <c r="AH181" s="321">
        <f>IF(Master20[[#This Row],[Status]]="Active",Master20[[#This Row],[Status_Score]],IF(D181="","",R181+H181+T181+V181+AG181+AE181+Master20[[#This Row],[Risk Mitigation]]+Master20[[#This Row],[Master Plan]]+Master20[[#This Row],[Community Request]]+Master20[[#This Row],[Community need]]+Master20[[#This Row],[Offset Aging Inf.]]+Master20[[#This Row],[Energy Savings]]+Master20[[#This Row],[Gen Revenue]]-5))</f>
        <v>231</v>
      </c>
      <c r="AI181" s="302"/>
      <c r="AJ181" s="302" t="s">
        <v>1045</v>
      </c>
      <c r="AK181" s="302" t="s">
        <v>1045</v>
      </c>
      <c r="AL181" s="302" t="s">
        <v>1045</v>
      </c>
      <c r="AM181" s="302" t="s">
        <v>1045</v>
      </c>
      <c r="AN181" s="300"/>
      <c r="AO181" s="306"/>
      <c r="AP181" s="306"/>
      <c r="AQ181" s="306"/>
      <c r="AR181" s="306"/>
      <c r="AS181" s="306"/>
      <c r="AT181" s="306"/>
      <c r="AU181" s="306"/>
      <c r="AV181" s="306"/>
      <c r="AW181" s="306"/>
      <c r="AX181" s="306"/>
      <c r="AY181" s="306"/>
      <c r="AZ181" s="306"/>
      <c r="BA181" s="306"/>
      <c r="BB181" s="306"/>
      <c r="BC181" s="306"/>
      <c r="BD181" s="306"/>
      <c r="BE181" s="306"/>
      <c r="BF181" s="306"/>
      <c r="BG181" s="306"/>
      <c r="BH181" s="306"/>
      <c r="BI181" s="306"/>
      <c r="BJ181" s="306"/>
      <c r="BK181" s="306"/>
      <c r="BL181" s="306"/>
      <c r="BM181" s="306"/>
      <c r="BN181" s="306"/>
      <c r="BO181" s="306"/>
    </row>
    <row r="182" spans="1:67" s="298" customFormat="1" hidden="1" x14ac:dyDescent="0.25">
      <c r="A182" s="307">
        <f t="shared" si="22"/>
        <v>181</v>
      </c>
      <c r="B182" s="378" t="s">
        <v>94</v>
      </c>
      <c r="C182" s="300" t="s">
        <v>1045</v>
      </c>
      <c r="D182" s="300" t="s">
        <v>583</v>
      </c>
      <c r="E182" s="300" t="s">
        <v>609</v>
      </c>
      <c r="F182" s="300" t="s">
        <v>879</v>
      </c>
      <c r="G182" s="300" t="s">
        <v>1003</v>
      </c>
      <c r="H182" s="300">
        <f t="shared" si="26"/>
        <v>200</v>
      </c>
      <c r="I182" s="249"/>
      <c r="J182" s="249"/>
      <c r="K182" s="249">
        <f>Master20[[#This Row],[Initial Budget]]-Master20[[#This Row],[Previously Committed Funds]]</f>
        <v>0</v>
      </c>
      <c r="L182" s="249"/>
      <c r="M182" s="249"/>
      <c r="N182" s="258">
        <f>Master20[[#This Row],[Design $ (Add/Deduct)]]+Master20[[#This Row],[Construction $ (Add/Ded)]]</f>
        <v>0</v>
      </c>
      <c r="O182" s="256">
        <v>1500000</v>
      </c>
      <c r="P182" s="301">
        <v>2019</v>
      </c>
      <c r="Q182" s="300" t="s">
        <v>688</v>
      </c>
      <c r="R182" s="301">
        <f t="shared" si="29"/>
        <v>20</v>
      </c>
      <c r="S182" s="302">
        <v>9</v>
      </c>
      <c r="T182" s="299">
        <f t="shared" si="27"/>
        <v>21</v>
      </c>
      <c r="U182" s="302" t="s">
        <v>37</v>
      </c>
      <c r="V182" s="302">
        <f t="shared" si="28"/>
        <v>3</v>
      </c>
      <c r="W182" s="302" t="s">
        <v>30</v>
      </c>
      <c r="X182" s="302">
        <v>0</v>
      </c>
      <c r="Y182" s="302">
        <v>0</v>
      </c>
      <c r="Z182" s="302">
        <v>0</v>
      </c>
      <c r="AA182" s="302">
        <v>0</v>
      </c>
      <c r="AB182" s="302">
        <v>0</v>
      </c>
      <c r="AC182" s="302">
        <v>0</v>
      </c>
      <c r="AD182" s="302">
        <v>0</v>
      </c>
      <c r="AE182" s="302"/>
      <c r="AF182" s="303" t="s">
        <v>29</v>
      </c>
      <c r="AG182" s="305">
        <f>VLOOKUP(Master20[[#This Row],[Elevated Priority]],Epriority,2,)</f>
        <v>0</v>
      </c>
      <c r="AH182" s="321">
        <f>IF(Master20[[#This Row],[Status]]="Active",Master20[[#This Row],[Status_Score]],IF(D182="","",R182+H182+T182+V182+AG182+AE182+Master20[[#This Row],[Risk Mitigation]]+Master20[[#This Row],[Master Plan]]+Master20[[#This Row],[Community Request]]+Master20[[#This Row],[Community need]]+Master20[[#This Row],[Offset Aging Inf.]]+Master20[[#This Row],[Energy Savings]]+Master20[[#This Row],[Gen Revenue]]-5))</f>
        <v>239</v>
      </c>
      <c r="AI182" s="302"/>
      <c r="AJ182" s="302" t="s">
        <v>1045</v>
      </c>
      <c r="AK182" s="302" t="s">
        <v>1045</v>
      </c>
      <c r="AL182" s="302" t="s">
        <v>1045</v>
      </c>
      <c r="AM182" s="302" t="s">
        <v>1045</v>
      </c>
      <c r="AN182" s="300" t="s">
        <v>656</v>
      </c>
      <c r="AO182" s="306"/>
      <c r="AP182" s="306"/>
      <c r="AQ182" s="306"/>
      <c r="AR182" s="306"/>
      <c r="AS182" s="306"/>
      <c r="AT182" s="306"/>
      <c r="AU182" s="306"/>
      <c r="AV182" s="306"/>
      <c r="AW182" s="306"/>
      <c r="AX182" s="306"/>
      <c r="AY182" s="306"/>
      <c r="AZ182" s="306"/>
      <c r="BA182" s="306"/>
      <c r="BB182" s="306"/>
      <c r="BC182" s="306"/>
      <c r="BD182" s="306"/>
      <c r="BE182" s="306"/>
      <c r="BF182" s="306"/>
      <c r="BG182" s="306"/>
      <c r="BH182" s="306"/>
      <c r="BI182" s="306"/>
      <c r="BJ182" s="306"/>
      <c r="BK182" s="306"/>
      <c r="BL182" s="306"/>
      <c r="BM182" s="306"/>
      <c r="BN182" s="306"/>
      <c r="BO182" s="306"/>
    </row>
    <row r="183" spans="1:67" s="298" customFormat="1" ht="30" hidden="1" x14ac:dyDescent="0.25">
      <c r="A183" s="307">
        <f t="shared" si="22"/>
        <v>182</v>
      </c>
      <c r="B183" s="300" t="s">
        <v>94</v>
      </c>
      <c r="C183" s="300" t="s">
        <v>1045</v>
      </c>
      <c r="D183" s="300" t="s">
        <v>232</v>
      </c>
      <c r="E183" s="300" t="s">
        <v>233</v>
      </c>
      <c r="F183" s="300" t="s">
        <v>879</v>
      </c>
      <c r="G183" s="300" t="s">
        <v>1003</v>
      </c>
      <c r="H183" s="300">
        <f t="shared" si="26"/>
        <v>200</v>
      </c>
      <c r="I183" s="249"/>
      <c r="J183" s="249"/>
      <c r="K183" s="249">
        <f>Master20[[#This Row],[Initial Budget]]-Master20[[#This Row],[Previously Committed Funds]]</f>
        <v>0</v>
      </c>
      <c r="L183" s="249"/>
      <c r="M183" s="249"/>
      <c r="N183" s="258">
        <f>Master20[[#This Row],[Design $ (Add/Deduct)]]+Master20[[#This Row],[Construction $ (Add/Ded)]]</f>
        <v>0</v>
      </c>
      <c r="O183" s="256">
        <v>1500000</v>
      </c>
      <c r="P183" s="301">
        <v>2018</v>
      </c>
      <c r="Q183" s="300" t="s">
        <v>688</v>
      </c>
      <c r="R183" s="301">
        <f t="shared" si="29"/>
        <v>20</v>
      </c>
      <c r="S183" s="302">
        <v>7</v>
      </c>
      <c r="T183" s="299">
        <f t="shared" si="27"/>
        <v>20</v>
      </c>
      <c r="U183" s="302" t="s">
        <v>41</v>
      </c>
      <c r="V183" s="302">
        <f t="shared" si="28"/>
        <v>4</v>
      </c>
      <c r="W183" s="302" t="s">
        <v>30</v>
      </c>
      <c r="X183" s="302">
        <v>0</v>
      </c>
      <c r="Y183" s="302">
        <v>0</v>
      </c>
      <c r="Z183" s="302">
        <v>0</v>
      </c>
      <c r="AA183" s="302">
        <v>0</v>
      </c>
      <c r="AB183" s="302">
        <v>0</v>
      </c>
      <c r="AC183" s="302">
        <v>0</v>
      </c>
      <c r="AD183" s="302">
        <v>0</v>
      </c>
      <c r="AE183" s="302"/>
      <c r="AF183" s="303" t="s">
        <v>29</v>
      </c>
      <c r="AG183" s="305">
        <f>VLOOKUP(Master20[[#This Row],[Elevated Priority]],Epriority,2,)</f>
        <v>0</v>
      </c>
      <c r="AH183" s="321">
        <f>IF(Master20[[#This Row],[Status]]="Active",Master20[[#This Row],[Status_Score]],IF(D183="","",R183+H183+T183+V183+AG183+AE183+Master20[[#This Row],[Risk Mitigation]]+Master20[[#This Row],[Master Plan]]+Master20[[#This Row],[Community Request]]+Master20[[#This Row],[Community need]]+Master20[[#This Row],[Offset Aging Inf.]]+Master20[[#This Row],[Energy Savings]]+Master20[[#This Row],[Gen Revenue]]-5))</f>
        <v>239</v>
      </c>
      <c r="AI183" s="302"/>
      <c r="AJ183" s="302" t="s">
        <v>1045</v>
      </c>
      <c r="AK183" s="302" t="s">
        <v>1045</v>
      </c>
      <c r="AL183" s="302" t="s">
        <v>1045</v>
      </c>
      <c r="AM183" s="302" t="s">
        <v>1045</v>
      </c>
      <c r="AN183" s="300"/>
      <c r="AO183" s="306"/>
      <c r="AP183" s="306"/>
      <c r="AQ183" s="306"/>
      <c r="AR183" s="306"/>
      <c r="AS183" s="306"/>
      <c r="AT183" s="306"/>
      <c r="AU183" s="306"/>
      <c r="AV183" s="306"/>
      <c r="AW183" s="306"/>
      <c r="AX183" s="306"/>
      <c r="AY183" s="306"/>
      <c r="AZ183" s="306"/>
      <c r="BA183" s="306"/>
      <c r="BB183" s="306"/>
      <c r="BC183" s="306"/>
      <c r="BD183" s="306"/>
      <c r="BE183" s="306"/>
      <c r="BF183" s="306"/>
      <c r="BG183" s="306"/>
      <c r="BH183" s="306"/>
      <c r="BI183" s="306"/>
      <c r="BJ183" s="306"/>
      <c r="BK183" s="306"/>
      <c r="BL183" s="306"/>
      <c r="BM183" s="306"/>
      <c r="BN183" s="306"/>
      <c r="BO183" s="306"/>
    </row>
    <row r="184" spans="1:67" s="298" customFormat="1" ht="30" hidden="1" x14ac:dyDescent="0.25">
      <c r="A184" s="307">
        <f t="shared" si="22"/>
        <v>183</v>
      </c>
      <c r="B184" s="378" t="s">
        <v>94</v>
      </c>
      <c r="C184" s="300" t="s">
        <v>1045</v>
      </c>
      <c r="D184" s="300" t="s">
        <v>234</v>
      </c>
      <c r="E184" s="300" t="s">
        <v>233</v>
      </c>
      <c r="F184" s="300" t="s">
        <v>879</v>
      </c>
      <c r="G184" s="300" t="s">
        <v>1003</v>
      </c>
      <c r="H184" s="300">
        <f t="shared" si="26"/>
        <v>200</v>
      </c>
      <c r="I184" s="249"/>
      <c r="J184" s="249"/>
      <c r="K184" s="249">
        <f>Master20[[#This Row],[Initial Budget]]-Master20[[#This Row],[Previously Committed Funds]]</f>
        <v>0</v>
      </c>
      <c r="L184" s="249"/>
      <c r="M184" s="249"/>
      <c r="N184" s="258">
        <f>Master20[[#This Row],[Design $ (Add/Deduct)]]+Master20[[#This Row],[Construction $ (Add/Ded)]]</f>
        <v>0</v>
      </c>
      <c r="O184" s="256">
        <v>1500000</v>
      </c>
      <c r="P184" s="301">
        <v>2018</v>
      </c>
      <c r="Q184" s="300" t="s">
        <v>688</v>
      </c>
      <c r="R184" s="301">
        <f t="shared" si="29"/>
        <v>20</v>
      </c>
      <c r="S184" s="302">
        <v>8</v>
      </c>
      <c r="T184" s="299">
        <f t="shared" si="27"/>
        <v>20</v>
      </c>
      <c r="U184" s="302" t="s">
        <v>41</v>
      </c>
      <c r="V184" s="302">
        <f t="shared" si="28"/>
        <v>4</v>
      </c>
      <c r="W184" s="302" t="s">
        <v>30</v>
      </c>
      <c r="X184" s="302">
        <v>0</v>
      </c>
      <c r="Y184" s="302">
        <v>0</v>
      </c>
      <c r="Z184" s="302">
        <v>0</v>
      </c>
      <c r="AA184" s="302">
        <v>0</v>
      </c>
      <c r="AB184" s="302">
        <v>0</v>
      </c>
      <c r="AC184" s="302">
        <v>0</v>
      </c>
      <c r="AD184" s="302">
        <v>0</v>
      </c>
      <c r="AE184" s="302"/>
      <c r="AF184" s="303" t="s">
        <v>29</v>
      </c>
      <c r="AG184" s="305">
        <f>VLOOKUP(Master20[[#This Row],[Elevated Priority]],Epriority,2,)</f>
        <v>0</v>
      </c>
      <c r="AH184" s="321">
        <f>IF(Master20[[#This Row],[Status]]="Active",Master20[[#This Row],[Status_Score]],IF(D184="","",R184+H184+T184+V184+AG184+AE184+Master20[[#This Row],[Risk Mitigation]]+Master20[[#This Row],[Master Plan]]+Master20[[#This Row],[Community Request]]+Master20[[#This Row],[Community need]]+Master20[[#This Row],[Offset Aging Inf.]]+Master20[[#This Row],[Energy Savings]]+Master20[[#This Row],[Gen Revenue]]-5))</f>
        <v>239</v>
      </c>
      <c r="AI184" s="302"/>
      <c r="AJ184" s="302" t="s">
        <v>1045</v>
      </c>
      <c r="AK184" s="302" t="s">
        <v>1045</v>
      </c>
      <c r="AL184" s="302" t="s">
        <v>1045</v>
      </c>
      <c r="AM184" s="302" t="s">
        <v>1045</v>
      </c>
      <c r="AN184" s="300"/>
      <c r="AO184" s="306"/>
      <c r="AP184" s="306"/>
      <c r="AQ184" s="306"/>
      <c r="AR184" s="306"/>
      <c r="AS184" s="306"/>
      <c r="AT184" s="306"/>
      <c r="AU184" s="306"/>
      <c r="AV184" s="306"/>
      <c r="AW184" s="306"/>
      <c r="AX184" s="306"/>
      <c r="AY184" s="306"/>
      <c r="AZ184" s="306"/>
      <c r="BA184" s="306"/>
      <c r="BB184" s="306"/>
      <c r="BC184" s="306"/>
      <c r="BD184" s="306"/>
      <c r="BE184" s="306"/>
      <c r="BF184" s="306"/>
      <c r="BG184" s="306"/>
      <c r="BH184" s="306"/>
      <c r="BI184" s="306"/>
      <c r="BJ184" s="306"/>
      <c r="BK184" s="306"/>
      <c r="BL184" s="306"/>
      <c r="BM184" s="306"/>
      <c r="BN184" s="306"/>
      <c r="BO184" s="306"/>
    </row>
    <row r="185" spans="1:67" s="298" customFormat="1" ht="30" hidden="1" x14ac:dyDescent="0.25">
      <c r="A185" s="307">
        <f t="shared" si="22"/>
        <v>184</v>
      </c>
      <c r="B185" s="300" t="s">
        <v>94</v>
      </c>
      <c r="C185" s="300" t="s">
        <v>1045</v>
      </c>
      <c r="D185" s="300" t="s">
        <v>634</v>
      </c>
      <c r="E185" s="300" t="s">
        <v>172</v>
      </c>
      <c r="F185" s="300" t="s">
        <v>635</v>
      </c>
      <c r="G185" s="300" t="s">
        <v>1003</v>
      </c>
      <c r="H185" s="300">
        <f t="shared" si="26"/>
        <v>200</v>
      </c>
      <c r="I185" s="249"/>
      <c r="J185" s="249"/>
      <c r="K185" s="249">
        <f>Master20[[#This Row],[Initial Budget]]-Master20[[#This Row],[Previously Committed Funds]]</f>
        <v>0</v>
      </c>
      <c r="L185" s="249"/>
      <c r="M185" s="249"/>
      <c r="N185" s="258">
        <f>Master20[[#This Row],[Design $ (Add/Deduct)]]+Master20[[#This Row],[Construction $ (Add/Ded)]]</f>
        <v>0</v>
      </c>
      <c r="O185" s="256">
        <v>50000</v>
      </c>
      <c r="P185" s="301">
        <v>2018</v>
      </c>
      <c r="Q185" s="300" t="s">
        <v>688</v>
      </c>
      <c r="R185" s="301">
        <f t="shared" si="29"/>
        <v>20</v>
      </c>
      <c r="S185" s="302">
        <v>12</v>
      </c>
      <c r="T185" s="299">
        <f t="shared" si="27"/>
        <v>22</v>
      </c>
      <c r="U185" s="302" t="s">
        <v>37</v>
      </c>
      <c r="V185" s="302">
        <f t="shared" si="28"/>
        <v>3</v>
      </c>
      <c r="W185" s="302" t="s">
        <v>30</v>
      </c>
      <c r="X185" s="302">
        <v>0</v>
      </c>
      <c r="Y185" s="302">
        <v>0</v>
      </c>
      <c r="Z185" s="302">
        <v>0</v>
      </c>
      <c r="AA185" s="302">
        <v>0</v>
      </c>
      <c r="AB185" s="302">
        <v>0</v>
      </c>
      <c r="AC185" s="302">
        <v>0</v>
      </c>
      <c r="AD185" s="302">
        <v>0</v>
      </c>
      <c r="AE185" s="302"/>
      <c r="AF185" s="303" t="s">
        <v>29</v>
      </c>
      <c r="AG185" s="305">
        <f>VLOOKUP(Master20[[#This Row],[Elevated Priority]],Epriority,2,)</f>
        <v>0</v>
      </c>
      <c r="AH185" s="321">
        <f>IF(Master20[[#This Row],[Status]]="Active",Master20[[#This Row],[Status_Score]],IF(D185="","",R185+H185+T185+V185+AG185+AE185+Master20[[#This Row],[Risk Mitigation]]+Master20[[#This Row],[Master Plan]]+Master20[[#This Row],[Community Request]]+Master20[[#This Row],[Community need]]+Master20[[#This Row],[Offset Aging Inf.]]+Master20[[#This Row],[Energy Savings]]+Master20[[#This Row],[Gen Revenue]]-5))</f>
        <v>240</v>
      </c>
      <c r="AI185" s="302"/>
      <c r="AJ185" s="302" t="s">
        <v>1045</v>
      </c>
      <c r="AK185" s="302" t="s">
        <v>1045</v>
      </c>
      <c r="AL185" s="302" t="s">
        <v>1045</v>
      </c>
      <c r="AM185" s="302" t="s">
        <v>1045</v>
      </c>
      <c r="AN185" s="300" t="s">
        <v>936</v>
      </c>
      <c r="AO185" s="306"/>
      <c r="AP185" s="306"/>
      <c r="AQ185" s="306"/>
      <c r="AR185" s="306"/>
      <c r="AS185" s="306"/>
      <c r="AT185" s="306"/>
      <c r="AU185" s="306"/>
      <c r="AV185" s="306"/>
      <c r="AW185" s="306"/>
      <c r="AX185" s="306"/>
      <c r="AY185" s="306"/>
      <c r="AZ185" s="306"/>
      <c r="BA185" s="306"/>
      <c r="BB185" s="306"/>
      <c r="BC185" s="306"/>
      <c r="BD185" s="306"/>
      <c r="BE185" s="306"/>
      <c r="BF185" s="306"/>
      <c r="BG185" s="306"/>
      <c r="BH185" s="306"/>
      <c r="BI185" s="306"/>
      <c r="BJ185" s="306"/>
      <c r="BK185" s="306"/>
      <c r="BL185" s="306"/>
      <c r="BM185" s="306"/>
      <c r="BN185" s="306"/>
      <c r="BO185" s="306"/>
    </row>
    <row r="186" spans="1:67" s="298" customFormat="1" ht="45" hidden="1" x14ac:dyDescent="0.25">
      <c r="A186" s="307">
        <f t="shared" si="22"/>
        <v>185</v>
      </c>
      <c r="B186" s="378" t="s">
        <v>143</v>
      </c>
      <c r="C186" s="300" t="s">
        <v>646</v>
      </c>
      <c r="D186" s="300" t="s">
        <v>746</v>
      </c>
      <c r="E186" s="300" t="s">
        <v>675</v>
      </c>
      <c r="F186" s="300" t="s">
        <v>676</v>
      </c>
      <c r="G186" s="300" t="s">
        <v>814</v>
      </c>
      <c r="H186" s="300">
        <f t="shared" si="26"/>
        <v>200</v>
      </c>
      <c r="I186" s="249">
        <v>50000</v>
      </c>
      <c r="J186" s="249">
        <v>17833</v>
      </c>
      <c r="K186" s="249">
        <f>Master20[[#This Row],[Initial Budget]]-Master20[[#This Row],[Previously Committed Funds]]</f>
        <v>32167</v>
      </c>
      <c r="L186" s="249">
        <v>0</v>
      </c>
      <c r="M186" s="249">
        <v>0</v>
      </c>
      <c r="N186" s="258">
        <f>Master20[[#This Row],[Design $ (Add/Deduct)]]+Master20[[#This Row],[Construction $ (Add/Ded)]]</f>
        <v>0</v>
      </c>
      <c r="O186" s="256">
        <f>Master20[[#This Row],[Total Add]]+Master20[[#This Row],[Current Available Balance]]+Master20[[#This Row],[Previously Committed Funds]]</f>
        <v>50000</v>
      </c>
      <c r="P186" s="301">
        <v>2019</v>
      </c>
      <c r="Q186" s="300" t="s">
        <v>686</v>
      </c>
      <c r="R186" s="301">
        <v>40</v>
      </c>
      <c r="S186" s="302">
        <v>1</v>
      </c>
      <c r="T186" s="299">
        <v>3</v>
      </c>
      <c r="U186" s="302" t="s">
        <v>37</v>
      </c>
      <c r="V186" s="302">
        <v>4</v>
      </c>
      <c r="W186" s="302" t="s">
        <v>38</v>
      </c>
      <c r="X186" s="302">
        <v>0</v>
      </c>
      <c r="Y186" s="302"/>
      <c r="Z186" s="302"/>
      <c r="AA186" s="302"/>
      <c r="AB186" s="302"/>
      <c r="AC186" s="302"/>
      <c r="AD186" s="302"/>
      <c r="AE186" s="302"/>
      <c r="AF186" s="303" t="s">
        <v>29</v>
      </c>
      <c r="AG186" s="305">
        <v>0</v>
      </c>
      <c r="AH186" s="321">
        <f>IF(Master20[[#This Row],[Status]]="Active",Master20[[#This Row],[Status_Score]],IF(D186="","",R186+H186+T186+V186+AG186+AE186+Master20[[#This Row],[Risk Mitigation]]+Master20[[#This Row],[Master Plan]]+Master20[[#This Row],[Community Request]]+Master20[[#This Row],[Community need]]+Master20[[#This Row],[Offset Aging Inf.]]+Master20[[#This Row],[Energy Savings]]+Master20[[#This Row],[Gen Revenue]]-5))</f>
        <v>242</v>
      </c>
      <c r="AI186" s="302"/>
      <c r="AJ186" s="302" t="s">
        <v>1045</v>
      </c>
      <c r="AK186" s="302" t="s">
        <v>1045</v>
      </c>
      <c r="AL186" s="302" t="s">
        <v>1045</v>
      </c>
      <c r="AM186" s="302" t="s">
        <v>1045</v>
      </c>
      <c r="AN186" s="300" t="s">
        <v>157</v>
      </c>
      <c r="AO186" s="306"/>
      <c r="AP186" s="306"/>
      <c r="AQ186" s="306"/>
      <c r="AR186" s="306"/>
      <c r="AS186" s="306"/>
      <c r="AT186" s="306"/>
      <c r="AU186" s="306"/>
      <c r="AV186" s="306"/>
      <c r="AW186" s="306"/>
      <c r="AX186" s="306"/>
      <c r="AY186" s="306"/>
      <c r="AZ186" s="306"/>
      <c r="BA186" s="306"/>
      <c r="BB186" s="306"/>
      <c r="BC186" s="306"/>
      <c r="BD186" s="306"/>
      <c r="BE186" s="306"/>
      <c r="BF186" s="306"/>
      <c r="BG186" s="306"/>
      <c r="BH186" s="306"/>
      <c r="BI186" s="306"/>
      <c r="BJ186" s="306"/>
      <c r="BK186" s="306"/>
      <c r="BL186" s="306"/>
      <c r="BM186" s="306"/>
      <c r="BN186" s="306"/>
      <c r="BO186" s="306"/>
    </row>
    <row r="187" spans="1:67" s="298" customFormat="1" ht="30" hidden="1" x14ac:dyDescent="0.25">
      <c r="A187" s="307">
        <f t="shared" si="22"/>
        <v>186</v>
      </c>
      <c r="B187" s="300" t="s">
        <v>94</v>
      </c>
      <c r="C187" s="300" t="s">
        <v>1045</v>
      </c>
      <c r="D187" s="300" t="s">
        <v>897</v>
      </c>
      <c r="E187" s="300" t="s">
        <v>608</v>
      </c>
      <c r="F187" s="300" t="s">
        <v>879</v>
      </c>
      <c r="G187" s="300" t="s">
        <v>1003</v>
      </c>
      <c r="H187" s="300">
        <f t="shared" si="26"/>
        <v>200</v>
      </c>
      <c r="I187" s="249"/>
      <c r="J187" s="249"/>
      <c r="K187" s="249">
        <f>Master20[[#This Row],[Initial Budget]]-Master20[[#This Row],[Previously Committed Funds]]</f>
        <v>0</v>
      </c>
      <c r="L187" s="249"/>
      <c r="M187" s="249"/>
      <c r="N187" s="258">
        <f>Master20[[#This Row],[Design $ (Add/Deduct)]]+Master20[[#This Row],[Construction $ (Add/Ded)]]</f>
        <v>0</v>
      </c>
      <c r="O187" s="256">
        <v>250000</v>
      </c>
      <c r="P187" s="301">
        <v>2019</v>
      </c>
      <c r="Q187" s="300" t="s">
        <v>688</v>
      </c>
      <c r="R187" s="301">
        <f t="shared" ref="R187:R202" si="30">VLOOKUP(Q187,Importance,2,FALSE)</f>
        <v>20</v>
      </c>
      <c r="S187" s="302">
        <v>22</v>
      </c>
      <c r="T187" s="299">
        <f t="shared" ref="T187:T204" si="31">VLOOKUP(S187,Department,2,FALSE)</f>
        <v>27</v>
      </c>
      <c r="U187" s="302" t="s">
        <v>33</v>
      </c>
      <c r="V187" s="302">
        <f t="shared" ref="V187:V204" si="32">VLOOKUP(U187,Urgency,2,FALSE)</f>
        <v>1</v>
      </c>
      <c r="W187" s="302" t="s">
        <v>30</v>
      </c>
      <c r="X187" s="302">
        <v>0</v>
      </c>
      <c r="Y187" s="302">
        <v>0</v>
      </c>
      <c r="Z187" s="302">
        <v>0</v>
      </c>
      <c r="AA187" s="302">
        <v>0</v>
      </c>
      <c r="AB187" s="302">
        <v>0</v>
      </c>
      <c r="AC187" s="302">
        <v>0</v>
      </c>
      <c r="AD187" s="302">
        <v>0</v>
      </c>
      <c r="AE187" s="302"/>
      <c r="AF187" s="303" t="s">
        <v>29</v>
      </c>
      <c r="AG187" s="305">
        <f>VLOOKUP(Master20[[#This Row],[Elevated Priority]],Epriority,2,)</f>
        <v>0</v>
      </c>
      <c r="AH187" s="321">
        <f>IF(Master20[[#This Row],[Status]]="Active",Master20[[#This Row],[Status_Score]],IF(D187="","",R187+H187+T187+V187+AG187+AE187+Master20[[#This Row],[Risk Mitigation]]+Master20[[#This Row],[Master Plan]]+Master20[[#This Row],[Community Request]]+Master20[[#This Row],[Community need]]+Master20[[#This Row],[Offset Aging Inf.]]+Master20[[#This Row],[Energy Savings]]+Master20[[#This Row],[Gen Revenue]]-5))</f>
        <v>243</v>
      </c>
      <c r="AI187" s="302"/>
      <c r="AJ187" s="302" t="s">
        <v>1045</v>
      </c>
      <c r="AK187" s="302" t="s">
        <v>1045</v>
      </c>
      <c r="AL187" s="302" t="s">
        <v>1045</v>
      </c>
      <c r="AM187" s="302" t="s">
        <v>1045</v>
      </c>
      <c r="AN187" s="300"/>
      <c r="AO187" s="306"/>
      <c r="AP187" s="306"/>
      <c r="AQ187" s="306"/>
      <c r="AR187" s="306"/>
      <c r="AS187" s="306"/>
      <c r="AT187" s="306"/>
      <c r="AU187" s="306"/>
      <c r="AV187" s="306"/>
      <c r="AW187" s="306"/>
      <c r="AX187" s="306"/>
      <c r="AY187" s="306"/>
      <c r="AZ187" s="306"/>
      <c r="BA187" s="306"/>
      <c r="BB187" s="306"/>
      <c r="BC187" s="306"/>
      <c r="BD187" s="306"/>
      <c r="BE187" s="306"/>
      <c r="BF187" s="306"/>
      <c r="BG187" s="306"/>
      <c r="BH187" s="306"/>
      <c r="BI187" s="306"/>
      <c r="BJ187" s="306"/>
      <c r="BK187" s="306"/>
      <c r="BL187" s="306"/>
      <c r="BM187" s="306"/>
      <c r="BN187" s="306"/>
      <c r="BO187" s="306"/>
    </row>
    <row r="188" spans="1:67" s="298" customFormat="1" hidden="1" x14ac:dyDescent="0.25">
      <c r="A188" s="307">
        <f t="shared" si="22"/>
        <v>187</v>
      </c>
      <c r="B188" s="378" t="s">
        <v>94</v>
      </c>
      <c r="C188" s="300" t="s">
        <v>1045</v>
      </c>
      <c r="D188" s="300" t="s">
        <v>610</v>
      </c>
      <c r="E188" s="300"/>
      <c r="F188" s="300" t="s">
        <v>879</v>
      </c>
      <c r="G188" s="300" t="s">
        <v>1003</v>
      </c>
      <c r="H188" s="300">
        <f t="shared" si="26"/>
        <v>200</v>
      </c>
      <c r="I188" s="249"/>
      <c r="J188" s="249"/>
      <c r="K188" s="249">
        <f>Master20[[#This Row],[Initial Budget]]-Master20[[#This Row],[Previously Committed Funds]]</f>
        <v>0</v>
      </c>
      <c r="L188" s="249"/>
      <c r="M188" s="249"/>
      <c r="N188" s="258">
        <f>Master20[[#This Row],[Design $ (Add/Deduct)]]+Master20[[#This Row],[Construction $ (Add/Ded)]]</f>
        <v>0</v>
      </c>
      <c r="O188" s="256">
        <v>20000</v>
      </c>
      <c r="P188" s="301">
        <v>2019</v>
      </c>
      <c r="Q188" s="300" t="s">
        <v>688</v>
      </c>
      <c r="R188" s="301">
        <f t="shared" si="30"/>
        <v>20</v>
      </c>
      <c r="S188" s="302">
        <v>26</v>
      </c>
      <c r="T188" s="299">
        <f t="shared" si="31"/>
        <v>29</v>
      </c>
      <c r="U188" s="302" t="s">
        <v>41</v>
      </c>
      <c r="V188" s="302">
        <f t="shared" si="32"/>
        <v>4</v>
      </c>
      <c r="W188" s="302" t="s">
        <v>30</v>
      </c>
      <c r="X188" s="302">
        <v>0</v>
      </c>
      <c r="Y188" s="302">
        <v>0</v>
      </c>
      <c r="Z188" s="302">
        <v>0</v>
      </c>
      <c r="AA188" s="302">
        <v>0</v>
      </c>
      <c r="AB188" s="302">
        <v>0</v>
      </c>
      <c r="AC188" s="302">
        <v>0</v>
      </c>
      <c r="AD188" s="302">
        <v>0</v>
      </c>
      <c r="AE188" s="302"/>
      <c r="AF188" s="303" t="s">
        <v>29</v>
      </c>
      <c r="AG188" s="305">
        <f>VLOOKUP(Master20[[#This Row],[Elevated Priority]],Epriority,2,)</f>
        <v>0</v>
      </c>
      <c r="AH188" s="321">
        <f>IF(Master20[[#This Row],[Status]]="Active",Master20[[#This Row],[Status_Score]],IF(D188="","",R188+H188+T188+V188+AG188+AE188+Master20[[#This Row],[Risk Mitigation]]+Master20[[#This Row],[Master Plan]]+Master20[[#This Row],[Community Request]]+Master20[[#This Row],[Community need]]+Master20[[#This Row],[Offset Aging Inf.]]+Master20[[#This Row],[Energy Savings]]+Master20[[#This Row],[Gen Revenue]]-5))</f>
        <v>248</v>
      </c>
      <c r="AI188" s="302"/>
      <c r="AJ188" s="302" t="s">
        <v>1045</v>
      </c>
      <c r="AK188" s="302" t="s">
        <v>1045</v>
      </c>
      <c r="AL188" s="302" t="s">
        <v>1045</v>
      </c>
      <c r="AM188" s="302" t="s">
        <v>1045</v>
      </c>
      <c r="AN188" s="300"/>
      <c r="AO188" s="306"/>
      <c r="AP188" s="306"/>
      <c r="AQ188" s="306"/>
      <c r="AR188" s="306"/>
      <c r="AS188" s="306"/>
      <c r="AT188" s="306"/>
      <c r="AU188" s="306"/>
      <c r="AV188" s="306"/>
      <c r="AW188" s="306"/>
      <c r="AX188" s="306"/>
      <c r="AY188" s="306"/>
      <c r="AZ188" s="306"/>
      <c r="BA188" s="306"/>
      <c r="BB188" s="306"/>
      <c r="BC188" s="306"/>
      <c r="BD188" s="306"/>
      <c r="BE188" s="306"/>
      <c r="BF188" s="306"/>
      <c r="BG188" s="306"/>
      <c r="BH188" s="306"/>
      <c r="BI188" s="306"/>
      <c r="BJ188" s="306"/>
      <c r="BK188" s="306"/>
      <c r="BL188" s="306"/>
      <c r="BM188" s="306"/>
      <c r="BN188" s="306"/>
      <c r="BO188" s="306"/>
    </row>
    <row r="189" spans="1:67" s="298" customFormat="1" ht="75" hidden="1" x14ac:dyDescent="0.25">
      <c r="A189" s="307">
        <f t="shared" si="22"/>
        <v>188</v>
      </c>
      <c r="B189" s="300" t="s">
        <v>143</v>
      </c>
      <c r="C189" s="300" t="s">
        <v>1045</v>
      </c>
      <c r="D189" s="300" t="s">
        <v>767</v>
      </c>
      <c r="E189" s="300" t="s">
        <v>1035</v>
      </c>
      <c r="F189" s="300" t="s">
        <v>769</v>
      </c>
      <c r="G189" s="300" t="s">
        <v>1003</v>
      </c>
      <c r="H189" s="300">
        <f t="shared" si="26"/>
        <v>200</v>
      </c>
      <c r="I189" s="249"/>
      <c r="J189" s="249"/>
      <c r="K189" s="249">
        <f>Master20[[#This Row],[Initial Budget]]-Master20[[#This Row],[Previously Committed Funds]]</f>
        <v>0</v>
      </c>
      <c r="L189" s="249"/>
      <c r="M189" s="249"/>
      <c r="N189" s="258">
        <f>Master20[[#This Row],[Design $ (Add/Deduct)]]+Master20[[#This Row],[Construction $ (Add/Ded)]]</f>
        <v>0</v>
      </c>
      <c r="O189" s="256">
        <v>25000</v>
      </c>
      <c r="P189" s="301">
        <v>2020</v>
      </c>
      <c r="Q189" s="300" t="s">
        <v>686</v>
      </c>
      <c r="R189" s="301">
        <f t="shared" si="30"/>
        <v>60</v>
      </c>
      <c r="S189" s="302">
        <v>2</v>
      </c>
      <c r="T189" s="299">
        <f t="shared" si="31"/>
        <v>6</v>
      </c>
      <c r="U189" s="302" t="s">
        <v>37</v>
      </c>
      <c r="V189" s="302">
        <f t="shared" si="32"/>
        <v>3</v>
      </c>
      <c r="W189" s="302" t="s">
        <v>34</v>
      </c>
      <c r="X189" s="302">
        <v>0</v>
      </c>
      <c r="Y189" s="302">
        <v>0</v>
      </c>
      <c r="Z189" s="302">
        <v>-3</v>
      </c>
      <c r="AA189" s="302">
        <v>0</v>
      </c>
      <c r="AB189" s="302">
        <v>-2</v>
      </c>
      <c r="AC189" s="302">
        <v>0</v>
      </c>
      <c r="AD189" s="302">
        <v>0</v>
      </c>
      <c r="AE189" s="302"/>
      <c r="AF189" s="303" t="s">
        <v>29</v>
      </c>
      <c r="AG189" s="305">
        <f>VLOOKUP(Master20[[#This Row],[Elevated Priority]],Epriority,2,)</f>
        <v>0</v>
      </c>
      <c r="AH189" s="321">
        <f>IF(Master20[[#This Row],[Status]]="Active",Master20[[#This Row],[Status_Score]],IF(D189="","",R189+H189+T189+V189+AG189+AE189+Master20[[#This Row],[Risk Mitigation]]+Master20[[#This Row],[Master Plan]]+Master20[[#This Row],[Community Request]]+Master20[[#This Row],[Community need]]+Master20[[#This Row],[Offset Aging Inf.]]+Master20[[#This Row],[Energy Savings]]+Master20[[#This Row],[Gen Revenue]]-5))</f>
        <v>259</v>
      </c>
      <c r="AI189" s="302"/>
      <c r="AJ189" s="302">
        <v>2020</v>
      </c>
      <c r="AK189" s="302">
        <v>2021</v>
      </c>
      <c r="AL189" s="302">
        <v>2020</v>
      </c>
      <c r="AM189" s="302">
        <v>2021</v>
      </c>
      <c r="AN189" s="300"/>
      <c r="AO189" s="306"/>
      <c r="AP189" s="306"/>
      <c r="AQ189" s="306"/>
      <c r="AR189" s="306"/>
      <c r="AS189" s="306"/>
      <c r="AT189" s="306"/>
      <c r="AU189" s="306"/>
      <c r="AV189" s="306"/>
      <c r="AW189" s="306"/>
      <c r="AX189" s="306"/>
      <c r="AY189" s="306"/>
      <c r="AZ189" s="306"/>
      <c r="BA189" s="306"/>
      <c r="BB189" s="306"/>
      <c r="BC189" s="306"/>
      <c r="BD189" s="306"/>
      <c r="BE189" s="306"/>
      <c r="BF189" s="306"/>
      <c r="BG189" s="306"/>
      <c r="BH189" s="306"/>
      <c r="BI189" s="306"/>
      <c r="BJ189" s="306"/>
      <c r="BK189" s="306"/>
      <c r="BL189" s="306"/>
      <c r="BM189" s="306"/>
      <c r="BN189" s="306"/>
      <c r="BO189" s="306"/>
    </row>
    <row r="190" spans="1:67" s="298" customFormat="1" ht="30" hidden="1" x14ac:dyDescent="0.25">
      <c r="A190" s="307">
        <f t="shared" si="22"/>
        <v>189</v>
      </c>
      <c r="B190" s="378" t="s">
        <v>220</v>
      </c>
      <c r="C190" s="300" t="s">
        <v>1045</v>
      </c>
      <c r="D190" s="300" t="s">
        <v>772</v>
      </c>
      <c r="E190" s="300" t="s">
        <v>773</v>
      </c>
      <c r="F190" s="300" t="s">
        <v>838</v>
      </c>
      <c r="G190" s="300" t="s">
        <v>1003</v>
      </c>
      <c r="H190" s="300">
        <f t="shared" ref="H190:H223" si="33">VLOOKUP(G190,Status_Score,2,FALSE)</f>
        <v>200</v>
      </c>
      <c r="I190" s="249"/>
      <c r="J190" s="249"/>
      <c r="K190" s="249">
        <f>Master20[[#This Row],[Initial Budget]]-Master20[[#This Row],[Previously Committed Funds]]</f>
        <v>0</v>
      </c>
      <c r="L190" s="249"/>
      <c r="M190" s="249"/>
      <c r="N190" s="258">
        <f>Master20[[#This Row],[Design $ (Add/Deduct)]]+Master20[[#This Row],[Construction $ (Add/Ded)]]</f>
        <v>0</v>
      </c>
      <c r="O190" s="256" t="s">
        <v>224</v>
      </c>
      <c r="P190" s="301">
        <v>2018</v>
      </c>
      <c r="Q190" s="300" t="s">
        <v>686</v>
      </c>
      <c r="R190" s="301">
        <f t="shared" si="30"/>
        <v>60</v>
      </c>
      <c r="S190" s="302">
        <v>2</v>
      </c>
      <c r="T190" s="299">
        <f t="shared" si="31"/>
        <v>6</v>
      </c>
      <c r="U190" s="302" t="s">
        <v>41</v>
      </c>
      <c r="V190" s="302">
        <f t="shared" si="32"/>
        <v>4</v>
      </c>
      <c r="W190" s="302" t="s">
        <v>34</v>
      </c>
      <c r="X190" s="302">
        <v>0</v>
      </c>
      <c r="Y190" s="302">
        <v>0</v>
      </c>
      <c r="Z190" s="302">
        <v>0</v>
      </c>
      <c r="AA190" s="302">
        <v>0</v>
      </c>
      <c r="AB190" s="302">
        <v>0</v>
      </c>
      <c r="AC190" s="302">
        <v>0</v>
      </c>
      <c r="AD190" s="302">
        <v>0</v>
      </c>
      <c r="AE190" s="302"/>
      <c r="AF190" s="303" t="s">
        <v>29</v>
      </c>
      <c r="AG190" s="305">
        <f>VLOOKUP(Master20[[#This Row],[Elevated Priority]],Epriority,2,)</f>
        <v>0</v>
      </c>
      <c r="AH190" s="321">
        <f>IF(Master20[[#This Row],[Status]]="Active",Master20[[#This Row],[Status_Score]],IF(D190="","",R190+H190+T190+V190+AG190+AE190+Master20[[#This Row],[Risk Mitigation]]+Master20[[#This Row],[Master Plan]]+Master20[[#This Row],[Community Request]]+Master20[[#This Row],[Community need]]+Master20[[#This Row],[Offset Aging Inf.]]+Master20[[#This Row],[Energy Savings]]+Master20[[#This Row],[Gen Revenue]]-5))</f>
        <v>265</v>
      </c>
      <c r="AI190" s="302"/>
      <c r="AJ190" s="302" t="s">
        <v>1045</v>
      </c>
      <c r="AK190" s="302" t="s">
        <v>1045</v>
      </c>
      <c r="AL190" s="302" t="s">
        <v>1045</v>
      </c>
      <c r="AM190" s="302" t="s">
        <v>1045</v>
      </c>
      <c r="AN190" s="300" t="s">
        <v>942</v>
      </c>
      <c r="AO190" s="306"/>
      <c r="AP190" s="306"/>
      <c r="AQ190" s="306"/>
      <c r="AR190" s="306"/>
      <c r="AS190" s="306"/>
      <c r="AT190" s="306"/>
      <c r="AU190" s="306"/>
      <c r="AV190" s="306"/>
      <c r="AW190" s="306"/>
      <c r="AX190" s="306"/>
      <c r="AY190" s="306"/>
      <c r="AZ190" s="306"/>
      <c r="BA190" s="306"/>
      <c r="BB190" s="306"/>
      <c r="BC190" s="306"/>
      <c r="BD190" s="306"/>
      <c r="BE190" s="306"/>
      <c r="BF190" s="306"/>
      <c r="BG190" s="306"/>
      <c r="BH190" s="306"/>
      <c r="BI190" s="306"/>
      <c r="BJ190" s="306"/>
      <c r="BK190" s="306"/>
      <c r="BL190" s="306"/>
      <c r="BM190" s="306"/>
      <c r="BN190" s="306"/>
      <c r="BO190" s="306"/>
    </row>
    <row r="191" spans="1:67" s="298" customFormat="1" ht="105" hidden="1" x14ac:dyDescent="0.25">
      <c r="A191" s="307">
        <f t="shared" si="22"/>
        <v>190</v>
      </c>
      <c r="B191" s="300" t="s">
        <v>143</v>
      </c>
      <c r="C191" s="300" t="s">
        <v>1045</v>
      </c>
      <c r="D191" s="300" t="s">
        <v>144</v>
      </c>
      <c r="E191" s="300" t="s">
        <v>145</v>
      </c>
      <c r="F191" s="300" t="s">
        <v>146</v>
      </c>
      <c r="G191" s="300" t="s">
        <v>1003</v>
      </c>
      <c r="H191" s="300">
        <f t="shared" si="33"/>
        <v>200</v>
      </c>
      <c r="I191" s="249"/>
      <c r="J191" s="249"/>
      <c r="K191" s="249">
        <f>Master20[[#This Row],[Initial Budget]]-Master20[[#This Row],[Previously Committed Funds]]</f>
        <v>0</v>
      </c>
      <c r="L191" s="249"/>
      <c r="M191" s="249"/>
      <c r="N191" s="258">
        <f>Master20[[#This Row],[Design $ (Add/Deduct)]]+Master20[[#This Row],[Construction $ (Add/Ded)]]</f>
        <v>0</v>
      </c>
      <c r="O191" s="256">
        <v>50000</v>
      </c>
      <c r="P191" s="301">
        <v>2018</v>
      </c>
      <c r="Q191" s="300" t="s">
        <v>686</v>
      </c>
      <c r="R191" s="301">
        <f t="shared" si="30"/>
        <v>60</v>
      </c>
      <c r="S191" s="302">
        <v>3</v>
      </c>
      <c r="T191" s="299">
        <f t="shared" si="31"/>
        <v>9</v>
      </c>
      <c r="U191" s="302" t="s">
        <v>41</v>
      </c>
      <c r="V191" s="302">
        <f t="shared" si="32"/>
        <v>4</v>
      </c>
      <c r="W191" s="302" t="s">
        <v>34</v>
      </c>
      <c r="X191" s="302">
        <v>0</v>
      </c>
      <c r="Y191" s="302">
        <v>0</v>
      </c>
      <c r="Z191" s="302">
        <v>0</v>
      </c>
      <c r="AA191" s="302">
        <v>0</v>
      </c>
      <c r="AB191" s="302">
        <v>0</v>
      </c>
      <c r="AC191" s="302">
        <v>0</v>
      </c>
      <c r="AD191" s="302">
        <v>-1</v>
      </c>
      <c r="AE191" s="302"/>
      <c r="AF191" s="303" t="s">
        <v>29</v>
      </c>
      <c r="AG191" s="305">
        <f>VLOOKUP(Master20[[#This Row],[Elevated Priority]],Epriority,2,)</f>
        <v>0</v>
      </c>
      <c r="AH191" s="321">
        <f>IF(Master20[[#This Row],[Status]]="Active",Master20[[#This Row],[Status_Score]],IF(D191="","",R191+H191+T191+V191+AG191+AE191+Master20[[#This Row],[Risk Mitigation]]+Master20[[#This Row],[Master Plan]]+Master20[[#This Row],[Community Request]]+Master20[[#This Row],[Community need]]+Master20[[#This Row],[Offset Aging Inf.]]+Master20[[#This Row],[Energy Savings]]+Master20[[#This Row],[Gen Revenue]]-5))</f>
        <v>267</v>
      </c>
      <c r="AI191" s="302"/>
      <c r="AJ191" s="302" t="s">
        <v>1045</v>
      </c>
      <c r="AK191" s="302" t="s">
        <v>1045</v>
      </c>
      <c r="AL191" s="302" t="s">
        <v>1045</v>
      </c>
      <c r="AM191" s="302" t="s">
        <v>1045</v>
      </c>
      <c r="AN191" s="300" t="s">
        <v>942</v>
      </c>
      <c r="AO191" s="306"/>
      <c r="AP191" s="306"/>
      <c r="AQ191" s="306"/>
      <c r="AR191" s="306"/>
      <c r="AS191" s="306"/>
      <c r="AT191" s="306"/>
      <c r="AU191" s="306"/>
      <c r="AV191" s="306"/>
      <c r="AW191" s="306"/>
      <c r="AX191" s="306"/>
      <c r="AY191" s="306"/>
      <c r="AZ191" s="306"/>
      <c r="BA191" s="306"/>
      <c r="BB191" s="306"/>
      <c r="BC191" s="306"/>
      <c r="BD191" s="306"/>
      <c r="BE191" s="306"/>
      <c r="BF191" s="306"/>
      <c r="BG191" s="306"/>
      <c r="BH191" s="306"/>
      <c r="BI191" s="306"/>
      <c r="BJ191" s="306"/>
      <c r="BK191" s="306"/>
      <c r="BL191" s="306"/>
      <c r="BM191" s="306"/>
      <c r="BN191" s="306"/>
      <c r="BO191" s="306"/>
    </row>
    <row r="192" spans="1:67" s="298" customFormat="1" ht="75" hidden="1" x14ac:dyDescent="0.25">
      <c r="A192" s="307"/>
      <c r="B192" s="378" t="s">
        <v>143</v>
      </c>
      <c r="C192" s="300" t="s">
        <v>1045</v>
      </c>
      <c r="D192" s="300" t="s">
        <v>166</v>
      </c>
      <c r="E192" s="300" t="s">
        <v>167</v>
      </c>
      <c r="F192" s="300" t="s">
        <v>763</v>
      </c>
      <c r="G192" s="300" t="s">
        <v>1003</v>
      </c>
      <c r="H192" s="300">
        <f t="shared" si="33"/>
        <v>200</v>
      </c>
      <c r="I192" s="249"/>
      <c r="J192" s="249"/>
      <c r="K192" s="249">
        <f>Master20[[#This Row],[Initial Budget]]-Master20[[#This Row],[Previously Committed Funds]]</f>
        <v>0</v>
      </c>
      <c r="L192" s="249"/>
      <c r="M192" s="249"/>
      <c r="N192" s="258">
        <f>Master20[[#This Row],[Design $ (Add/Deduct)]]+Master20[[#This Row],[Construction $ (Add/Ded)]]</f>
        <v>0</v>
      </c>
      <c r="O192" s="256">
        <v>40000</v>
      </c>
      <c r="P192" s="301">
        <v>2018</v>
      </c>
      <c r="Q192" s="300" t="s">
        <v>686</v>
      </c>
      <c r="R192" s="301">
        <f t="shared" si="30"/>
        <v>60</v>
      </c>
      <c r="S192" s="302">
        <v>5</v>
      </c>
      <c r="T192" s="299">
        <f t="shared" si="31"/>
        <v>15</v>
      </c>
      <c r="U192" s="302" t="s">
        <v>41</v>
      </c>
      <c r="V192" s="302">
        <f t="shared" si="32"/>
        <v>4</v>
      </c>
      <c r="W192" s="302" t="s">
        <v>34</v>
      </c>
      <c r="X192" s="302">
        <v>0</v>
      </c>
      <c r="Y192" s="302">
        <v>0</v>
      </c>
      <c r="Z192" s="302">
        <v>0</v>
      </c>
      <c r="AA192" s="302">
        <v>0</v>
      </c>
      <c r="AB192" s="302">
        <v>0</v>
      </c>
      <c r="AC192" s="302">
        <v>0</v>
      </c>
      <c r="AD192" s="302">
        <v>-1</v>
      </c>
      <c r="AE192" s="302"/>
      <c r="AF192" s="303" t="s">
        <v>29</v>
      </c>
      <c r="AG192" s="305">
        <f>VLOOKUP(Master20[[#This Row],[Elevated Priority]],Epriority,2,)</f>
        <v>0</v>
      </c>
      <c r="AH192" s="321">
        <f>IF(Master20[[#This Row],[Status]]="Active",Master20[[#This Row],[Status_Score]],IF(D192="","",R192+H192+T192+V192+AG192+AE192+Master20[[#This Row],[Risk Mitigation]]+Master20[[#This Row],[Master Plan]]+Master20[[#This Row],[Community Request]]+Master20[[#This Row],[Community need]]+Master20[[#This Row],[Offset Aging Inf.]]+Master20[[#This Row],[Energy Savings]]+Master20[[#This Row],[Gen Revenue]]-5))</f>
        <v>273</v>
      </c>
      <c r="AI192" s="302"/>
      <c r="AJ192" s="302" t="s">
        <v>1045</v>
      </c>
      <c r="AK192" s="302" t="s">
        <v>1045</v>
      </c>
      <c r="AL192" s="302" t="s">
        <v>1045</v>
      </c>
      <c r="AM192" s="302" t="s">
        <v>1045</v>
      </c>
      <c r="AN192" s="300"/>
      <c r="AO192" s="306"/>
      <c r="AP192" s="306"/>
      <c r="AQ192" s="306"/>
      <c r="AR192" s="306"/>
      <c r="AS192" s="306"/>
      <c r="AT192" s="306"/>
      <c r="AU192" s="306"/>
      <c r="AV192" s="306"/>
      <c r="AW192" s="306"/>
      <c r="AX192" s="306"/>
      <c r="AY192" s="306"/>
      <c r="AZ192" s="306"/>
      <c r="BA192" s="306"/>
      <c r="BB192" s="306"/>
      <c r="BC192" s="306"/>
      <c r="BD192" s="306"/>
      <c r="BE192" s="306"/>
      <c r="BF192" s="306"/>
      <c r="BG192" s="306"/>
      <c r="BH192" s="306"/>
      <c r="BI192" s="306"/>
      <c r="BJ192" s="306"/>
      <c r="BK192" s="306"/>
      <c r="BL192" s="306"/>
      <c r="BM192" s="306"/>
      <c r="BN192" s="306"/>
      <c r="BO192" s="306"/>
    </row>
    <row r="193" spans="1:67" s="298" customFormat="1" ht="30" hidden="1" x14ac:dyDescent="0.25">
      <c r="A193" s="307"/>
      <c r="B193" s="300" t="s">
        <v>94</v>
      </c>
      <c r="C193" s="300" t="s">
        <v>1045</v>
      </c>
      <c r="D193" s="300" t="s">
        <v>506</v>
      </c>
      <c r="E193" s="300" t="s">
        <v>507</v>
      </c>
      <c r="F193" s="300" t="s">
        <v>909</v>
      </c>
      <c r="G193" s="300" t="s">
        <v>1003</v>
      </c>
      <c r="H193" s="300">
        <f t="shared" si="33"/>
        <v>200</v>
      </c>
      <c r="I193" s="249"/>
      <c r="J193" s="249"/>
      <c r="K193" s="249">
        <f>Master20[[#This Row],[Initial Budget]]-Master20[[#This Row],[Previously Committed Funds]]</f>
        <v>0</v>
      </c>
      <c r="L193" s="249"/>
      <c r="M193" s="249"/>
      <c r="N193" s="258">
        <f>Master20[[#This Row],[Design $ (Add/Deduct)]]+Master20[[#This Row],[Construction $ (Add/Ded)]]</f>
        <v>0</v>
      </c>
      <c r="O193" s="256">
        <v>350000</v>
      </c>
      <c r="P193" s="301">
        <v>2018</v>
      </c>
      <c r="Q193" s="300" t="s">
        <v>46</v>
      </c>
      <c r="R193" s="301">
        <f t="shared" si="30"/>
        <v>50</v>
      </c>
      <c r="S193" s="302">
        <v>23</v>
      </c>
      <c r="T193" s="299">
        <f t="shared" si="31"/>
        <v>28</v>
      </c>
      <c r="U193" s="302" t="s">
        <v>41</v>
      </c>
      <c r="V193" s="302">
        <f t="shared" si="32"/>
        <v>4</v>
      </c>
      <c r="W193" s="302" t="s">
        <v>30</v>
      </c>
      <c r="X193" s="302">
        <v>0</v>
      </c>
      <c r="Y193" s="302">
        <v>0</v>
      </c>
      <c r="Z193" s="302">
        <v>0</v>
      </c>
      <c r="AA193" s="302">
        <v>0</v>
      </c>
      <c r="AB193" s="302">
        <v>0</v>
      </c>
      <c r="AC193" s="302">
        <v>0</v>
      </c>
      <c r="AD193" s="302">
        <v>0</v>
      </c>
      <c r="AE193" s="302"/>
      <c r="AF193" s="303" t="s">
        <v>29</v>
      </c>
      <c r="AG193" s="305">
        <f>VLOOKUP(Master20[[#This Row],[Elevated Priority]],Epriority,2,)</f>
        <v>0</v>
      </c>
      <c r="AH193" s="321">
        <f>IF(Master20[[#This Row],[Status]]="Active",Master20[[#This Row],[Status_Score]],IF(D193="","",R193+H193+T193+V193+AG193+AE193+Master20[[#This Row],[Risk Mitigation]]+Master20[[#This Row],[Master Plan]]+Master20[[#This Row],[Community Request]]+Master20[[#This Row],[Community need]]+Master20[[#This Row],[Offset Aging Inf.]]+Master20[[#This Row],[Energy Savings]]+Master20[[#This Row],[Gen Revenue]]-5))</f>
        <v>277</v>
      </c>
      <c r="AI193" s="302"/>
      <c r="AJ193" s="302" t="s">
        <v>1045</v>
      </c>
      <c r="AK193" s="302" t="s">
        <v>1045</v>
      </c>
      <c r="AL193" s="302" t="s">
        <v>1045</v>
      </c>
      <c r="AM193" s="302" t="s">
        <v>1045</v>
      </c>
      <c r="AN193" s="300"/>
      <c r="AO193" s="306"/>
      <c r="AP193" s="306"/>
      <c r="AQ193" s="306"/>
      <c r="AR193" s="306"/>
      <c r="AS193" s="306"/>
      <c r="AT193" s="306"/>
      <c r="AU193" s="306"/>
      <c r="AV193" s="306"/>
      <c r="AW193" s="306"/>
      <c r="AX193" s="306"/>
      <c r="AY193" s="306"/>
      <c r="AZ193" s="306"/>
      <c r="BA193" s="306"/>
      <c r="BB193" s="306"/>
      <c r="BC193" s="306"/>
      <c r="BD193" s="306"/>
      <c r="BE193" s="306"/>
      <c r="BF193" s="306"/>
      <c r="BG193" s="306"/>
      <c r="BH193" s="306"/>
      <c r="BI193" s="306"/>
      <c r="BJ193" s="306"/>
      <c r="BK193" s="306"/>
      <c r="BL193" s="306"/>
      <c r="BM193" s="306"/>
      <c r="BN193" s="306"/>
      <c r="BO193" s="306"/>
    </row>
    <row r="194" spans="1:67" s="298" customFormat="1" ht="30" hidden="1" x14ac:dyDescent="0.25">
      <c r="A194" s="307"/>
      <c r="B194" s="378" t="s">
        <v>94</v>
      </c>
      <c r="C194" s="300" t="s">
        <v>1045</v>
      </c>
      <c r="D194" s="300" t="s">
        <v>411</v>
      </c>
      <c r="E194" s="300" t="s">
        <v>412</v>
      </c>
      <c r="F194" s="300" t="s">
        <v>413</v>
      </c>
      <c r="G194" s="300" t="s">
        <v>1003</v>
      </c>
      <c r="H194" s="300">
        <f t="shared" si="33"/>
        <v>200</v>
      </c>
      <c r="I194" s="249"/>
      <c r="J194" s="249"/>
      <c r="K194" s="249">
        <f>Master20[[#This Row],[Initial Budget]]-Master20[[#This Row],[Previously Committed Funds]]</f>
        <v>0</v>
      </c>
      <c r="L194" s="249"/>
      <c r="M194" s="249"/>
      <c r="N194" s="258">
        <f>Master20[[#This Row],[Design $ (Add/Deduct)]]+Master20[[#This Row],[Construction $ (Add/Ded)]]</f>
        <v>0</v>
      </c>
      <c r="O194" s="256">
        <v>150000</v>
      </c>
      <c r="P194" s="301">
        <v>2018</v>
      </c>
      <c r="Q194" s="300" t="s">
        <v>686</v>
      </c>
      <c r="R194" s="301">
        <f t="shared" si="30"/>
        <v>60</v>
      </c>
      <c r="S194" s="302">
        <v>21</v>
      </c>
      <c r="T194" s="299">
        <f t="shared" si="31"/>
        <v>27</v>
      </c>
      <c r="U194" s="302" t="s">
        <v>41</v>
      </c>
      <c r="V194" s="302">
        <f t="shared" si="32"/>
        <v>4</v>
      </c>
      <c r="W194" s="302" t="s">
        <v>30</v>
      </c>
      <c r="X194" s="302">
        <v>0</v>
      </c>
      <c r="Y194" s="302">
        <v>0</v>
      </c>
      <c r="Z194" s="302">
        <v>0</v>
      </c>
      <c r="AA194" s="302">
        <v>0</v>
      </c>
      <c r="AB194" s="302">
        <v>0</v>
      </c>
      <c r="AC194" s="302">
        <v>0</v>
      </c>
      <c r="AD194" s="302">
        <v>0</v>
      </c>
      <c r="AE194" s="302"/>
      <c r="AF194" s="303" t="s">
        <v>29</v>
      </c>
      <c r="AG194" s="305">
        <f>VLOOKUP(Master20[[#This Row],[Elevated Priority]],Epriority,2,)</f>
        <v>0</v>
      </c>
      <c r="AH194" s="321">
        <f>IF(Master20[[#This Row],[Status]]="Active",Master20[[#This Row],[Status_Score]],IF(D194="","",R194+H194+T194+V194+AG194+AE194+Master20[[#This Row],[Risk Mitigation]]+Master20[[#This Row],[Master Plan]]+Master20[[#This Row],[Community Request]]+Master20[[#This Row],[Community need]]+Master20[[#This Row],[Offset Aging Inf.]]+Master20[[#This Row],[Energy Savings]]+Master20[[#This Row],[Gen Revenue]]-5))</f>
        <v>286</v>
      </c>
      <c r="AI194" s="302"/>
      <c r="AJ194" s="302" t="s">
        <v>1045</v>
      </c>
      <c r="AK194" s="302" t="s">
        <v>1045</v>
      </c>
      <c r="AL194" s="302" t="s">
        <v>1045</v>
      </c>
      <c r="AM194" s="302" t="s">
        <v>1045</v>
      </c>
      <c r="AN194" s="300"/>
      <c r="AO194" s="306"/>
      <c r="AP194" s="306"/>
      <c r="AQ194" s="306"/>
      <c r="AR194" s="306"/>
      <c r="AS194" s="306"/>
      <c r="AT194" s="306"/>
      <c r="AU194" s="306"/>
      <c r="AV194" s="306"/>
      <c r="AW194" s="306"/>
      <c r="AX194" s="306"/>
      <c r="AY194" s="306"/>
      <c r="AZ194" s="306"/>
      <c r="BA194" s="306"/>
      <c r="BB194" s="306"/>
      <c r="BC194" s="306"/>
      <c r="BD194" s="306"/>
      <c r="BE194" s="306"/>
      <c r="BF194" s="306"/>
      <c r="BG194" s="306"/>
      <c r="BH194" s="306"/>
      <c r="BI194" s="306"/>
      <c r="BJ194" s="306"/>
      <c r="BK194" s="306"/>
      <c r="BL194" s="306"/>
      <c r="BM194" s="306"/>
      <c r="BN194" s="306"/>
      <c r="BO194" s="306"/>
    </row>
    <row r="195" spans="1:67" s="298" customFormat="1" ht="45" hidden="1" x14ac:dyDescent="0.25">
      <c r="A195" s="307"/>
      <c r="B195" s="300" t="s">
        <v>94</v>
      </c>
      <c r="C195" s="300" t="s">
        <v>1045</v>
      </c>
      <c r="D195" s="300" t="s">
        <v>1159</v>
      </c>
      <c r="E195" s="300" t="s">
        <v>1160</v>
      </c>
      <c r="F195" s="300" t="s">
        <v>1161</v>
      </c>
      <c r="G195" s="300" t="s">
        <v>29</v>
      </c>
      <c r="H195" s="300">
        <f>VLOOKUP(G195,Status_Score,2,FALSE)</f>
        <v>0</v>
      </c>
      <c r="I195" s="249"/>
      <c r="J195" s="249"/>
      <c r="K195" s="249">
        <f>Master20[[#This Row],[Initial Budget]]-Master20[[#This Row],[Previously Committed Funds]]</f>
        <v>0</v>
      </c>
      <c r="L195" s="249"/>
      <c r="M195" s="249"/>
      <c r="N195" s="258">
        <f>Master20[[#This Row],[Design $ (Add/Deduct)]]+Master20[[#This Row],[Construction $ (Add/Ded)]]</f>
        <v>0</v>
      </c>
      <c r="O195" s="256">
        <v>250000</v>
      </c>
      <c r="P195" s="301">
        <v>2022</v>
      </c>
      <c r="Q195" s="300" t="s">
        <v>32</v>
      </c>
      <c r="R195" s="301">
        <f t="shared" si="30"/>
        <v>1</v>
      </c>
      <c r="S195" s="302">
        <v>22</v>
      </c>
      <c r="T195" s="299">
        <f t="shared" ref="T195:T196" si="34">VLOOKUP(S195,Department,2,FALSE)</f>
        <v>27</v>
      </c>
      <c r="U195" s="302" t="s">
        <v>41</v>
      </c>
      <c r="V195" s="302">
        <f t="shared" ref="V195:V196" si="35">VLOOKUP(U195,Urgency,2,FALSE)</f>
        <v>4</v>
      </c>
      <c r="W195" s="302" t="s">
        <v>30</v>
      </c>
      <c r="X195" s="302">
        <v>0</v>
      </c>
      <c r="Y195" s="302">
        <v>0</v>
      </c>
      <c r="Z195" s="302">
        <v>0</v>
      </c>
      <c r="AA195" s="302">
        <v>0</v>
      </c>
      <c r="AB195" s="302">
        <v>0</v>
      </c>
      <c r="AC195" s="302">
        <v>0</v>
      </c>
      <c r="AD195" s="302">
        <v>0</v>
      </c>
      <c r="AE195" s="302"/>
      <c r="AF195" s="303" t="s">
        <v>29</v>
      </c>
      <c r="AG195" s="305">
        <f>VLOOKUP(Master20[[#This Row],[Elevated Priority]],Epriority,2,)</f>
        <v>0</v>
      </c>
      <c r="AH195" s="321">
        <f>IF(Master20[[#This Row],[Status]]="Active",Master20[[#This Row],[Status_Score]],IF(D195="","",R195+H195+T195+V195+AG195+AE195+Master20[[#This Row],[Risk Mitigation]]+Master20[[#This Row],[Master Plan]]+Master20[[#This Row],[Community Request]]+Master20[[#This Row],[Community need]]+Master20[[#This Row],[Offset Aging Inf.]]+Master20[[#This Row],[Energy Savings]]+Master20[[#This Row],[Gen Revenue]]-5))</f>
        <v>27</v>
      </c>
      <c r="AI195" s="302"/>
      <c r="AJ195" s="302" t="s">
        <v>1045</v>
      </c>
      <c r="AK195" s="302" t="s">
        <v>1045</v>
      </c>
      <c r="AL195" s="302" t="s">
        <v>1045</v>
      </c>
      <c r="AM195" s="302" t="s">
        <v>1045</v>
      </c>
      <c r="AN195" s="300"/>
      <c r="AO195" s="306"/>
      <c r="AP195" s="306"/>
      <c r="AQ195" s="306"/>
      <c r="AR195" s="306"/>
      <c r="AS195" s="306"/>
      <c r="AT195" s="306"/>
      <c r="AU195" s="306"/>
      <c r="AV195" s="306"/>
      <c r="AW195" s="306"/>
      <c r="AX195" s="306"/>
      <c r="AY195" s="306"/>
      <c r="AZ195" s="306"/>
      <c r="BA195" s="306"/>
      <c r="BB195" s="306"/>
      <c r="BC195" s="306"/>
      <c r="BD195" s="306"/>
      <c r="BE195" s="306"/>
      <c r="BF195" s="306"/>
      <c r="BG195" s="306"/>
      <c r="BH195" s="306"/>
      <c r="BI195" s="306"/>
      <c r="BJ195" s="306"/>
      <c r="BK195" s="306"/>
      <c r="BL195" s="306"/>
      <c r="BM195" s="306"/>
      <c r="BN195" s="306"/>
      <c r="BO195" s="306"/>
    </row>
    <row r="196" spans="1:67" s="298" customFormat="1" ht="30" hidden="1" x14ac:dyDescent="0.25">
      <c r="A196" s="307"/>
      <c r="B196" s="378" t="s">
        <v>1200</v>
      </c>
      <c r="C196" s="300" t="s">
        <v>1045</v>
      </c>
      <c r="D196" s="300" t="s">
        <v>1156</v>
      </c>
      <c r="E196" s="300" t="s">
        <v>1157</v>
      </c>
      <c r="F196" s="300" t="s">
        <v>1158</v>
      </c>
      <c r="G196" s="300" t="s">
        <v>29</v>
      </c>
      <c r="H196" s="300">
        <f>VLOOKUP(G196,Status_Score,2,FALSE)</f>
        <v>0</v>
      </c>
      <c r="I196" s="249"/>
      <c r="J196" s="249"/>
      <c r="K196" s="249">
        <f>Master20[[#This Row],[Initial Budget]]-Master20[[#This Row],[Previously Committed Funds]]</f>
        <v>0</v>
      </c>
      <c r="L196" s="249"/>
      <c r="M196" s="249"/>
      <c r="N196" s="258">
        <f>Master20[[#This Row],[Design $ (Add/Deduct)]]+Master20[[#This Row],[Construction $ (Add/Ded)]]</f>
        <v>0</v>
      </c>
      <c r="O196" s="256">
        <v>100000</v>
      </c>
      <c r="P196" s="301">
        <v>2022</v>
      </c>
      <c r="Q196" s="300" t="s">
        <v>32</v>
      </c>
      <c r="R196" s="301">
        <f t="shared" si="30"/>
        <v>1</v>
      </c>
      <c r="S196" s="302">
        <v>23</v>
      </c>
      <c r="T196" s="299">
        <f t="shared" si="34"/>
        <v>28</v>
      </c>
      <c r="U196" s="302" t="s">
        <v>41</v>
      </c>
      <c r="V196" s="302">
        <f t="shared" si="35"/>
        <v>4</v>
      </c>
      <c r="W196" s="302" t="s">
        <v>30</v>
      </c>
      <c r="X196" s="302">
        <v>0</v>
      </c>
      <c r="Y196" s="302">
        <v>0</v>
      </c>
      <c r="Z196" s="302">
        <v>0</v>
      </c>
      <c r="AA196" s="302">
        <v>0</v>
      </c>
      <c r="AB196" s="302">
        <v>0</v>
      </c>
      <c r="AC196" s="302">
        <v>0</v>
      </c>
      <c r="AD196" s="302">
        <v>0</v>
      </c>
      <c r="AE196" s="302"/>
      <c r="AF196" s="303" t="s">
        <v>29</v>
      </c>
      <c r="AG196" s="305">
        <f>VLOOKUP(Master20[[#This Row],[Elevated Priority]],Epriority,2,)</f>
        <v>0</v>
      </c>
      <c r="AH196" s="321">
        <f>IF(Master20[[#This Row],[Status]]="Active",Master20[[#This Row],[Status_Score]],IF(D196="","",R196+H196+T196+V196+AG196+AE196+Master20[[#This Row],[Risk Mitigation]]+Master20[[#This Row],[Master Plan]]+Master20[[#This Row],[Community Request]]+Master20[[#This Row],[Community need]]+Master20[[#This Row],[Offset Aging Inf.]]+Master20[[#This Row],[Energy Savings]]+Master20[[#This Row],[Gen Revenue]]-5))</f>
        <v>28</v>
      </c>
      <c r="AI196" s="302"/>
      <c r="AJ196" s="302" t="s">
        <v>1045</v>
      </c>
      <c r="AK196" s="302" t="s">
        <v>1045</v>
      </c>
      <c r="AL196" s="302" t="s">
        <v>1045</v>
      </c>
      <c r="AM196" s="302" t="s">
        <v>1045</v>
      </c>
      <c r="AN196" s="300"/>
      <c r="AO196" s="306"/>
      <c r="AP196" s="306"/>
      <c r="AQ196" s="306"/>
      <c r="AR196" s="306"/>
      <c r="AS196" s="306"/>
      <c r="AT196" s="306"/>
      <c r="AU196" s="306"/>
      <c r="AV196" s="306"/>
      <c r="AW196" s="306"/>
      <c r="AX196" s="306"/>
      <c r="AY196" s="306"/>
      <c r="AZ196" s="306"/>
      <c r="BA196" s="306"/>
      <c r="BB196" s="306"/>
      <c r="BC196" s="306"/>
      <c r="BD196" s="306"/>
      <c r="BE196" s="306"/>
      <c r="BF196" s="306"/>
      <c r="BG196" s="306"/>
      <c r="BH196" s="306"/>
      <c r="BI196" s="306"/>
      <c r="BJ196" s="306"/>
      <c r="BK196" s="306"/>
      <c r="BL196" s="306"/>
      <c r="BM196" s="306"/>
      <c r="BN196" s="306"/>
      <c r="BO196" s="306"/>
    </row>
    <row r="197" spans="1:67" ht="30" hidden="1" x14ac:dyDescent="0.25">
      <c r="A197" s="198"/>
      <c r="B197" s="324" t="s">
        <v>1218</v>
      </c>
      <c r="C197" s="324" t="s">
        <v>1201</v>
      </c>
      <c r="D197" s="204" t="s">
        <v>1031</v>
      </c>
      <c r="E197" s="204" t="s">
        <v>815</v>
      </c>
      <c r="F197" s="204" t="s">
        <v>853</v>
      </c>
      <c r="G197" s="204" t="s">
        <v>816</v>
      </c>
      <c r="H197" s="325">
        <f t="shared" si="33"/>
        <v>1000</v>
      </c>
      <c r="I197" s="326">
        <v>0</v>
      </c>
      <c r="J197" s="326"/>
      <c r="K197" s="326">
        <f>Master20[[#This Row],[Initial Budget]]-Master20[[#This Row],[Previously Committed Funds]]</f>
        <v>0</v>
      </c>
      <c r="L197" s="326"/>
      <c r="M197" s="326">
        <v>5000000</v>
      </c>
      <c r="N197" s="327">
        <f>Master20[[#This Row],[Design $ (Add/Deduct)]]+Master20[[#This Row],[Construction $ (Add/Ded)]]</f>
        <v>5000000</v>
      </c>
      <c r="O197" s="326">
        <f>Master20[[#This Row],[Total Add]]+Master20[[#This Row],[Current Available Balance]]+Master20[[#This Row],[Previously Committed Funds]]</f>
        <v>5000000</v>
      </c>
      <c r="P197" s="328">
        <v>2019</v>
      </c>
      <c r="Q197" s="204" t="s">
        <v>32</v>
      </c>
      <c r="R197" s="328">
        <f t="shared" si="30"/>
        <v>1</v>
      </c>
      <c r="S197" s="329">
        <v>1</v>
      </c>
      <c r="T197" s="329">
        <f t="shared" si="31"/>
        <v>3</v>
      </c>
      <c r="U197" s="329" t="s">
        <v>37</v>
      </c>
      <c r="V197" s="329">
        <f t="shared" si="32"/>
        <v>3</v>
      </c>
      <c r="W197" s="329" t="s">
        <v>30</v>
      </c>
      <c r="X197" s="329">
        <v>0</v>
      </c>
      <c r="Y197" s="329">
        <v>0</v>
      </c>
      <c r="Z197" s="329">
        <v>-3</v>
      </c>
      <c r="AA197" s="329">
        <v>-3</v>
      </c>
      <c r="AB197" s="329">
        <v>-2</v>
      </c>
      <c r="AC197" s="329">
        <v>0</v>
      </c>
      <c r="AD197" s="329">
        <v>-3</v>
      </c>
      <c r="AE197" s="329"/>
      <c r="AF197" s="330" t="s">
        <v>35</v>
      </c>
      <c r="AG197" s="328">
        <f>VLOOKUP(Master20[[#This Row],[Elevated Priority]],Epriority,2,)</f>
        <v>-25</v>
      </c>
      <c r="AH197" s="328">
        <f>IF(Master20[[#This Row],[Status]]="Active",Master20[[#This Row],[Status_Score]],IF(D197="","",R197+H197+T197+V197+AG197+AE197+Master20[[#This Row],[Risk Mitigation]]+Master20[[#This Row],[Master Plan]]+Master20[[#This Row],[Community Request]]+Master20[[#This Row],[Community need]]+Master20[[#This Row],[Offset Aging Inf.]]+Master20[[#This Row],[Energy Savings]]+Master20[[#This Row],[Gen Revenue]]-5))</f>
        <v>966</v>
      </c>
      <c r="AI197" s="329" t="s">
        <v>716</v>
      </c>
      <c r="AJ197" s="329">
        <v>2019</v>
      </c>
      <c r="AK197" s="329">
        <v>2020</v>
      </c>
      <c r="AL197" s="329">
        <v>2019</v>
      </c>
      <c r="AM197" s="329">
        <v>2021</v>
      </c>
      <c r="AN197" s="308"/>
    </row>
    <row r="198" spans="1:67" ht="60" hidden="1" x14ac:dyDescent="0.25">
      <c r="A198" s="198"/>
      <c r="B198" s="324" t="s">
        <v>65</v>
      </c>
      <c r="C198" s="324" t="s">
        <v>1045</v>
      </c>
      <c r="D198" s="204" t="s">
        <v>960</v>
      </c>
      <c r="E198" s="204" t="s">
        <v>961</v>
      </c>
      <c r="F198" s="204" t="s">
        <v>962</v>
      </c>
      <c r="G198" s="204" t="s">
        <v>816</v>
      </c>
      <c r="H198" s="325">
        <f t="shared" si="33"/>
        <v>1000</v>
      </c>
      <c r="I198" s="326"/>
      <c r="J198" s="326"/>
      <c r="K198" s="326">
        <f>Master20[[#This Row],[Initial Budget]]-Master20[[#This Row],[Previously Committed Funds]]</f>
        <v>0</v>
      </c>
      <c r="L198" s="326"/>
      <c r="M198" s="326"/>
      <c r="N198" s="327">
        <f>Master20[[#This Row],[Design $ (Add/Deduct)]]+Master20[[#This Row],[Construction $ (Add/Ded)]]</f>
        <v>0</v>
      </c>
      <c r="O198" s="331">
        <v>200000</v>
      </c>
      <c r="P198" s="328">
        <v>2019</v>
      </c>
      <c r="Q198" s="204" t="s">
        <v>32</v>
      </c>
      <c r="R198" s="328">
        <f t="shared" si="30"/>
        <v>1</v>
      </c>
      <c r="S198" s="329">
        <v>1</v>
      </c>
      <c r="T198" s="329">
        <f t="shared" si="31"/>
        <v>3</v>
      </c>
      <c r="U198" s="330" t="s">
        <v>33</v>
      </c>
      <c r="V198" s="329">
        <f t="shared" si="32"/>
        <v>1</v>
      </c>
      <c r="W198" s="329" t="s">
        <v>30</v>
      </c>
      <c r="X198" s="329">
        <v>0</v>
      </c>
      <c r="Y198" s="329">
        <v>0</v>
      </c>
      <c r="Z198" s="329">
        <v>0</v>
      </c>
      <c r="AA198" s="329">
        <v>0</v>
      </c>
      <c r="AB198" s="329">
        <v>0</v>
      </c>
      <c r="AC198" s="329">
        <v>0</v>
      </c>
      <c r="AD198" s="329">
        <v>0</v>
      </c>
      <c r="AE198" s="329"/>
      <c r="AF198" s="330" t="s">
        <v>39</v>
      </c>
      <c r="AG198" s="328">
        <f>VLOOKUP(Master20[[#This Row],[Elevated Priority]],Epriority,2,)</f>
        <v>-30</v>
      </c>
      <c r="AH198" s="328">
        <f>IF(Master20[[#This Row],[Status]]="Active",Master20[[#This Row],[Status_Score]],IF(D198="","",R198+H198+T198+V198+AG198+AE198+Master20[[#This Row],[Risk Mitigation]]+Master20[[#This Row],[Master Plan]]+Master20[[#This Row],[Community Request]]+Master20[[#This Row],[Community need]]+Master20[[#This Row],[Offset Aging Inf.]]+Master20[[#This Row],[Energy Savings]]+Master20[[#This Row],[Gen Revenue]]-5))</f>
        <v>970</v>
      </c>
      <c r="AI198" s="329"/>
      <c r="AJ198" s="329">
        <v>2019</v>
      </c>
      <c r="AK198" s="329">
        <v>2020</v>
      </c>
      <c r="AL198" s="329">
        <v>2019</v>
      </c>
      <c r="AM198" s="329">
        <v>2020</v>
      </c>
      <c r="AN198" s="308"/>
    </row>
    <row r="199" spans="1:67" ht="30" hidden="1" x14ac:dyDescent="0.25">
      <c r="A199" s="198"/>
      <c r="B199" s="324" t="s">
        <v>143</v>
      </c>
      <c r="C199" s="324" t="s">
        <v>1045</v>
      </c>
      <c r="D199" s="204" t="s">
        <v>1011</v>
      </c>
      <c r="E199" s="204" t="s">
        <v>1012</v>
      </c>
      <c r="F199" s="326" t="s">
        <v>1013</v>
      </c>
      <c r="G199" s="204" t="s">
        <v>816</v>
      </c>
      <c r="H199" s="325">
        <f t="shared" si="33"/>
        <v>1000</v>
      </c>
      <c r="I199" s="326"/>
      <c r="J199" s="326"/>
      <c r="K199" s="326">
        <f>Master20[[#This Row],[Initial Budget]]-Master20[[#This Row],[Previously Committed Funds]]</f>
        <v>0</v>
      </c>
      <c r="L199" s="326"/>
      <c r="M199" s="326"/>
      <c r="N199" s="327">
        <f>Master20[[#This Row],[Design $ (Add/Deduct)]]+Master20[[#This Row],[Construction $ (Add/Ded)]]</f>
        <v>0</v>
      </c>
      <c r="O199" s="332">
        <v>300000</v>
      </c>
      <c r="P199" s="328">
        <v>2021</v>
      </c>
      <c r="Q199" s="204" t="s">
        <v>830</v>
      </c>
      <c r="R199" s="328">
        <f t="shared" si="30"/>
        <v>10</v>
      </c>
      <c r="S199" s="330">
        <v>1</v>
      </c>
      <c r="T199" s="329">
        <f t="shared" si="31"/>
        <v>3</v>
      </c>
      <c r="U199" s="330" t="s">
        <v>33</v>
      </c>
      <c r="V199" s="329">
        <f t="shared" si="32"/>
        <v>1</v>
      </c>
      <c r="W199" s="329" t="s">
        <v>29</v>
      </c>
      <c r="X199" s="329">
        <v>0</v>
      </c>
      <c r="Y199" s="329">
        <v>0</v>
      </c>
      <c r="Z199" s="329">
        <v>-3</v>
      </c>
      <c r="AA199" s="329">
        <v>0</v>
      </c>
      <c r="AB199" s="329">
        <v>-2</v>
      </c>
      <c r="AC199" s="329">
        <v>-5</v>
      </c>
      <c r="AD199" s="329">
        <v>0</v>
      </c>
      <c r="AE199" s="329"/>
      <c r="AF199" s="330" t="s">
        <v>35</v>
      </c>
      <c r="AG199" s="328">
        <f>VLOOKUP(Master20[[#This Row],[Elevated Priority]],Epriority,2,)</f>
        <v>-25</v>
      </c>
      <c r="AH199" s="328">
        <f>IF(Master20[[#This Row],[Status]]="Active",Master20[[#This Row],[Status_Score]],IF(D199="","",R199+H199+T199+V199+AG199+AE199+Master20[[#This Row],[Risk Mitigation]]+Master20[[#This Row],[Master Plan]]+Master20[[#This Row],[Community Request]]+Master20[[#This Row],[Community need]]+Master20[[#This Row],[Offset Aging Inf.]]+Master20[[#This Row],[Energy Savings]]+Master20[[#This Row],[Gen Revenue]]-5))</f>
        <v>974</v>
      </c>
      <c r="AI199" s="329" t="s">
        <v>1054</v>
      </c>
      <c r="AJ199" s="329"/>
      <c r="AK199" s="329"/>
      <c r="AL199" s="329">
        <v>2020</v>
      </c>
      <c r="AM199" s="329">
        <v>2021</v>
      </c>
      <c r="AN199" s="308"/>
    </row>
    <row r="200" spans="1:67" ht="30" hidden="1" x14ac:dyDescent="0.25">
      <c r="A200" s="198"/>
      <c r="B200" s="204" t="s">
        <v>65</v>
      </c>
      <c r="C200" s="204" t="s">
        <v>1045</v>
      </c>
      <c r="D200" s="204" t="s">
        <v>963</v>
      </c>
      <c r="E200" s="204" t="s">
        <v>964</v>
      </c>
      <c r="F200" s="204" t="s">
        <v>965</v>
      </c>
      <c r="G200" s="204" t="s">
        <v>816</v>
      </c>
      <c r="H200" s="325">
        <f t="shared" si="33"/>
        <v>1000</v>
      </c>
      <c r="I200" s="326"/>
      <c r="J200" s="326"/>
      <c r="K200" s="326">
        <f>Master20[[#This Row],[Initial Budget]]-Master20[[#This Row],[Previously Committed Funds]]</f>
        <v>0</v>
      </c>
      <c r="L200" s="326"/>
      <c r="M200" s="326"/>
      <c r="N200" s="327">
        <f>Master20[[#This Row],[Design $ (Add/Deduct)]]+Master20[[#This Row],[Construction $ (Add/Ded)]]</f>
        <v>0</v>
      </c>
      <c r="O200" s="331">
        <v>750000</v>
      </c>
      <c r="P200" s="328">
        <v>2019</v>
      </c>
      <c r="Q200" s="204" t="s">
        <v>36</v>
      </c>
      <c r="R200" s="328">
        <f t="shared" si="30"/>
        <v>10</v>
      </c>
      <c r="S200" s="329">
        <v>1</v>
      </c>
      <c r="T200" s="329">
        <f t="shared" si="31"/>
        <v>3</v>
      </c>
      <c r="U200" s="330" t="s">
        <v>33</v>
      </c>
      <c r="V200" s="329">
        <f t="shared" si="32"/>
        <v>1</v>
      </c>
      <c r="W200" s="329" t="s">
        <v>30</v>
      </c>
      <c r="X200" s="329">
        <v>0</v>
      </c>
      <c r="Y200" s="329">
        <v>0</v>
      </c>
      <c r="Z200" s="329">
        <v>0</v>
      </c>
      <c r="AA200" s="329">
        <v>0</v>
      </c>
      <c r="AB200" s="329">
        <v>0</v>
      </c>
      <c r="AC200" s="329">
        <v>0</v>
      </c>
      <c r="AD200" s="329">
        <v>0</v>
      </c>
      <c r="AE200" s="329"/>
      <c r="AF200" s="330" t="s">
        <v>39</v>
      </c>
      <c r="AG200" s="328">
        <f>VLOOKUP(Master20[[#This Row],[Elevated Priority]],Epriority,2,)</f>
        <v>-30</v>
      </c>
      <c r="AH200" s="328">
        <f>IF(Master20[[#This Row],[Status]]="Active",Master20[[#This Row],[Status_Score]],IF(D200="","",R200+H200+T200+V200+AG200+AE200+Master20[[#This Row],[Risk Mitigation]]+Master20[[#This Row],[Master Plan]]+Master20[[#This Row],[Community Request]]+Master20[[#This Row],[Community need]]+Master20[[#This Row],[Offset Aging Inf.]]+Master20[[#This Row],[Energy Savings]]+Master20[[#This Row],[Gen Revenue]]-5))</f>
        <v>979</v>
      </c>
      <c r="AI200" s="329"/>
      <c r="AJ200" s="329">
        <v>2019</v>
      </c>
      <c r="AK200" s="329">
        <v>2020</v>
      </c>
      <c r="AL200" s="329">
        <v>2019</v>
      </c>
      <c r="AM200" s="329">
        <v>2020</v>
      </c>
      <c r="AN200" s="308"/>
    </row>
    <row r="201" spans="1:67" ht="30" hidden="1" x14ac:dyDescent="0.25">
      <c r="A201" s="198"/>
      <c r="B201" s="324" t="s">
        <v>67</v>
      </c>
      <c r="C201" s="324" t="s">
        <v>995</v>
      </c>
      <c r="D201" s="333" t="s">
        <v>872</v>
      </c>
      <c r="E201" s="333" t="s">
        <v>873</v>
      </c>
      <c r="F201" s="333" t="s">
        <v>874</v>
      </c>
      <c r="G201" s="204" t="s">
        <v>816</v>
      </c>
      <c r="H201" s="204">
        <f t="shared" si="33"/>
        <v>1000</v>
      </c>
      <c r="I201" s="326"/>
      <c r="J201" s="326"/>
      <c r="K201" s="326">
        <f>Master20[[#This Row],[Initial Budget]]-Master20[[#This Row],[Previously Committed Funds]]</f>
        <v>0</v>
      </c>
      <c r="L201" s="326"/>
      <c r="M201" s="326">
        <v>150000</v>
      </c>
      <c r="N201" s="327">
        <f>Master20[[#This Row],[Design $ (Add/Deduct)]]+Master20[[#This Row],[Construction $ (Add/Ded)]]</f>
        <v>150000</v>
      </c>
      <c r="O201" s="332">
        <v>550000</v>
      </c>
      <c r="P201" s="328">
        <v>2018</v>
      </c>
      <c r="Q201" s="204" t="s">
        <v>36</v>
      </c>
      <c r="R201" s="328">
        <f t="shared" si="30"/>
        <v>10</v>
      </c>
      <c r="S201" s="329">
        <v>1</v>
      </c>
      <c r="T201" s="329">
        <f t="shared" si="31"/>
        <v>3</v>
      </c>
      <c r="U201" s="329" t="s">
        <v>33</v>
      </c>
      <c r="V201" s="329">
        <f t="shared" si="32"/>
        <v>1</v>
      </c>
      <c r="W201" s="329" t="s">
        <v>34</v>
      </c>
      <c r="X201" s="329">
        <v>0</v>
      </c>
      <c r="Y201" s="329">
        <v>0</v>
      </c>
      <c r="Z201" s="329">
        <v>0</v>
      </c>
      <c r="AA201" s="329">
        <v>0</v>
      </c>
      <c r="AB201" s="329">
        <v>0</v>
      </c>
      <c r="AC201" s="329">
        <v>0</v>
      </c>
      <c r="AD201" s="329">
        <v>0</v>
      </c>
      <c r="AE201" s="329"/>
      <c r="AF201" s="330" t="s">
        <v>31</v>
      </c>
      <c r="AG201" s="328">
        <f>VLOOKUP(Master20[[#This Row],[Elevated Priority]],Epriority,2,)</f>
        <v>-25</v>
      </c>
      <c r="AH201" s="328">
        <f>IF(Master20[[#This Row],[Status]]="Active",Master20[[#This Row],[Status_Score]],IF(D201="","",R201+H201+T201+V201+AG201+AE201+Master20[[#This Row],[Risk Mitigation]]+Master20[[#This Row],[Master Plan]]+Master20[[#This Row],[Community Request]]+Master20[[#This Row],[Community need]]+Master20[[#This Row],[Offset Aging Inf.]]+Master20[[#This Row],[Energy Savings]]+Master20[[#This Row],[Gen Revenue]]-5))</f>
        <v>984</v>
      </c>
      <c r="AI201" s="329" t="s">
        <v>754</v>
      </c>
      <c r="AJ201" s="329">
        <v>2019</v>
      </c>
      <c r="AK201" s="329">
        <v>2020</v>
      </c>
      <c r="AL201" s="329">
        <v>2019</v>
      </c>
      <c r="AM201" s="329">
        <v>2020</v>
      </c>
      <c r="AN201" s="308"/>
    </row>
    <row r="202" spans="1:67" ht="45" hidden="1" x14ac:dyDescent="0.25">
      <c r="A202" s="198"/>
      <c r="B202" s="324" t="s">
        <v>79</v>
      </c>
      <c r="C202" s="324" t="s">
        <v>1045</v>
      </c>
      <c r="D202" s="204" t="s">
        <v>864</v>
      </c>
      <c r="E202" s="204" t="s">
        <v>862</v>
      </c>
      <c r="F202" s="204" t="s">
        <v>863</v>
      </c>
      <c r="G202" s="204" t="s">
        <v>816</v>
      </c>
      <c r="H202" s="325">
        <f t="shared" si="33"/>
        <v>1000</v>
      </c>
      <c r="I202" s="326"/>
      <c r="J202" s="326"/>
      <c r="K202" s="326">
        <f>Master20[[#This Row],[Initial Budget]]-Master20[[#This Row],[Previously Committed Funds]]</f>
        <v>0</v>
      </c>
      <c r="L202" s="326"/>
      <c r="M202" s="326"/>
      <c r="N202" s="327">
        <f>Master20[[#This Row],[Design $ (Add/Deduct)]]+Master20[[#This Row],[Construction $ (Add/Ded)]]</f>
        <v>0</v>
      </c>
      <c r="O202" s="332">
        <v>50000</v>
      </c>
      <c r="P202" s="328">
        <v>2020</v>
      </c>
      <c r="Q202" s="204" t="s">
        <v>830</v>
      </c>
      <c r="R202" s="328">
        <f t="shared" si="30"/>
        <v>10</v>
      </c>
      <c r="S202" s="329">
        <v>1</v>
      </c>
      <c r="T202" s="329">
        <f t="shared" si="31"/>
        <v>3</v>
      </c>
      <c r="U202" s="329" t="s">
        <v>33</v>
      </c>
      <c r="V202" s="329">
        <f t="shared" si="32"/>
        <v>1</v>
      </c>
      <c r="W202" s="329" t="s">
        <v>30</v>
      </c>
      <c r="X202" s="329">
        <v>0</v>
      </c>
      <c r="Y202" s="329">
        <v>0</v>
      </c>
      <c r="Z202" s="329">
        <v>0</v>
      </c>
      <c r="AA202" s="329">
        <v>0</v>
      </c>
      <c r="AB202" s="329">
        <v>0</v>
      </c>
      <c r="AC202" s="329">
        <v>0</v>
      </c>
      <c r="AD202" s="329">
        <v>0</v>
      </c>
      <c r="AE202" s="329"/>
      <c r="AF202" s="330" t="s">
        <v>31</v>
      </c>
      <c r="AG202" s="328">
        <f>VLOOKUP(Master20[[#This Row],[Elevated Priority]],Epriority,2,)</f>
        <v>-25</v>
      </c>
      <c r="AH202" s="328">
        <f>IF(Master20[[#This Row],[Status]]="Active",Master20[[#This Row],[Status_Score]],IF(D202="","",R202+H202+T202+V202+AG202+AE202+Master20[[#This Row],[Risk Mitigation]]+Master20[[#This Row],[Master Plan]]+Master20[[#This Row],[Community Request]]+Master20[[#This Row],[Community need]]+Master20[[#This Row],[Offset Aging Inf.]]+Master20[[#This Row],[Energy Savings]]+Master20[[#This Row],[Gen Revenue]]-5))</f>
        <v>984</v>
      </c>
      <c r="AI202" s="329" t="s">
        <v>758</v>
      </c>
      <c r="AJ202" s="329">
        <v>2020</v>
      </c>
      <c r="AK202" s="329">
        <v>2020</v>
      </c>
      <c r="AL202" s="329">
        <v>2020</v>
      </c>
      <c r="AM202" s="329">
        <v>2021</v>
      </c>
      <c r="AN202" s="308"/>
    </row>
    <row r="203" spans="1:67" s="66" customFormat="1" ht="61.5" hidden="1" customHeight="1" x14ac:dyDescent="0.25">
      <c r="A203" s="198"/>
      <c r="B203" s="204" t="s">
        <v>72</v>
      </c>
      <c r="C203" s="204" t="s">
        <v>1045</v>
      </c>
      <c r="D203" s="204" t="s">
        <v>13</v>
      </c>
      <c r="E203" s="204" t="s">
        <v>845</v>
      </c>
      <c r="F203" s="204" t="s">
        <v>846</v>
      </c>
      <c r="G203" s="204" t="s">
        <v>816</v>
      </c>
      <c r="H203" s="204">
        <f t="shared" si="33"/>
        <v>1000</v>
      </c>
      <c r="I203" s="334">
        <v>2000000</v>
      </c>
      <c r="J203" s="334">
        <v>1392886</v>
      </c>
      <c r="K203" s="334">
        <f>Master20[[#This Row],[Initial Budget]]-Master20[[#This Row],[Previously Committed Funds]]</f>
        <v>607114</v>
      </c>
      <c r="L203" s="334"/>
      <c r="M203" s="335">
        <v>16000000</v>
      </c>
      <c r="N203" s="336">
        <f>Master20[[#This Row],[Design $ (Add/Deduct)]]+Master20[[#This Row],[Construction $ (Add/Ded)]]</f>
        <v>16000000</v>
      </c>
      <c r="O203" s="337">
        <f>Master20[[#This Row],[Total Add]]+Master20[[#This Row],[Current Available Balance]]+Master20[[#This Row],[Previously Committed Funds]]</f>
        <v>18000000</v>
      </c>
      <c r="P203" s="330">
        <v>2018</v>
      </c>
      <c r="Q203" s="204" t="s">
        <v>29</v>
      </c>
      <c r="R203" s="204">
        <f>VLOOKUP(Q203,Importance, 2, FALSE)</f>
        <v>0</v>
      </c>
      <c r="S203" s="330" t="s">
        <v>29</v>
      </c>
      <c r="T203" s="204">
        <f t="shared" si="31"/>
        <v>0</v>
      </c>
      <c r="U203" s="204" t="s">
        <v>29</v>
      </c>
      <c r="V203" s="204">
        <f t="shared" si="32"/>
        <v>0</v>
      </c>
      <c r="W203" s="204" t="s">
        <v>38</v>
      </c>
      <c r="X203" s="204"/>
      <c r="Y203" s="204"/>
      <c r="Z203" s="204"/>
      <c r="AA203" s="204"/>
      <c r="AB203" s="204"/>
      <c r="AC203" s="204"/>
      <c r="AD203" s="204"/>
      <c r="AE203" s="204"/>
      <c r="AF203" s="204" t="s">
        <v>29</v>
      </c>
      <c r="AG203" s="204">
        <f>VLOOKUP(Master20[[#This Row],[Elevated Priority]],Epriority,2,)</f>
        <v>0</v>
      </c>
      <c r="AH203" s="328">
        <f>IF(Master20[[#This Row],[Status]]="Active",Master20[[#This Row],[Status_Score]],IF(D203="","",R203+H203+T203+V203+AG203+AE203+Master20[[#This Row],[Risk Mitigation]]+Master20[[#This Row],[Master Plan]]+Master20[[#This Row],[Community Request]]+Master20[[#This Row],[Community need]]+Master20[[#This Row],[Offset Aging Inf.]]+Master20[[#This Row],[Energy Savings]]+Master20[[#This Row],[Gen Revenue]]-5))</f>
        <v>995</v>
      </c>
      <c r="AI203" s="329" t="s">
        <v>757</v>
      </c>
      <c r="AJ203" s="329">
        <v>2017</v>
      </c>
      <c r="AK203" s="329">
        <v>2020</v>
      </c>
      <c r="AL203" s="329">
        <v>2017</v>
      </c>
      <c r="AM203" s="329">
        <v>2020</v>
      </c>
      <c r="AN203" s="308" t="s">
        <v>157</v>
      </c>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row>
    <row r="204" spans="1:67" s="66" customFormat="1" ht="31.5" hidden="1" customHeight="1" x14ac:dyDescent="0.25">
      <c r="A204" s="198"/>
      <c r="B204" s="204" t="s">
        <v>65</v>
      </c>
      <c r="C204" s="204" t="s">
        <v>1045</v>
      </c>
      <c r="D204" s="204" t="s">
        <v>733</v>
      </c>
      <c r="E204" s="204" t="s">
        <v>709</v>
      </c>
      <c r="F204" s="338" t="s">
        <v>735</v>
      </c>
      <c r="G204" s="204" t="s">
        <v>816</v>
      </c>
      <c r="H204" s="204">
        <f t="shared" si="33"/>
        <v>1000</v>
      </c>
      <c r="I204" s="334">
        <v>1319975</v>
      </c>
      <c r="J204" s="334">
        <v>230202.8</v>
      </c>
      <c r="K204" s="334">
        <f>Master20[[#This Row],[Initial Budget]]-Master20[[#This Row],[Previously Committed Funds]]</f>
        <v>1089772.2</v>
      </c>
      <c r="L204" s="334">
        <v>89000</v>
      </c>
      <c r="M204" s="335">
        <f>2425000-Master20[[#This Row],[Design $ (Add/Deduct)]]-Master20[[#This Row],[Current Available Balance]]-Master20[[#This Row],[Previously Committed Funds]]</f>
        <v>1016025</v>
      </c>
      <c r="N204" s="336">
        <f>Master20[[#This Row],[Design $ (Add/Deduct)]]+Master20[[#This Row],[Construction $ (Add/Ded)]]</f>
        <v>1105025</v>
      </c>
      <c r="O204" s="337">
        <f>Master20[[#This Row],[Total Add]]+Master20[[#This Row],[Current Available Balance]]+Master20[[#This Row],[Previously Committed Funds]]</f>
        <v>2425000</v>
      </c>
      <c r="P204" s="330">
        <v>2018</v>
      </c>
      <c r="Q204" s="204" t="s">
        <v>29</v>
      </c>
      <c r="R204" s="204">
        <f>VLOOKUP(Q204,Importance, 2, FALSE)</f>
        <v>0</v>
      </c>
      <c r="S204" s="330" t="s">
        <v>29</v>
      </c>
      <c r="T204" s="204">
        <f t="shared" si="31"/>
        <v>0</v>
      </c>
      <c r="U204" s="204" t="s">
        <v>29</v>
      </c>
      <c r="V204" s="204">
        <f t="shared" si="32"/>
        <v>0</v>
      </c>
      <c r="W204" s="204" t="s">
        <v>38</v>
      </c>
      <c r="X204" s="204"/>
      <c r="Y204" s="204"/>
      <c r="Z204" s="204"/>
      <c r="AA204" s="204"/>
      <c r="AB204" s="204"/>
      <c r="AC204" s="204"/>
      <c r="AD204" s="204"/>
      <c r="AE204" s="204"/>
      <c r="AF204" s="204" t="s">
        <v>29</v>
      </c>
      <c r="AG204" s="204">
        <f>VLOOKUP(Master20[[#This Row],[Elevated Priority]],Epriority,2,)</f>
        <v>0</v>
      </c>
      <c r="AH204" s="328">
        <f>IF(Master20[[#This Row],[Status]]="Active",Master20[[#This Row],[Status_Score]],IF(D204="","",R204+H204+T204+V204+AG204+AE204+Master20[[#This Row],[Risk Mitigation]]+Master20[[#This Row],[Master Plan]]+Master20[[#This Row],[Community Request]]+Master20[[#This Row],[Community need]]+Master20[[#This Row],[Offset Aging Inf.]]+Master20[[#This Row],[Energy Savings]]+Master20[[#This Row],[Gen Revenue]]-5))</f>
        <v>995</v>
      </c>
      <c r="AI204" s="330" t="s">
        <v>715</v>
      </c>
      <c r="AJ204" s="330">
        <v>2017</v>
      </c>
      <c r="AK204" s="330">
        <v>2020</v>
      </c>
      <c r="AL204" s="330">
        <v>2017</v>
      </c>
      <c r="AM204" s="330">
        <v>2020</v>
      </c>
      <c r="AN204" s="308" t="s">
        <v>740</v>
      </c>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row>
    <row r="205" spans="1:67" ht="57.75" hidden="1" customHeight="1" x14ac:dyDescent="0.25">
      <c r="A205" s="198"/>
      <c r="B205" s="324" t="s">
        <v>732</v>
      </c>
      <c r="C205" s="204" t="s">
        <v>1045</v>
      </c>
      <c r="D205" s="204" t="s">
        <v>733</v>
      </c>
      <c r="E205" s="204" t="s">
        <v>709</v>
      </c>
      <c r="F205" s="204" t="s">
        <v>735</v>
      </c>
      <c r="G205" s="204" t="s">
        <v>816</v>
      </c>
      <c r="H205" s="204">
        <f t="shared" si="33"/>
        <v>1000</v>
      </c>
      <c r="I205" s="334">
        <v>342669</v>
      </c>
      <c r="J205" s="334">
        <v>11710</v>
      </c>
      <c r="K205" s="334">
        <f>Master20[[#This Row],[Initial Budget]]-Master20[[#This Row],[Previously Committed Funds]]</f>
        <v>330959</v>
      </c>
      <c r="L205" s="334">
        <v>0</v>
      </c>
      <c r="M205" s="335">
        <f>175000-Master20[[#This Row],[Current Available Balance]]-Master20[[#This Row],[Previously Committed Funds]]</f>
        <v>-167669</v>
      </c>
      <c r="N205" s="336">
        <f>Master20[[#This Row],[Design $ (Add/Deduct)]]+Master20[[#This Row],[Construction $ (Add/Ded)]]</f>
        <v>-167669</v>
      </c>
      <c r="O205" s="337">
        <f>Master20[[#This Row],[Total Add]]+Master20[[#This Row],[Current Available Balance]]+Master20[[#This Row],[Previously Committed Funds]]</f>
        <v>175000</v>
      </c>
      <c r="P205" s="330">
        <v>2017</v>
      </c>
      <c r="Q205" s="204" t="s">
        <v>29</v>
      </c>
      <c r="R205" s="204"/>
      <c r="S205" s="330">
        <v>1</v>
      </c>
      <c r="T205" s="204"/>
      <c r="U205" s="204" t="s">
        <v>37</v>
      </c>
      <c r="V205" s="204"/>
      <c r="W205" s="204" t="s">
        <v>38</v>
      </c>
      <c r="X205" s="204"/>
      <c r="Y205" s="204"/>
      <c r="Z205" s="204"/>
      <c r="AA205" s="204"/>
      <c r="AB205" s="204"/>
      <c r="AC205" s="204"/>
      <c r="AD205" s="204"/>
      <c r="AE205" s="204"/>
      <c r="AF205" s="204" t="s">
        <v>29</v>
      </c>
      <c r="AG205" s="204">
        <f>VLOOKUP(Master20[[#This Row],[Elevated Priority]],Epriority,2,)</f>
        <v>0</v>
      </c>
      <c r="AH205" s="328">
        <f>IF(Master20[[#This Row],[Status]]="Active",Master20[[#This Row],[Status_Score]],IF(D205="","",R205+H205+T205+V205+AG205+AE205+Master20[[#This Row],[Risk Mitigation]]+Master20[[#This Row],[Master Plan]]+Master20[[#This Row],[Community Request]]+Master20[[#This Row],[Community need]]+Master20[[#This Row],[Offset Aging Inf.]]+Master20[[#This Row],[Energy Savings]]+Master20[[#This Row],[Gen Revenue]]-5))</f>
        <v>995</v>
      </c>
      <c r="AI205" s="330" t="s">
        <v>715</v>
      </c>
      <c r="AJ205" s="330">
        <v>2017</v>
      </c>
      <c r="AK205" s="330">
        <v>2020</v>
      </c>
      <c r="AL205" s="330">
        <v>2017</v>
      </c>
      <c r="AM205" s="330">
        <v>2020</v>
      </c>
      <c r="AN205" s="308"/>
    </row>
    <row r="206" spans="1:67" ht="30" hidden="1" x14ac:dyDescent="0.25">
      <c r="A206" s="198"/>
      <c r="B206" s="324" t="s">
        <v>65</v>
      </c>
      <c r="C206" s="204" t="s">
        <v>1045</v>
      </c>
      <c r="D206" s="204" t="s">
        <v>734</v>
      </c>
      <c r="E206" s="204" t="s">
        <v>709</v>
      </c>
      <c r="F206" s="204" t="s">
        <v>868</v>
      </c>
      <c r="G206" s="204" t="s">
        <v>816</v>
      </c>
      <c r="H206" s="204">
        <f t="shared" si="33"/>
        <v>1000</v>
      </c>
      <c r="I206" s="334">
        <v>0</v>
      </c>
      <c r="J206" s="334">
        <v>0</v>
      </c>
      <c r="K206" s="334">
        <f>Master20[[#This Row],[Initial Budget]]-Master20[[#This Row],[Previously Committed Funds]]</f>
        <v>0</v>
      </c>
      <c r="L206" s="334">
        <v>9000</v>
      </c>
      <c r="M206" s="334">
        <v>218000</v>
      </c>
      <c r="N206" s="336">
        <f>Master20[[#This Row],[Design $ (Add/Deduct)]]+Master20[[#This Row],[Construction $ (Add/Ded)]]</f>
        <v>227000</v>
      </c>
      <c r="O206" s="334">
        <f>Master20[[#This Row],[Total Add]]+Master20[[#This Row],[Current Available Balance]]+Master20[[#This Row],[Previously Committed Funds]]</f>
        <v>227000</v>
      </c>
      <c r="P206" s="330">
        <v>2017</v>
      </c>
      <c r="Q206" s="204" t="s">
        <v>29</v>
      </c>
      <c r="R206" s="204"/>
      <c r="S206" s="330">
        <v>1</v>
      </c>
      <c r="T206" s="204"/>
      <c r="U206" s="204" t="s">
        <v>37</v>
      </c>
      <c r="V206" s="204"/>
      <c r="W206" s="204" t="s">
        <v>38</v>
      </c>
      <c r="X206" s="204"/>
      <c r="Y206" s="204"/>
      <c r="Z206" s="204"/>
      <c r="AA206" s="204"/>
      <c r="AB206" s="204"/>
      <c r="AC206" s="204"/>
      <c r="AD206" s="204"/>
      <c r="AE206" s="204"/>
      <c r="AF206" s="204" t="s">
        <v>29</v>
      </c>
      <c r="AG206" s="204">
        <f>VLOOKUP(Master20[[#This Row],[Elevated Priority]],Epriority,2,)</f>
        <v>0</v>
      </c>
      <c r="AH206" s="328">
        <f>IF(Master20[[#This Row],[Status]]="Active",Master20[[#This Row],[Status_Score]],IF(D206="","",R206+H206+T206+V206+AG206+AE206+Master20[[#This Row],[Risk Mitigation]]+Master20[[#This Row],[Master Plan]]+Master20[[#This Row],[Community Request]]+Master20[[#This Row],[Community need]]+Master20[[#This Row],[Offset Aging Inf.]]+Master20[[#This Row],[Energy Savings]]+Master20[[#This Row],[Gen Revenue]]-5))</f>
        <v>995</v>
      </c>
      <c r="AI206" s="330" t="s">
        <v>715</v>
      </c>
      <c r="AJ206" s="330">
        <v>2017</v>
      </c>
      <c r="AK206" s="330">
        <v>2020</v>
      </c>
      <c r="AL206" s="330">
        <v>2017</v>
      </c>
      <c r="AM206" s="330">
        <v>2020</v>
      </c>
      <c r="AN206" s="308"/>
    </row>
    <row r="207" spans="1:67" ht="30" hidden="1" x14ac:dyDescent="0.25">
      <c r="A207" s="198"/>
      <c r="B207" s="324" t="s">
        <v>65</v>
      </c>
      <c r="C207" s="204" t="s">
        <v>1045</v>
      </c>
      <c r="D207" s="204" t="s">
        <v>869</v>
      </c>
      <c r="E207" s="204" t="s">
        <v>709</v>
      </c>
      <c r="F207" s="204" t="s">
        <v>870</v>
      </c>
      <c r="G207" s="204" t="s">
        <v>816</v>
      </c>
      <c r="H207" s="204">
        <f t="shared" si="33"/>
        <v>1000</v>
      </c>
      <c r="I207" s="334">
        <v>450000</v>
      </c>
      <c r="J207" s="334">
        <v>101407.72</v>
      </c>
      <c r="K207" s="334">
        <f>Master20[[#This Row],[Initial Budget]]-Master20[[#This Row],[Previously Committed Funds]]</f>
        <v>348592.28</v>
      </c>
      <c r="L207" s="334">
        <v>21160</v>
      </c>
      <c r="M207" s="335">
        <f>635435-Master20[[#This Row],[Design $ (Add/Deduct)]]-Master20[[#This Row],[Current Available Balance]]-Master20[[#This Row],[Previously Committed Funds]]</f>
        <v>164274.99999999997</v>
      </c>
      <c r="N207" s="336">
        <f>Master20[[#This Row],[Design $ (Add/Deduct)]]+Master20[[#This Row],[Construction $ (Add/Ded)]]</f>
        <v>185434.99999999997</v>
      </c>
      <c r="O207" s="337">
        <f>Master20[[#This Row],[Total Add]]+Master20[[#This Row],[Current Available Balance]]+Master20[[#This Row],[Previously Committed Funds]]</f>
        <v>635435</v>
      </c>
      <c r="P207" s="330">
        <v>2017</v>
      </c>
      <c r="Q207" s="204" t="s">
        <v>29</v>
      </c>
      <c r="R207" s="204"/>
      <c r="S207" s="330">
        <v>1</v>
      </c>
      <c r="T207" s="204"/>
      <c r="U207" s="204" t="s">
        <v>37</v>
      </c>
      <c r="V207" s="204"/>
      <c r="W207" s="204" t="s">
        <v>38</v>
      </c>
      <c r="X207" s="204"/>
      <c r="Y207" s="204"/>
      <c r="Z207" s="204"/>
      <c r="AA207" s="204"/>
      <c r="AB207" s="204"/>
      <c r="AC207" s="204"/>
      <c r="AD207" s="204"/>
      <c r="AE207" s="204"/>
      <c r="AF207" s="204" t="s">
        <v>29</v>
      </c>
      <c r="AG207" s="204">
        <f>VLOOKUP(Master20[[#This Row],[Elevated Priority]],Epriority,2,)</f>
        <v>0</v>
      </c>
      <c r="AH207" s="328">
        <f>IF(Master20[[#This Row],[Status]]="Active",Master20[[#This Row],[Status_Score]],IF(D207="","",R207+H207+T207+V207+AG207+AE207+Master20[[#This Row],[Risk Mitigation]]+Master20[[#This Row],[Master Plan]]+Master20[[#This Row],[Community Request]]+Master20[[#This Row],[Community need]]+Master20[[#This Row],[Offset Aging Inf.]]+Master20[[#This Row],[Energy Savings]]+Master20[[#This Row],[Gen Revenue]]-5))</f>
        <v>995</v>
      </c>
      <c r="AI207" s="330" t="s">
        <v>715</v>
      </c>
      <c r="AJ207" s="330">
        <v>2017</v>
      </c>
      <c r="AK207" s="330">
        <v>2020</v>
      </c>
      <c r="AL207" s="330">
        <v>2017</v>
      </c>
      <c r="AM207" s="330">
        <v>2020</v>
      </c>
      <c r="AN207" s="308"/>
    </row>
    <row r="208" spans="1:67" ht="60" hidden="1" x14ac:dyDescent="0.25">
      <c r="A208" s="198"/>
      <c r="B208" s="324" t="s">
        <v>1200</v>
      </c>
      <c r="C208" s="204" t="s">
        <v>1045</v>
      </c>
      <c r="D208" s="204" t="s">
        <v>742</v>
      </c>
      <c r="E208" s="204" t="s">
        <v>847</v>
      </c>
      <c r="F208" s="204" t="s">
        <v>848</v>
      </c>
      <c r="G208" s="204" t="s">
        <v>816</v>
      </c>
      <c r="H208" s="204">
        <f t="shared" si="33"/>
        <v>1000</v>
      </c>
      <c r="I208" s="334">
        <v>350000</v>
      </c>
      <c r="J208" s="334">
        <v>287550</v>
      </c>
      <c r="K208" s="334">
        <f>Master20[[#This Row],[Initial Budget]]-Master20[[#This Row],[Previously Committed Funds]]</f>
        <v>62450</v>
      </c>
      <c r="L208" s="334">
        <v>30000</v>
      </c>
      <c r="M208" s="335">
        <v>2200000</v>
      </c>
      <c r="N208" s="336">
        <f>Master20[[#This Row],[Design $ (Add/Deduct)]]+Master20[[#This Row],[Construction $ (Add/Ded)]]</f>
        <v>2230000</v>
      </c>
      <c r="O208" s="337">
        <f>Master20[[#This Row],[Total Add]]+Master20[[#This Row],[Current Available Balance]]+Master20[[#This Row],[Previously Committed Funds]]</f>
        <v>2580000</v>
      </c>
      <c r="P208" s="330">
        <v>2018</v>
      </c>
      <c r="Q208" s="204" t="s">
        <v>29</v>
      </c>
      <c r="R208" s="204">
        <f>VLOOKUP(Q208,Importance, 2, FALSE)</f>
        <v>0</v>
      </c>
      <c r="S208" s="330" t="s">
        <v>29</v>
      </c>
      <c r="T208" s="204">
        <f t="shared" ref="T208:T245" si="36">VLOOKUP(S208,Department,2,FALSE)</f>
        <v>0</v>
      </c>
      <c r="U208" s="204" t="s">
        <v>29</v>
      </c>
      <c r="V208" s="204">
        <f t="shared" ref="V208:V230" si="37">VLOOKUP(U208,Urgency,2,FALSE)</f>
        <v>0</v>
      </c>
      <c r="W208" s="204" t="s">
        <v>38</v>
      </c>
      <c r="X208" s="204"/>
      <c r="Y208" s="204"/>
      <c r="Z208" s="204"/>
      <c r="AA208" s="204"/>
      <c r="AB208" s="204"/>
      <c r="AC208" s="204"/>
      <c r="AD208" s="204"/>
      <c r="AE208" s="204"/>
      <c r="AF208" s="204" t="s">
        <v>29</v>
      </c>
      <c r="AG208" s="204">
        <f>VLOOKUP(Master20[[#This Row],[Elevated Priority]],Epriority,2,)</f>
        <v>0</v>
      </c>
      <c r="AH208" s="328">
        <f>IF(Master20[[#This Row],[Status]]="Active",Master20[[#This Row],[Status_Score]],IF(D208="","",R208+H208+T208+V208+AG208+AE208+Master20[[#This Row],[Risk Mitigation]]+Master20[[#This Row],[Master Plan]]+Master20[[#This Row],[Community Request]]+Master20[[#This Row],[Community need]]+Master20[[#This Row],[Offset Aging Inf.]]+Master20[[#This Row],[Energy Savings]]+Master20[[#This Row],[Gen Revenue]]-5))</f>
        <v>995</v>
      </c>
      <c r="AI208" s="329" t="s">
        <v>757</v>
      </c>
      <c r="AJ208" s="329">
        <v>2018</v>
      </c>
      <c r="AK208" s="329">
        <v>2020</v>
      </c>
      <c r="AL208" s="329">
        <v>2018</v>
      </c>
      <c r="AM208" s="329">
        <v>2020</v>
      </c>
      <c r="AN208" s="308"/>
    </row>
    <row r="209" spans="1:40" ht="75" hidden="1" x14ac:dyDescent="0.25">
      <c r="A209" s="198"/>
      <c r="B209" s="324" t="s">
        <v>1200</v>
      </c>
      <c r="C209" s="204" t="s">
        <v>1045</v>
      </c>
      <c r="D209" s="204" t="s">
        <v>743</v>
      </c>
      <c r="E209" s="204" t="s">
        <v>849</v>
      </c>
      <c r="F209" s="204" t="s">
        <v>850</v>
      </c>
      <c r="G209" s="204" t="s">
        <v>816</v>
      </c>
      <c r="H209" s="204">
        <f t="shared" si="33"/>
        <v>1000</v>
      </c>
      <c r="I209" s="334">
        <v>0</v>
      </c>
      <c r="J209" s="334">
        <v>0</v>
      </c>
      <c r="K209" s="334">
        <f>Master20[[#This Row],[Initial Budget]]-Master20[[#This Row],[Previously Committed Funds]]</f>
        <v>0</v>
      </c>
      <c r="L209" s="334">
        <v>280000</v>
      </c>
      <c r="M209" s="334">
        <v>5000000</v>
      </c>
      <c r="N209" s="336">
        <f>Master20[[#This Row],[Design $ (Add/Deduct)]]+Master20[[#This Row],[Construction $ (Add/Ded)]]</f>
        <v>5280000</v>
      </c>
      <c r="O209" s="334">
        <f>Master20[[#This Row],[Total Add]]+Master20[[#This Row],[Current Available Balance]]+Master20[[#This Row],[Previously Committed Funds]]</f>
        <v>5280000</v>
      </c>
      <c r="P209" s="330">
        <v>2018</v>
      </c>
      <c r="Q209" s="204" t="s">
        <v>29</v>
      </c>
      <c r="R209" s="204">
        <f>VLOOKUP(Q209,Importance, 2, FALSE)</f>
        <v>0</v>
      </c>
      <c r="S209" s="339" t="s">
        <v>29</v>
      </c>
      <c r="T209" s="204">
        <f t="shared" si="36"/>
        <v>0</v>
      </c>
      <c r="U209" s="204" t="s">
        <v>29</v>
      </c>
      <c r="V209" s="204">
        <f t="shared" si="37"/>
        <v>0</v>
      </c>
      <c r="W209" s="333" t="s">
        <v>38</v>
      </c>
      <c r="X209" s="204"/>
      <c r="Y209" s="204"/>
      <c r="Z209" s="204"/>
      <c r="AA209" s="204"/>
      <c r="AB209" s="204"/>
      <c r="AC209" s="204"/>
      <c r="AD209" s="204"/>
      <c r="AE209" s="204"/>
      <c r="AF209" s="204" t="s">
        <v>29</v>
      </c>
      <c r="AG209" s="204">
        <f>VLOOKUP(Master20[[#This Row],[Elevated Priority]],Epriority,2,)</f>
        <v>0</v>
      </c>
      <c r="AH209" s="328">
        <f>IF(Master20[[#This Row],[Status]]="Active",Master20[[#This Row],[Status_Score]],IF(D209="","",R209+H209+T209+V209+AG209+AE209+Master20[[#This Row],[Risk Mitigation]]+Master20[[#This Row],[Master Plan]]+Master20[[#This Row],[Community Request]]+Master20[[#This Row],[Community need]]+Master20[[#This Row],[Offset Aging Inf.]]+Master20[[#This Row],[Energy Savings]]+Master20[[#This Row],[Gen Revenue]]-5))</f>
        <v>995</v>
      </c>
      <c r="AI209" s="329" t="s">
        <v>757</v>
      </c>
      <c r="AJ209" s="329">
        <v>2018</v>
      </c>
      <c r="AK209" s="329">
        <v>2020</v>
      </c>
      <c r="AL209" s="329">
        <v>2018</v>
      </c>
      <c r="AM209" s="329">
        <v>2020</v>
      </c>
      <c r="AN209" s="308"/>
    </row>
    <row r="210" spans="1:40" ht="30" hidden="1" x14ac:dyDescent="0.25">
      <c r="A210" s="198"/>
      <c r="B210" s="324" t="s">
        <v>646</v>
      </c>
      <c r="C210" s="204" t="s">
        <v>1045</v>
      </c>
      <c r="D210" s="204" t="s">
        <v>956</v>
      </c>
      <c r="E210" s="204" t="s">
        <v>957</v>
      </c>
      <c r="F210" s="204" t="s">
        <v>958</v>
      </c>
      <c r="G210" s="204" t="s">
        <v>816</v>
      </c>
      <c r="H210" s="325">
        <f t="shared" si="33"/>
        <v>1000</v>
      </c>
      <c r="I210" s="334">
        <v>78500</v>
      </c>
      <c r="J210" s="334"/>
      <c r="K210" s="334">
        <f>Master20[[#This Row],[Initial Budget]]-Master20[[#This Row],[Previously Committed Funds]]</f>
        <v>78500</v>
      </c>
      <c r="L210" s="334">
        <v>0</v>
      </c>
      <c r="M210" s="335">
        <v>0</v>
      </c>
      <c r="N210" s="336">
        <f>Master20[[#This Row],[Design $ (Add/Deduct)]]+Master20[[#This Row],[Construction $ (Add/Ded)]]</f>
        <v>0</v>
      </c>
      <c r="O210" s="323">
        <v>80000</v>
      </c>
      <c r="P210" s="328">
        <v>2020</v>
      </c>
      <c r="Q210" s="204" t="s">
        <v>32</v>
      </c>
      <c r="R210" s="328">
        <f t="shared" ref="R210:R215" si="38">VLOOKUP(Q210,Importance,2,FALSE)</f>
        <v>1</v>
      </c>
      <c r="S210" s="330">
        <v>1</v>
      </c>
      <c r="T210" s="329">
        <f t="shared" si="36"/>
        <v>3</v>
      </c>
      <c r="U210" s="330" t="s">
        <v>33</v>
      </c>
      <c r="V210" s="329">
        <f t="shared" si="37"/>
        <v>1</v>
      </c>
      <c r="W210" s="329" t="s">
        <v>30</v>
      </c>
      <c r="X210" s="329">
        <v>0</v>
      </c>
      <c r="Y210" s="329">
        <v>0</v>
      </c>
      <c r="Z210" s="329">
        <v>0</v>
      </c>
      <c r="AA210" s="329">
        <v>0</v>
      </c>
      <c r="AB210" s="329">
        <v>0</v>
      </c>
      <c r="AC210" s="329">
        <v>0</v>
      </c>
      <c r="AD210" s="329">
        <v>0</v>
      </c>
      <c r="AE210" s="329"/>
      <c r="AF210" s="330" t="s">
        <v>29</v>
      </c>
      <c r="AG210" s="328">
        <f>VLOOKUP(Master20[[#This Row],[Elevated Priority]],Epriority,2,)</f>
        <v>0</v>
      </c>
      <c r="AH210" s="328">
        <f>IF(Master20[[#This Row],[Status]]="Active",Master20[[#This Row],[Status_Score]],IF(D210="","",R210+H210+T210+V210+AG210+AE210+Master20[[#This Row],[Risk Mitigation]]+Master20[[#This Row],[Master Plan]]+Master20[[#This Row],[Community Request]]+Master20[[#This Row],[Community need]]+Master20[[#This Row],[Offset Aging Inf.]]+Master20[[#This Row],[Energy Savings]]+Master20[[#This Row],[Gen Revenue]]-5))</f>
        <v>1000</v>
      </c>
      <c r="AI210" s="329" t="s">
        <v>754</v>
      </c>
      <c r="AJ210" s="329">
        <v>2020</v>
      </c>
      <c r="AK210" s="329">
        <v>2021</v>
      </c>
      <c r="AL210" s="329">
        <v>2020</v>
      </c>
      <c r="AM210" s="329">
        <v>2021</v>
      </c>
      <c r="AN210" s="304"/>
    </row>
    <row r="211" spans="1:40" ht="120" hidden="1" x14ac:dyDescent="0.25">
      <c r="A211" s="198"/>
      <c r="B211" s="324" t="s">
        <v>67</v>
      </c>
      <c r="C211" s="204" t="s">
        <v>73</v>
      </c>
      <c r="D211" s="204" t="s">
        <v>1020</v>
      </c>
      <c r="E211" s="204" t="s">
        <v>108</v>
      </c>
      <c r="F211" s="204" t="s">
        <v>883</v>
      </c>
      <c r="G211" s="204" t="s">
        <v>816</v>
      </c>
      <c r="H211" s="204">
        <f t="shared" si="33"/>
        <v>1000</v>
      </c>
      <c r="I211" s="334"/>
      <c r="J211" s="334"/>
      <c r="K211" s="334">
        <f>Master20[[#This Row],[Initial Budget]]-Master20[[#This Row],[Previously Committed Funds]]</f>
        <v>0</v>
      </c>
      <c r="L211" s="334"/>
      <c r="M211" s="335"/>
      <c r="N211" s="336">
        <f>Master20[[#This Row],[Design $ (Add/Deduct)]]+Master20[[#This Row],[Construction $ (Add/Ded)]]</f>
        <v>0</v>
      </c>
      <c r="O211" s="323">
        <v>150000</v>
      </c>
      <c r="P211" s="328">
        <v>2018</v>
      </c>
      <c r="Q211" s="204" t="s">
        <v>32</v>
      </c>
      <c r="R211" s="328">
        <f t="shared" si="38"/>
        <v>1</v>
      </c>
      <c r="S211" s="329">
        <v>1</v>
      </c>
      <c r="T211" s="329">
        <f t="shared" si="36"/>
        <v>3</v>
      </c>
      <c r="U211" s="329" t="s">
        <v>41</v>
      </c>
      <c r="V211" s="329">
        <f t="shared" si="37"/>
        <v>4</v>
      </c>
      <c r="W211" s="329" t="s">
        <v>30</v>
      </c>
      <c r="X211" s="329">
        <v>0</v>
      </c>
      <c r="Y211" s="329">
        <v>0</v>
      </c>
      <c r="Z211" s="329">
        <v>0</v>
      </c>
      <c r="AA211" s="329">
        <v>-2.5</v>
      </c>
      <c r="AB211" s="329">
        <v>0</v>
      </c>
      <c r="AC211" s="329">
        <v>0</v>
      </c>
      <c r="AD211" s="329">
        <v>0</v>
      </c>
      <c r="AE211" s="329"/>
      <c r="AF211" s="330" t="s">
        <v>29</v>
      </c>
      <c r="AG211" s="328">
        <f>VLOOKUP(Master20[[#This Row],[Elevated Priority]],Epriority,2,)</f>
        <v>0</v>
      </c>
      <c r="AH211" s="328">
        <f>IF(Master20[[#This Row],[Status]]="Active",Master20[[#This Row],[Status_Score]],IF(D211="","",R211+H211+T211+V211+AG211+AE211+Master20[[#This Row],[Risk Mitigation]]+Master20[[#This Row],[Master Plan]]+Master20[[#This Row],[Community Request]]+Master20[[#This Row],[Community need]]+Master20[[#This Row],[Offset Aging Inf.]]+Master20[[#This Row],[Energy Savings]]+Master20[[#This Row],[Gen Revenue]]-5))</f>
        <v>1000.5</v>
      </c>
      <c r="AI211" s="329" t="s">
        <v>718</v>
      </c>
      <c r="AJ211" s="329">
        <v>2020</v>
      </c>
      <c r="AK211" s="329">
        <v>2021</v>
      </c>
      <c r="AL211" s="329">
        <v>2020</v>
      </c>
      <c r="AM211" s="329">
        <v>2021</v>
      </c>
      <c r="AN211" s="308"/>
    </row>
    <row r="212" spans="1:40" ht="120" hidden="1" x14ac:dyDescent="0.25">
      <c r="A212" s="198"/>
      <c r="B212" s="324" t="s">
        <v>94</v>
      </c>
      <c r="C212" s="324" t="s">
        <v>1045</v>
      </c>
      <c r="D212" s="204" t="s">
        <v>99</v>
      </c>
      <c r="E212" s="204" t="s">
        <v>875</v>
      </c>
      <c r="F212" s="204" t="s">
        <v>876</v>
      </c>
      <c r="G212" s="204" t="s">
        <v>816</v>
      </c>
      <c r="H212" s="204">
        <f t="shared" si="33"/>
        <v>1000</v>
      </c>
      <c r="I212" s="334">
        <v>150000</v>
      </c>
      <c r="J212" s="334">
        <v>0</v>
      </c>
      <c r="K212" s="334">
        <f>Master20[[#This Row],[Initial Budget]]-Master20[[#This Row],[Previously Committed Funds]]</f>
        <v>150000</v>
      </c>
      <c r="L212" s="334">
        <v>0</v>
      </c>
      <c r="M212" s="335">
        <v>0</v>
      </c>
      <c r="N212" s="336">
        <v>1850000</v>
      </c>
      <c r="O212" s="323">
        <v>1150000</v>
      </c>
      <c r="P212" s="328">
        <v>2018</v>
      </c>
      <c r="Q212" s="204" t="s">
        <v>32</v>
      </c>
      <c r="R212" s="328">
        <f t="shared" si="38"/>
        <v>1</v>
      </c>
      <c r="S212" s="329">
        <v>1</v>
      </c>
      <c r="T212" s="329">
        <f t="shared" si="36"/>
        <v>3</v>
      </c>
      <c r="U212" s="329" t="s">
        <v>37</v>
      </c>
      <c r="V212" s="329">
        <f t="shared" si="37"/>
        <v>3</v>
      </c>
      <c r="W212" s="329" t="s">
        <v>30</v>
      </c>
      <c r="X212" s="329">
        <v>0</v>
      </c>
      <c r="Y212" s="329">
        <v>0</v>
      </c>
      <c r="Z212" s="329">
        <v>0</v>
      </c>
      <c r="AA212" s="329">
        <v>0</v>
      </c>
      <c r="AB212" s="329">
        <v>0</v>
      </c>
      <c r="AC212" s="329">
        <v>0</v>
      </c>
      <c r="AD212" s="329">
        <v>0</v>
      </c>
      <c r="AE212" s="329"/>
      <c r="AF212" s="330" t="s">
        <v>29</v>
      </c>
      <c r="AG212" s="328">
        <f>VLOOKUP(Master20[[#This Row],[Elevated Priority]],Epriority,2,)</f>
        <v>0</v>
      </c>
      <c r="AH212" s="328">
        <f>IF(Master20[[#This Row],[Status]]="Active",Master20[[#This Row],[Status_Score]],IF(D212="","",R212+H212+T212+V212+AG212+AE212+Master20[[#This Row],[Risk Mitigation]]+Master20[[#This Row],[Master Plan]]+Master20[[#This Row],[Community Request]]+Master20[[#This Row],[Community need]]+Master20[[#This Row],[Offset Aging Inf.]]+Master20[[#This Row],[Energy Savings]]+Master20[[#This Row],[Gen Revenue]]-5))</f>
        <v>1002</v>
      </c>
      <c r="AI212" s="329" t="s">
        <v>715</v>
      </c>
      <c r="AJ212" s="329">
        <v>2019</v>
      </c>
      <c r="AK212" s="329">
        <v>2020</v>
      </c>
      <c r="AL212" s="329">
        <v>2019</v>
      </c>
      <c r="AM212" s="329">
        <v>2021</v>
      </c>
      <c r="AN212" s="308"/>
    </row>
    <row r="213" spans="1:40" ht="45" hidden="1" x14ac:dyDescent="0.25">
      <c r="A213" s="198"/>
      <c r="B213" s="204" t="s">
        <v>1200</v>
      </c>
      <c r="C213" s="204" t="s">
        <v>1202</v>
      </c>
      <c r="D213" s="204" t="s">
        <v>972</v>
      </c>
      <c r="E213" s="204" t="s">
        <v>947</v>
      </c>
      <c r="F213" s="204" t="s">
        <v>948</v>
      </c>
      <c r="G213" s="204" t="s">
        <v>816</v>
      </c>
      <c r="H213" s="325">
        <f t="shared" si="33"/>
        <v>1000</v>
      </c>
      <c r="I213" s="334"/>
      <c r="J213" s="334"/>
      <c r="K213" s="334">
        <f>Master20[[#This Row],[Initial Budget]]-Master20[[#This Row],[Previously Committed Funds]]</f>
        <v>0</v>
      </c>
      <c r="L213" s="334"/>
      <c r="M213" s="335"/>
      <c r="N213" s="336">
        <f>Master20[[#This Row],[Design $ (Add/Deduct)]]+Master20[[#This Row],[Construction $ (Add/Ded)]]</f>
        <v>0</v>
      </c>
      <c r="O213" s="323">
        <v>150000</v>
      </c>
      <c r="P213" s="328">
        <v>2020</v>
      </c>
      <c r="Q213" s="204" t="s">
        <v>32</v>
      </c>
      <c r="R213" s="328">
        <f t="shared" si="38"/>
        <v>1</v>
      </c>
      <c r="S213" s="329">
        <v>1</v>
      </c>
      <c r="T213" s="329">
        <f t="shared" si="36"/>
        <v>3</v>
      </c>
      <c r="U213" s="329" t="s">
        <v>37</v>
      </c>
      <c r="V213" s="329">
        <f t="shared" si="37"/>
        <v>3</v>
      </c>
      <c r="W213" s="329" t="s">
        <v>30</v>
      </c>
      <c r="X213" s="329">
        <v>0</v>
      </c>
      <c r="Y213" s="329">
        <v>0</v>
      </c>
      <c r="Z213" s="329">
        <v>0</v>
      </c>
      <c r="AA213" s="329">
        <v>0</v>
      </c>
      <c r="AB213" s="329">
        <v>0</v>
      </c>
      <c r="AC213" s="329">
        <v>0</v>
      </c>
      <c r="AD213" s="329">
        <v>0</v>
      </c>
      <c r="AE213" s="329"/>
      <c r="AF213" s="330" t="s">
        <v>29</v>
      </c>
      <c r="AG213" s="328">
        <f>VLOOKUP(Master20[[#This Row],[Elevated Priority]],Epriority,2,)</f>
        <v>0</v>
      </c>
      <c r="AH213" s="328">
        <f>IF(Master20[[#This Row],[Status]]="Active",Master20[[#This Row],[Status_Score]],IF(D213="","",R213+H213+T213+V213+AG213+AE213+Master20[[#This Row],[Risk Mitigation]]+Master20[[#This Row],[Master Plan]]+Master20[[#This Row],[Community Request]]+Master20[[#This Row],[Community need]]+Master20[[#This Row],[Offset Aging Inf.]]+Master20[[#This Row],[Energy Savings]]+Master20[[#This Row],[Gen Revenue]]-5))</f>
        <v>1002</v>
      </c>
      <c r="AI213" s="329" t="s">
        <v>718</v>
      </c>
      <c r="AJ213" s="329">
        <v>2020</v>
      </c>
      <c r="AK213" s="329">
        <v>2021</v>
      </c>
      <c r="AL213" s="329">
        <v>2020</v>
      </c>
      <c r="AM213" s="329">
        <v>2021</v>
      </c>
      <c r="AN213" s="308"/>
    </row>
    <row r="214" spans="1:40" ht="30" hidden="1" x14ac:dyDescent="0.25">
      <c r="A214" s="198"/>
      <c r="B214" s="324" t="s">
        <v>67</v>
      </c>
      <c r="C214" s="324" t="s">
        <v>79</v>
      </c>
      <c r="D214" s="204" t="s">
        <v>836</v>
      </c>
      <c r="E214" s="204" t="s">
        <v>775</v>
      </c>
      <c r="F214" s="204" t="s">
        <v>798</v>
      </c>
      <c r="G214" s="204" t="s">
        <v>816</v>
      </c>
      <c r="H214" s="204">
        <f t="shared" si="33"/>
        <v>1000</v>
      </c>
      <c r="I214" s="334"/>
      <c r="J214" s="334"/>
      <c r="K214" s="334">
        <f>Master20[[#This Row],[Initial Budget]]-Master20[[#This Row],[Previously Committed Funds]]</f>
        <v>0</v>
      </c>
      <c r="L214" s="334"/>
      <c r="M214" s="335">
        <v>50000</v>
      </c>
      <c r="N214" s="336">
        <f>Master20[[#This Row],[Design $ (Add/Deduct)]]+Master20[[#This Row],[Construction $ (Add/Ded)]]</f>
        <v>50000</v>
      </c>
      <c r="O214" s="323">
        <v>50000</v>
      </c>
      <c r="P214" s="328">
        <v>2020</v>
      </c>
      <c r="Q214" s="204" t="s">
        <v>32</v>
      </c>
      <c r="R214" s="328">
        <f t="shared" si="38"/>
        <v>1</v>
      </c>
      <c r="S214" s="329">
        <v>1</v>
      </c>
      <c r="T214" s="329">
        <f t="shared" si="36"/>
        <v>3</v>
      </c>
      <c r="U214" s="329" t="s">
        <v>37</v>
      </c>
      <c r="V214" s="329">
        <f t="shared" si="37"/>
        <v>3</v>
      </c>
      <c r="W214" s="329" t="s">
        <v>30</v>
      </c>
      <c r="X214" s="329">
        <v>0</v>
      </c>
      <c r="Y214" s="329">
        <v>0</v>
      </c>
      <c r="Z214" s="329">
        <v>0</v>
      </c>
      <c r="AA214" s="329">
        <v>0</v>
      </c>
      <c r="AB214" s="329">
        <v>0</v>
      </c>
      <c r="AC214" s="329">
        <v>0</v>
      </c>
      <c r="AD214" s="329">
        <v>0</v>
      </c>
      <c r="AE214" s="329"/>
      <c r="AF214" s="330" t="s">
        <v>29</v>
      </c>
      <c r="AG214" s="328">
        <f>VLOOKUP(Master20[[#This Row],[Elevated Priority]],Epriority,2,)</f>
        <v>0</v>
      </c>
      <c r="AH214" s="328">
        <f>IF(Master20[[#This Row],[Status]]="Active",Master20[[#This Row],[Status_Score]],IF(D214="","",R214+H214+T214+V214+AG214+AE214+Master20[[#This Row],[Risk Mitigation]]+Master20[[#This Row],[Master Plan]]+Master20[[#This Row],[Community Request]]+Master20[[#This Row],[Community need]]+Master20[[#This Row],[Offset Aging Inf.]]+Master20[[#This Row],[Energy Savings]]+Master20[[#This Row],[Gen Revenue]]-5))</f>
        <v>1002</v>
      </c>
      <c r="AI214" s="329"/>
      <c r="AJ214" s="329"/>
      <c r="AK214" s="329">
        <v>2020</v>
      </c>
      <c r="AL214" s="329">
        <v>2020</v>
      </c>
      <c r="AM214" s="329">
        <v>2021</v>
      </c>
      <c r="AN214" s="308"/>
    </row>
    <row r="215" spans="1:40" ht="60" hidden="1" x14ac:dyDescent="0.25">
      <c r="A215" s="198"/>
      <c r="B215" s="324" t="s">
        <v>67</v>
      </c>
      <c r="C215" s="324" t="s">
        <v>1045</v>
      </c>
      <c r="D215" s="204" t="s">
        <v>677</v>
      </c>
      <c r="E215" s="204" t="s">
        <v>678</v>
      </c>
      <c r="F215" s="204" t="s">
        <v>98</v>
      </c>
      <c r="G215" s="204" t="s">
        <v>816</v>
      </c>
      <c r="H215" s="204">
        <f t="shared" si="33"/>
        <v>1000</v>
      </c>
      <c r="I215" s="334">
        <v>35000</v>
      </c>
      <c r="J215" s="334">
        <v>14750</v>
      </c>
      <c r="K215" s="334">
        <f>Master20[[#This Row],[Initial Budget]]-Master20[[#This Row],[Previously Committed Funds]]</f>
        <v>20250</v>
      </c>
      <c r="L215" s="334"/>
      <c r="M215" s="335">
        <v>600000</v>
      </c>
      <c r="N215" s="336">
        <f>Master20[[#This Row],[Design $ (Add/Deduct)]]+Master20[[#This Row],[Construction $ (Add/Ded)]]</f>
        <v>600000</v>
      </c>
      <c r="O215" s="323">
        <v>350000</v>
      </c>
      <c r="P215" s="328">
        <v>2018</v>
      </c>
      <c r="Q215" s="204" t="s">
        <v>32</v>
      </c>
      <c r="R215" s="328">
        <f t="shared" si="38"/>
        <v>1</v>
      </c>
      <c r="S215" s="329">
        <v>1</v>
      </c>
      <c r="T215" s="329">
        <f t="shared" si="36"/>
        <v>3</v>
      </c>
      <c r="U215" s="329" t="s">
        <v>37</v>
      </c>
      <c r="V215" s="329">
        <f t="shared" si="37"/>
        <v>3</v>
      </c>
      <c r="W215" s="329" t="s">
        <v>30</v>
      </c>
      <c r="X215" s="329">
        <v>0</v>
      </c>
      <c r="Y215" s="329">
        <v>0</v>
      </c>
      <c r="Z215" s="329">
        <v>0</v>
      </c>
      <c r="AA215" s="329">
        <v>0</v>
      </c>
      <c r="AB215" s="329">
        <v>0</v>
      </c>
      <c r="AC215" s="329">
        <v>0</v>
      </c>
      <c r="AD215" s="329">
        <v>0</v>
      </c>
      <c r="AE215" s="329"/>
      <c r="AF215" s="330" t="s">
        <v>29</v>
      </c>
      <c r="AG215" s="328">
        <f>VLOOKUP(Master20[[#This Row],[Elevated Priority]],Epriority,2,)</f>
        <v>0</v>
      </c>
      <c r="AH215" s="328">
        <f>IF(Master20[[#This Row],[Status]]="Active",Master20[[#This Row],[Status_Score]],IF(D215="","",R215+H215+T215+V215+AG215+AE215+Master20[[#This Row],[Risk Mitigation]]+Master20[[#This Row],[Master Plan]]+Master20[[#This Row],[Community Request]]+Master20[[#This Row],[Community need]]+Master20[[#This Row],[Offset Aging Inf.]]+Master20[[#This Row],[Energy Savings]]+Master20[[#This Row],[Gen Revenue]]-5))</f>
        <v>1002</v>
      </c>
      <c r="AI215" s="329" t="s">
        <v>718</v>
      </c>
      <c r="AJ215" s="329">
        <v>2019</v>
      </c>
      <c r="AK215" s="329">
        <v>2020</v>
      </c>
      <c r="AL215" s="329">
        <v>2019</v>
      </c>
      <c r="AM215" s="329">
        <v>2020</v>
      </c>
      <c r="AN215" s="308" t="s">
        <v>747</v>
      </c>
    </row>
    <row r="216" spans="1:40" ht="60" hidden="1" x14ac:dyDescent="0.25">
      <c r="A216" s="198"/>
      <c r="B216" s="324" t="s">
        <v>72</v>
      </c>
      <c r="C216" s="324" t="s">
        <v>1045</v>
      </c>
      <c r="D216" s="204" t="s">
        <v>74</v>
      </c>
      <c r="E216" s="204" t="s">
        <v>844</v>
      </c>
      <c r="F216" s="204" t="s">
        <v>843</v>
      </c>
      <c r="G216" s="204" t="s">
        <v>816</v>
      </c>
      <c r="H216" s="204">
        <f t="shared" si="33"/>
        <v>1000</v>
      </c>
      <c r="I216" s="334"/>
      <c r="J216" s="334"/>
      <c r="K216" s="334">
        <f>Master20[[#This Row],[Initial Budget]]-Master20[[#This Row],[Previously Committed Funds]]</f>
        <v>0</v>
      </c>
      <c r="L216" s="334"/>
      <c r="M216" s="335"/>
      <c r="N216" s="336">
        <f>Master20[[#This Row],[Design $ (Add/Deduct)]]+Master20[[#This Row],[Construction $ (Add/Ded)]]</f>
        <v>0</v>
      </c>
      <c r="O216" s="323">
        <v>500000</v>
      </c>
      <c r="P216" s="328">
        <v>2018</v>
      </c>
      <c r="Q216" s="204" t="s">
        <v>32</v>
      </c>
      <c r="R216" s="328">
        <f>VLOOKUP(Q216,Importance, 2, FALSE)</f>
        <v>1</v>
      </c>
      <c r="S216" s="329">
        <v>1</v>
      </c>
      <c r="T216" s="329">
        <f t="shared" si="36"/>
        <v>3</v>
      </c>
      <c r="U216" s="329" t="s">
        <v>37</v>
      </c>
      <c r="V216" s="329">
        <f t="shared" si="37"/>
        <v>3</v>
      </c>
      <c r="W216" s="329" t="s">
        <v>38</v>
      </c>
      <c r="X216" s="329"/>
      <c r="Y216" s="329"/>
      <c r="Z216" s="329"/>
      <c r="AA216" s="329"/>
      <c r="AB216" s="329"/>
      <c r="AC216" s="329"/>
      <c r="AD216" s="329"/>
      <c r="AE216" s="329"/>
      <c r="AF216" s="330" t="s">
        <v>29</v>
      </c>
      <c r="AG216" s="328">
        <f>VLOOKUP(Master20[[#This Row],[Elevated Priority]],Epriority,2,)</f>
        <v>0</v>
      </c>
      <c r="AH216" s="328">
        <f>IF(Master20[[#This Row],[Status]]="Active",Master20[[#This Row],[Status_Score]],IF(D216="","",R216+H216+T216+V216+AG216+AE216+Master20[[#This Row],[Risk Mitigation]]+Master20[[#This Row],[Master Plan]]+Master20[[#This Row],[Community Request]]+Master20[[#This Row],[Community need]]+Master20[[#This Row],[Offset Aging Inf.]]+Master20[[#This Row],[Energy Savings]]+Master20[[#This Row],[Gen Revenue]]-5))</f>
        <v>1002</v>
      </c>
      <c r="AI216" s="329" t="s">
        <v>758</v>
      </c>
      <c r="AJ216" s="329">
        <v>2019</v>
      </c>
      <c r="AK216" s="329">
        <v>2020</v>
      </c>
      <c r="AL216" s="329">
        <v>2019</v>
      </c>
      <c r="AM216" s="329">
        <v>2020</v>
      </c>
      <c r="AN216" s="308"/>
    </row>
    <row r="217" spans="1:40" ht="75" hidden="1" x14ac:dyDescent="0.25">
      <c r="A217" s="198"/>
      <c r="B217" s="324" t="s">
        <v>1200</v>
      </c>
      <c r="C217" s="324" t="s">
        <v>1045</v>
      </c>
      <c r="D217" s="204" t="s">
        <v>116</v>
      </c>
      <c r="E217" s="204" t="s">
        <v>955</v>
      </c>
      <c r="F217" s="204" t="s">
        <v>690</v>
      </c>
      <c r="G217" s="204" t="s">
        <v>816</v>
      </c>
      <c r="H217" s="204">
        <f t="shared" si="33"/>
        <v>1000</v>
      </c>
      <c r="I217" s="334"/>
      <c r="J217" s="334"/>
      <c r="K217" s="334">
        <f>Master20[[#This Row],[Initial Budget]]-Master20[[#This Row],[Previously Committed Funds]]</f>
        <v>0</v>
      </c>
      <c r="L217" s="334"/>
      <c r="M217" s="335"/>
      <c r="N217" s="336">
        <f>Master20[[#This Row],[Design $ (Add/Deduct)]]+Master20[[#This Row],[Construction $ (Add/Ded)]]</f>
        <v>0</v>
      </c>
      <c r="O217" s="323">
        <v>250000</v>
      </c>
      <c r="P217" s="328">
        <v>2018</v>
      </c>
      <c r="Q217" s="204" t="s">
        <v>32</v>
      </c>
      <c r="R217" s="328">
        <f t="shared" ref="R217:R224" si="39">VLOOKUP(Q217,Importance,2,FALSE)</f>
        <v>1</v>
      </c>
      <c r="S217" s="329">
        <v>2</v>
      </c>
      <c r="T217" s="329">
        <f t="shared" si="36"/>
        <v>6</v>
      </c>
      <c r="U217" s="329" t="s">
        <v>41</v>
      </c>
      <c r="V217" s="329">
        <f t="shared" si="37"/>
        <v>4</v>
      </c>
      <c r="W217" s="329" t="s">
        <v>30</v>
      </c>
      <c r="X217" s="329">
        <v>0</v>
      </c>
      <c r="Y217" s="329">
        <v>0</v>
      </c>
      <c r="Z217" s="329">
        <v>0</v>
      </c>
      <c r="AA217" s="329">
        <v>0</v>
      </c>
      <c r="AB217" s="329">
        <v>0</v>
      </c>
      <c r="AC217" s="329">
        <v>0</v>
      </c>
      <c r="AD217" s="329">
        <v>0</v>
      </c>
      <c r="AE217" s="329"/>
      <c r="AF217" s="330" t="s">
        <v>29</v>
      </c>
      <c r="AG217" s="328">
        <f>VLOOKUP(Master20[[#This Row],[Elevated Priority]],Epriority,2,)</f>
        <v>0</v>
      </c>
      <c r="AH217" s="328">
        <f>IF(Master20[[#This Row],[Status]]="Active",Master20[[#This Row],[Status_Score]],IF(D217="","",R217+H217+T217+V217+AG217+AE217+Master20[[#This Row],[Risk Mitigation]]+Master20[[#This Row],[Master Plan]]+Master20[[#This Row],[Community Request]]+Master20[[#This Row],[Community need]]+Master20[[#This Row],[Offset Aging Inf.]]+Master20[[#This Row],[Energy Savings]]+Master20[[#This Row],[Gen Revenue]]-5))</f>
        <v>1006</v>
      </c>
      <c r="AI217" s="329" t="s">
        <v>754</v>
      </c>
      <c r="AJ217" s="329">
        <v>2020</v>
      </c>
      <c r="AK217" s="329">
        <v>2021</v>
      </c>
      <c r="AL217" s="329">
        <v>2020</v>
      </c>
      <c r="AM217" s="329">
        <v>2021</v>
      </c>
      <c r="AN217" s="308"/>
    </row>
    <row r="218" spans="1:40" ht="45" hidden="1" x14ac:dyDescent="0.25">
      <c r="A218" s="198"/>
      <c r="B218" s="324" t="s">
        <v>923</v>
      </c>
      <c r="C218" s="324" t="s">
        <v>1045</v>
      </c>
      <c r="D218" s="204" t="s">
        <v>786</v>
      </c>
      <c r="E218" s="204" t="s">
        <v>787</v>
      </c>
      <c r="F218" s="204" t="s">
        <v>204</v>
      </c>
      <c r="G218" s="204" t="s">
        <v>816</v>
      </c>
      <c r="H218" s="204">
        <f t="shared" si="33"/>
        <v>1000</v>
      </c>
      <c r="I218" s="334"/>
      <c r="J218" s="334"/>
      <c r="K218" s="334">
        <f>Master20[[#This Row],[Initial Budget]]-Master20[[#This Row],[Previously Committed Funds]]</f>
        <v>0</v>
      </c>
      <c r="L218" s="334"/>
      <c r="M218" s="335"/>
      <c r="N218" s="336">
        <f>Master20[[#This Row],[Design $ (Add/Deduct)]]+Master20[[#This Row],[Construction $ (Add/Ded)]]</f>
        <v>0</v>
      </c>
      <c r="O218" s="323">
        <v>600000</v>
      </c>
      <c r="P218" s="328">
        <v>2018</v>
      </c>
      <c r="Q218" s="204" t="s">
        <v>688</v>
      </c>
      <c r="R218" s="328">
        <f t="shared" si="39"/>
        <v>20</v>
      </c>
      <c r="S218" s="329">
        <v>4</v>
      </c>
      <c r="T218" s="329">
        <f t="shared" si="36"/>
        <v>12</v>
      </c>
      <c r="U218" s="329" t="s">
        <v>41</v>
      </c>
      <c r="V218" s="329">
        <f t="shared" si="37"/>
        <v>4</v>
      </c>
      <c r="W218" s="329" t="s">
        <v>30</v>
      </c>
      <c r="X218" s="329">
        <v>0</v>
      </c>
      <c r="Y218" s="329">
        <v>0</v>
      </c>
      <c r="Z218" s="329">
        <v>0</v>
      </c>
      <c r="AA218" s="329">
        <v>0</v>
      </c>
      <c r="AB218" s="329">
        <v>0</v>
      </c>
      <c r="AC218" s="329">
        <v>0</v>
      </c>
      <c r="AD218" s="329">
        <v>0</v>
      </c>
      <c r="AE218" s="329"/>
      <c r="AF218" s="330" t="s">
        <v>31</v>
      </c>
      <c r="AG218" s="328">
        <f>VLOOKUP(Master20[[#This Row],[Elevated Priority]],Epriority,2,)</f>
        <v>-25</v>
      </c>
      <c r="AH218" s="328">
        <f>IF(Master20[[#This Row],[Status]]="Active",Master20[[#This Row],[Status_Score]],IF(D218="","",R218+H218+T218+V218+AG218+AE218+Master20[[#This Row],[Risk Mitigation]]+Master20[[#This Row],[Master Plan]]+Master20[[#This Row],[Community Request]]+Master20[[#This Row],[Community need]]+Master20[[#This Row],[Offset Aging Inf.]]+Master20[[#This Row],[Energy Savings]]+Master20[[#This Row],[Gen Revenue]]-5))</f>
        <v>1006</v>
      </c>
      <c r="AI218" s="329" t="s">
        <v>718</v>
      </c>
      <c r="AJ218" s="329">
        <v>2020</v>
      </c>
      <c r="AK218" s="329">
        <v>2021</v>
      </c>
      <c r="AL218" s="329">
        <v>2020</v>
      </c>
      <c r="AM218" s="329">
        <v>2021</v>
      </c>
      <c r="AN218" s="308"/>
    </row>
    <row r="219" spans="1:40" ht="30" hidden="1" x14ac:dyDescent="0.25">
      <c r="A219" s="198"/>
      <c r="B219" s="324" t="s">
        <v>1200</v>
      </c>
      <c r="C219" s="324" t="s">
        <v>1045</v>
      </c>
      <c r="D219" s="340" t="s">
        <v>839</v>
      </c>
      <c r="E219" s="341" t="s">
        <v>812</v>
      </c>
      <c r="F219" s="342" t="s">
        <v>813</v>
      </c>
      <c r="G219" s="204" t="s">
        <v>816</v>
      </c>
      <c r="H219" s="204">
        <f t="shared" si="33"/>
        <v>1000</v>
      </c>
      <c r="I219" s="334"/>
      <c r="J219" s="334"/>
      <c r="K219" s="334">
        <f>Master20[[#This Row],[Initial Budget]]-Master20[[#This Row],[Previously Committed Funds]]</f>
        <v>0</v>
      </c>
      <c r="L219" s="334"/>
      <c r="M219" s="335"/>
      <c r="N219" s="336">
        <f>Master20[[#This Row],[Design $ (Add/Deduct)]]+Master20[[#This Row],[Construction $ (Add/Ded)]]</f>
        <v>0</v>
      </c>
      <c r="O219" s="323">
        <v>1250000</v>
      </c>
      <c r="P219" s="328">
        <v>2020</v>
      </c>
      <c r="Q219" s="204" t="s">
        <v>688</v>
      </c>
      <c r="R219" s="328">
        <f t="shared" si="39"/>
        <v>20</v>
      </c>
      <c r="S219" s="329">
        <v>1</v>
      </c>
      <c r="T219" s="329">
        <f t="shared" si="36"/>
        <v>3</v>
      </c>
      <c r="U219" s="329" t="s">
        <v>41</v>
      </c>
      <c r="V219" s="329">
        <f t="shared" si="37"/>
        <v>4</v>
      </c>
      <c r="W219" s="329" t="s">
        <v>34</v>
      </c>
      <c r="X219" s="329">
        <v>0</v>
      </c>
      <c r="Y219" s="329">
        <v>0</v>
      </c>
      <c r="Z219" s="329">
        <v>-3</v>
      </c>
      <c r="AA219" s="329">
        <v>-3</v>
      </c>
      <c r="AB219" s="329">
        <v>0</v>
      </c>
      <c r="AC219" s="329">
        <v>-5</v>
      </c>
      <c r="AD219" s="329">
        <v>-3</v>
      </c>
      <c r="AE219" s="329"/>
      <c r="AF219" s="330" t="s">
        <v>29</v>
      </c>
      <c r="AG219" s="328">
        <f>VLOOKUP(Master20[[#This Row],[Elevated Priority]],Epriority,2,)</f>
        <v>0</v>
      </c>
      <c r="AH219" s="328">
        <f>IF(Master20[[#This Row],[Status]]="Active",Master20[[#This Row],[Status_Score]],IF(D219="","",R219+H219+T219+V219+AG219+AE219+Master20[[#This Row],[Risk Mitigation]]+Master20[[#This Row],[Master Plan]]+Master20[[#This Row],[Community Request]]+Master20[[#This Row],[Community need]]+Master20[[#This Row],[Offset Aging Inf.]]+Master20[[#This Row],[Energy Savings]]+Master20[[#This Row],[Gen Revenue]]-5))</f>
        <v>1008</v>
      </c>
      <c r="AI219" s="329" t="s">
        <v>715</v>
      </c>
      <c r="AJ219" s="329">
        <v>2021</v>
      </c>
      <c r="AK219" s="329">
        <v>2022</v>
      </c>
      <c r="AL219" s="329">
        <v>2020</v>
      </c>
      <c r="AM219" s="329">
        <v>2021</v>
      </c>
      <c r="AN219" s="308" t="s">
        <v>975</v>
      </c>
    </row>
    <row r="220" spans="1:40" ht="30" hidden="1" x14ac:dyDescent="0.25">
      <c r="A220" s="198"/>
      <c r="B220" s="324" t="s">
        <v>94</v>
      </c>
      <c r="C220" s="324" t="s">
        <v>1045</v>
      </c>
      <c r="D220" s="204" t="s">
        <v>134</v>
      </c>
      <c r="E220" s="204" t="s">
        <v>135</v>
      </c>
      <c r="F220" s="204" t="s">
        <v>878</v>
      </c>
      <c r="G220" s="204" t="s">
        <v>816</v>
      </c>
      <c r="H220" s="204">
        <f t="shared" si="33"/>
        <v>1000</v>
      </c>
      <c r="I220" s="334">
        <v>125000</v>
      </c>
      <c r="J220" s="334"/>
      <c r="K220" s="334">
        <f>Master20[[#This Row],[Initial Budget]]-Master20[[#This Row],[Previously Committed Funds]]</f>
        <v>125000</v>
      </c>
      <c r="L220" s="334"/>
      <c r="M220" s="335"/>
      <c r="N220" s="336">
        <f>Master20[[#This Row],[Design $ (Add/Deduct)]]+Master20[[#This Row],[Construction $ (Add/Ded)]]</f>
        <v>0</v>
      </c>
      <c r="O220" s="323">
        <v>550000</v>
      </c>
      <c r="P220" s="328">
        <v>2018</v>
      </c>
      <c r="Q220" s="204" t="s">
        <v>36</v>
      </c>
      <c r="R220" s="328">
        <f t="shared" si="39"/>
        <v>10</v>
      </c>
      <c r="S220" s="329">
        <v>1</v>
      </c>
      <c r="T220" s="329">
        <f t="shared" si="36"/>
        <v>3</v>
      </c>
      <c r="U220" s="329" t="s">
        <v>33</v>
      </c>
      <c r="V220" s="329">
        <f t="shared" si="37"/>
        <v>1</v>
      </c>
      <c r="W220" s="329" t="s">
        <v>30</v>
      </c>
      <c r="X220" s="329">
        <v>0</v>
      </c>
      <c r="Y220" s="329">
        <v>0</v>
      </c>
      <c r="Z220" s="329">
        <v>0</v>
      </c>
      <c r="AA220" s="329">
        <v>0</v>
      </c>
      <c r="AB220" s="329">
        <v>0</v>
      </c>
      <c r="AC220" s="329">
        <v>0</v>
      </c>
      <c r="AD220" s="329">
        <v>0</v>
      </c>
      <c r="AE220" s="329"/>
      <c r="AF220" s="330" t="s">
        <v>29</v>
      </c>
      <c r="AG220" s="328">
        <f>VLOOKUP(Master20[[#This Row],[Elevated Priority]],Epriority,2,)</f>
        <v>0</v>
      </c>
      <c r="AH220" s="328">
        <f>IF(Master20[[#This Row],[Status]]="Active",Master20[[#This Row],[Status_Score]],IF(D220="","",R220+H220+T220+V220+AG220+AE220+Master20[[#This Row],[Risk Mitigation]]+Master20[[#This Row],[Master Plan]]+Master20[[#This Row],[Community Request]]+Master20[[#This Row],[Community need]]+Master20[[#This Row],[Offset Aging Inf.]]+Master20[[#This Row],[Energy Savings]]+Master20[[#This Row],[Gen Revenue]]-5))</f>
        <v>1009</v>
      </c>
      <c r="AI220" s="329" t="s">
        <v>716</v>
      </c>
      <c r="AJ220" s="329">
        <v>2019</v>
      </c>
      <c r="AK220" s="329">
        <v>2021</v>
      </c>
      <c r="AL220" s="329">
        <v>2019</v>
      </c>
      <c r="AM220" s="329">
        <v>2021</v>
      </c>
      <c r="AN220" s="308"/>
    </row>
    <row r="221" spans="1:40" ht="30" hidden="1" x14ac:dyDescent="0.25">
      <c r="A221" s="198"/>
      <c r="B221" s="324" t="s">
        <v>94</v>
      </c>
      <c r="C221" s="324" t="s">
        <v>1045</v>
      </c>
      <c r="D221" s="204" t="s">
        <v>136</v>
      </c>
      <c r="E221" s="204" t="s">
        <v>137</v>
      </c>
      <c r="F221" s="204" t="s">
        <v>879</v>
      </c>
      <c r="G221" s="204" t="s">
        <v>816</v>
      </c>
      <c r="H221" s="204">
        <f t="shared" si="33"/>
        <v>1000</v>
      </c>
      <c r="I221" s="334">
        <v>125000</v>
      </c>
      <c r="J221" s="334"/>
      <c r="K221" s="334">
        <f>Master20[[#This Row],[Initial Budget]]-Master20[[#This Row],[Previously Committed Funds]]</f>
        <v>125000</v>
      </c>
      <c r="L221" s="334"/>
      <c r="M221" s="335"/>
      <c r="N221" s="336">
        <f>Master20[[#This Row],[Design $ (Add/Deduct)]]+Master20[[#This Row],[Construction $ (Add/Ded)]]</f>
        <v>0</v>
      </c>
      <c r="O221" s="323">
        <v>550000</v>
      </c>
      <c r="P221" s="328">
        <v>2018</v>
      </c>
      <c r="Q221" s="204" t="s">
        <v>36</v>
      </c>
      <c r="R221" s="328">
        <f t="shared" si="39"/>
        <v>10</v>
      </c>
      <c r="S221" s="329">
        <v>1</v>
      </c>
      <c r="T221" s="329">
        <f t="shared" si="36"/>
        <v>3</v>
      </c>
      <c r="U221" s="329" t="s">
        <v>33</v>
      </c>
      <c r="V221" s="329">
        <f t="shared" si="37"/>
        <v>1</v>
      </c>
      <c r="W221" s="329" t="s">
        <v>30</v>
      </c>
      <c r="X221" s="329">
        <v>0</v>
      </c>
      <c r="Y221" s="329">
        <v>0</v>
      </c>
      <c r="Z221" s="329">
        <v>0</v>
      </c>
      <c r="AA221" s="329">
        <v>0</v>
      </c>
      <c r="AB221" s="329">
        <v>0</v>
      </c>
      <c r="AC221" s="329">
        <v>0</v>
      </c>
      <c r="AD221" s="329">
        <v>0</v>
      </c>
      <c r="AE221" s="329"/>
      <c r="AF221" s="330" t="s">
        <v>29</v>
      </c>
      <c r="AG221" s="328">
        <f>VLOOKUP(Master20[[#This Row],[Elevated Priority]],Epriority,2,)</f>
        <v>0</v>
      </c>
      <c r="AH221" s="328">
        <f>IF(Master20[[#This Row],[Status]]="Active",Master20[[#This Row],[Status_Score]],IF(D221="","",R221+H221+T221+V221+AG221+AE221+Master20[[#This Row],[Risk Mitigation]]+Master20[[#This Row],[Master Plan]]+Master20[[#This Row],[Community Request]]+Master20[[#This Row],[Community need]]+Master20[[#This Row],[Offset Aging Inf.]]+Master20[[#This Row],[Energy Savings]]+Master20[[#This Row],[Gen Revenue]]-5))</f>
        <v>1009</v>
      </c>
      <c r="AI221" s="329" t="s">
        <v>716</v>
      </c>
      <c r="AJ221" s="329">
        <v>2019</v>
      </c>
      <c r="AK221" s="329">
        <v>2021</v>
      </c>
      <c r="AL221" s="329">
        <v>2019</v>
      </c>
      <c r="AM221" s="329">
        <v>2021</v>
      </c>
      <c r="AN221" s="308"/>
    </row>
    <row r="222" spans="1:40" ht="30" hidden="1" x14ac:dyDescent="0.25">
      <c r="A222" s="198"/>
      <c r="B222" s="324" t="s">
        <v>1200</v>
      </c>
      <c r="C222" s="324" t="s">
        <v>1045</v>
      </c>
      <c r="D222" s="204" t="s">
        <v>642</v>
      </c>
      <c r="E222" s="204" t="s">
        <v>643</v>
      </c>
      <c r="F222" s="204" t="s">
        <v>644</v>
      </c>
      <c r="G222" s="204" t="s">
        <v>816</v>
      </c>
      <c r="H222" s="325">
        <f t="shared" si="33"/>
        <v>1000</v>
      </c>
      <c r="I222" s="334"/>
      <c r="J222" s="334"/>
      <c r="K222" s="334">
        <f>Master20[[#This Row],[Initial Budget]]-Master20[[#This Row],[Previously Committed Funds]]</f>
        <v>0</v>
      </c>
      <c r="L222" s="334"/>
      <c r="M222" s="335">
        <v>550000</v>
      </c>
      <c r="N222" s="336">
        <f>Master20[[#This Row],[Design $ (Add/Deduct)]]+Master20[[#This Row],[Construction $ (Add/Ded)]]</f>
        <v>550000</v>
      </c>
      <c r="O222" s="323">
        <v>550000</v>
      </c>
      <c r="P222" s="328">
        <v>2018</v>
      </c>
      <c r="Q222" s="204" t="s">
        <v>36</v>
      </c>
      <c r="R222" s="328">
        <f t="shared" si="39"/>
        <v>10</v>
      </c>
      <c r="S222" s="328">
        <v>1</v>
      </c>
      <c r="T222" s="329">
        <f t="shared" si="36"/>
        <v>3</v>
      </c>
      <c r="U222" s="328" t="s">
        <v>33</v>
      </c>
      <c r="V222" s="329">
        <f t="shared" si="37"/>
        <v>1</v>
      </c>
      <c r="W222" s="328" t="s">
        <v>30</v>
      </c>
      <c r="X222" s="329">
        <v>0</v>
      </c>
      <c r="Y222" s="329">
        <v>0</v>
      </c>
      <c r="Z222" s="329">
        <v>0</v>
      </c>
      <c r="AA222" s="329">
        <v>0</v>
      </c>
      <c r="AB222" s="329">
        <v>0</v>
      </c>
      <c r="AC222" s="329">
        <v>0</v>
      </c>
      <c r="AD222" s="329">
        <v>0</v>
      </c>
      <c r="AE222" s="329"/>
      <c r="AF222" s="328" t="s">
        <v>29</v>
      </c>
      <c r="AG222" s="328">
        <f>VLOOKUP(Master20[[#This Row],[Elevated Priority]],Epriority,2,)</f>
        <v>0</v>
      </c>
      <c r="AH222" s="328">
        <f>IF(Master20[[#This Row],[Status]]="Active",Master20[[#This Row],[Status_Score]],IF(D222="","",R222+H222+T222+V222+AG222+AE222+Master20[[#This Row],[Risk Mitigation]]+Master20[[#This Row],[Master Plan]]+Master20[[#This Row],[Community Request]]+Master20[[#This Row],[Community need]]+Master20[[#This Row],[Offset Aging Inf.]]+Master20[[#This Row],[Energy Savings]]+Master20[[#This Row],[Gen Revenue]]-5))</f>
        <v>1009</v>
      </c>
      <c r="AI222" s="329" t="s">
        <v>760</v>
      </c>
      <c r="AJ222" s="329">
        <v>2019</v>
      </c>
      <c r="AK222" s="329">
        <v>2020</v>
      </c>
      <c r="AL222" s="329">
        <v>2019</v>
      </c>
      <c r="AM222" s="329">
        <v>2020</v>
      </c>
      <c r="AN222" s="308" t="s">
        <v>724</v>
      </c>
    </row>
    <row r="223" spans="1:40" ht="150" hidden="1" x14ac:dyDescent="0.25">
      <c r="A223" s="198"/>
      <c r="B223" s="324" t="s">
        <v>67</v>
      </c>
      <c r="C223" s="324" t="s">
        <v>73</v>
      </c>
      <c r="D223" s="204" t="s">
        <v>640</v>
      </c>
      <c r="E223" s="204" t="s">
        <v>679</v>
      </c>
      <c r="F223" s="204" t="s">
        <v>877</v>
      </c>
      <c r="G223" s="204" t="s">
        <v>816</v>
      </c>
      <c r="H223" s="204">
        <f t="shared" si="33"/>
        <v>1000</v>
      </c>
      <c r="I223" s="334">
        <v>150000</v>
      </c>
      <c r="J223" s="334">
        <f>13467.55+12925.45</f>
        <v>26393</v>
      </c>
      <c r="K223" s="334">
        <f>Master20[[#This Row],[Initial Budget]]-Master20[[#This Row],[Previously Committed Funds]]</f>
        <v>123607</v>
      </c>
      <c r="L223" s="334"/>
      <c r="M223" s="335">
        <v>400000</v>
      </c>
      <c r="N223" s="336">
        <f>Master20[[#This Row],[Design $ (Add/Deduct)]]+Master20[[#This Row],[Construction $ (Add/Ded)]]</f>
        <v>400000</v>
      </c>
      <c r="O223" s="323">
        <v>650000</v>
      </c>
      <c r="P223" s="328">
        <v>2018</v>
      </c>
      <c r="Q223" s="204" t="s">
        <v>36</v>
      </c>
      <c r="R223" s="328">
        <f t="shared" si="39"/>
        <v>10</v>
      </c>
      <c r="S223" s="329">
        <v>1</v>
      </c>
      <c r="T223" s="329">
        <f t="shared" si="36"/>
        <v>3</v>
      </c>
      <c r="U223" s="329" t="s">
        <v>33</v>
      </c>
      <c r="V223" s="329">
        <f t="shared" si="37"/>
        <v>1</v>
      </c>
      <c r="W223" s="329" t="s">
        <v>30</v>
      </c>
      <c r="X223" s="329">
        <v>0</v>
      </c>
      <c r="Y223" s="329">
        <v>0</v>
      </c>
      <c r="Z223" s="329">
        <v>0</v>
      </c>
      <c r="AA223" s="329">
        <v>0</v>
      </c>
      <c r="AB223" s="329">
        <v>0</v>
      </c>
      <c r="AC223" s="329">
        <v>0</v>
      </c>
      <c r="AD223" s="329">
        <v>0</v>
      </c>
      <c r="AE223" s="329"/>
      <c r="AF223" s="330" t="s">
        <v>29</v>
      </c>
      <c r="AG223" s="328">
        <f>VLOOKUP(Master20[[#This Row],[Elevated Priority]],Epriority,2,)</f>
        <v>0</v>
      </c>
      <c r="AH223" s="328">
        <f>IF(Master20[[#This Row],[Status]]="Active",Master20[[#This Row],[Status_Score]],IF(D223="","",R223+H223+T223+V223+AG223+AE223+Master20[[#This Row],[Risk Mitigation]]+Master20[[#This Row],[Master Plan]]+Master20[[#This Row],[Community Request]]+Master20[[#This Row],[Community need]]+Master20[[#This Row],[Offset Aging Inf.]]+Master20[[#This Row],[Energy Savings]]+Master20[[#This Row],[Gen Revenue]]-5))</f>
        <v>1009</v>
      </c>
      <c r="AI223" s="329" t="s">
        <v>715</v>
      </c>
      <c r="AJ223" s="329">
        <v>2019</v>
      </c>
      <c r="AK223" s="329">
        <v>2020</v>
      </c>
      <c r="AL223" s="329">
        <v>2019</v>
      </c>
      <c r="AM223" s="329">
        <v>2020</v>
      </c>
      <c r="AN223" s="308" t="s">
        <v>157</v>
      </c>
    </row>
    <row r="224" spans="1:40" ht="30" hidden="1" x14ac:dyDescent="0.25">
      <c r="A224" s="198"/>
      <c r="B224" s="324" t="s">
        <v>94</v>
      </c>
      <c r="C224" s="324" t="s">
        <v>1045</v>
      </c>
      <c r="D224" s="204" t="s">
        <v>139</v>
      </c>
      <c r="E224" s="204" t="s">
        <v>137</v>
      </c>
      <c r="F224" s="204" t="s">
        <v>879</v>
      </c>
      <c r="G224" s="204" t="s">
        <v>816</v>
      </c>
      <c r="H224" s="204">
        <f t="shared" ref="H224:H245" si="40">VLOOKUP(G224,Status_Score,2,FALSE)</f>
        <v>1000</v>
      </c>
      <c r="I224" s="334">
        <v>50000</v>
      </c>
      <c r="J224" s="334">
        <v>48635</v>
      </c>
      <c r="K224" s="334">
        <f>Master20[[#This Row],[Initial Budget]]-Master20[[#This Row],[Previously Committed Funds]]</f>
        <v>1365</v>
      </c>
      <c r="L224" s="334">
        <v>0</v>
      </c>
      <c r="M224" s="335">
        <v>0</v>
      </c>
      <c r="N224" s="336">
        <f>Master20[[#This Row],[Design $ (Add/Deduct)]]+Master20[[#This Row],[Construction $ (Add/Ded)]]</f>
        <v>0</v>
      </c>
      <c r="O224" s="337">
        <f>Master20[[#This Row],[Total Add]]+Master20[[#This Row],[Current Available Balance]]+Master20[[#This Row],[Previously Committed Funds]]</f>
        <v>50000</v>
      </c>
      <c r="P224" s="328">
        <v>2018</v>
      </c>
      <c r="Q224" s="204" t="s">
        <v>140</v>
      </c>
      <c r="R224" s="328">
        <f t="shared" si="39"/>
        <v>10</v>
      </c>
      <c r="S224" s="329">
        <v>1</v>
      </c>
      <c r="T224" s="329">
        <f t="shared" si="36"/>
        <v>3</v>
      </c>
      <c r="U224" s="329" t="s">
        <v>33</v>
      </c>
      <c r="V224" s="329">
        <f t="shared" si="37"/>
        <v>1</v>
      </c>
      <c r="W224" s="329" t="s">
        <v>30</v>
      </c>
      <c r="X224" s="329">
        <v>0</v>
      </c>
      <c r="Y224" s="329">
        <v>0</v>
      </c>
      <c r="Z224" s="329">
        <v>0</v>
      </c>
      <c r="AA224" s="329">
        <v>0</v>
      </c>
      <c r="AB224" s="329">
        <v>0</v>
      </c>
      <c r="AC224" s="329">
        <v>0</v>
      </c>
      <c r="AD224" s="329">
        <v>0</v>
      </c>
      <c r="AE224" s="329"/>
      <c r="AF224" s="330" t="s">
        <v>29</v>
      </c>
      <c r="AG224" s="328">
        <f>VLOOKUP(Master20[[#This Row],[Elevated Priority]],Epriority,2,)</f>
        <v>0</v>
      </c>
      <c r="AH224" s="328">
        <f>IF(Master20[[#This Row],[Status]]="Active",Master20[[#This Row],[Status_Score]],IF(D224="","",R224+H224+T224+V224+AG224+AE224+Master20[[#This Row],[Risk Mitigation]]+Master20[[#This Row],[Master Plan]]+Master20[[#This Row],[Community Request]]+Master20[[#This Row],[Community need]]+Master20[[#This Row],[Offset Aging Inf.]]+Master20[[#This Row],[Energy Savings]]+Master20[[#This Row],[Gen Revenue]]-5))</f>
        <v>1009</v>
      </c>
      <c r="AI224" s="329" t="s">
        <v>716</v>
      </c>
      <c r="AJ224" s="329"/>
      <c r="AK224" s="329"/>
      <c r="AL224" s="329" t="s">
        <v>1045</v>
      </c>
      <c r="AM224" s="329" t="s">
        <v>1045</v>
      </c>
      <c r="AN224" s="308" t="s">
        <v>937</v>
      </c>
    </row>
    <row r="225" spans="1:67" ht="30" hidden="1" x14ac:dyDescent="0.25">
      <c r="A225" s="198"/>
      <c r="B225" s="343" t="s">
        <v>1200</v>
      </c>
      <c r="C225" s="343" t="s">
        <v>1204</v>
      </c>
      <c r="D225" s="344" t="s">
        <v>721</v>
      </c>
      <c r="E225" s="344" t="s">
        <v>871</v>
      </c>
      <c r="F225" s="344" t="s">
        <v>683</v>
      </c>
      <c r="G225" s="344" t="s">
        <v>816</v>
      </c>
      <c r="H225" s="345">
        <f t="shared" si="40"/>
        <v>1000</v>
      </c>
      <c r="I225" s="346">
        <v>1400000</v>
      </c>
      <c r="J225" s="346">
        <v>17787.71</v>
      </c>
      <c r="K225" s="334">
        <f>Master20[[#This Row],[Initial Budget]]-Master20[[#This Row],[Previously Committed Funds]]</f>
        <v>1382212.29</v>
      </c>
      <c r="L225" s="346">
        <v>0</v>
      </c>
      <c r="M225" s="347">
        <v>-750000</v>
      </c>
      <c r="N225" s="336">
        <f>Master20[[#This Row],[Design $ (Add/Deduct)]]+Master20[[#This Row],[Construction $ (Add/Ded)]]</f>
        <v>-750000</v>
      </c>
      <c r="O225" s="337">
        <f>Master20[[#This Row],[Total Add]]+Master20[[#This Row],[Current Available Balance]]+Master20[[#This Row],[Previously Committed Funds]]</f>
        <v>650000</v>
      </c>
      <c r="P225" s="348">
        <v>2019</v>
      </c>
      <c r="Q225" s="204" t="s">
        <v>36</v>
      </c>
      <c r="R225" s="328">
        <f>VLOOKUP(Q225,Importance, 2, FALSE)</f>
        <v>10</v>
      </c>
      <c r="S225" s="329">
        <v>1</v>
      </c>
      <c r="T225" s="329">
        <f t="shared" si="36"/>
        <v>3</v>
      </c>
      <c r="U225" s="329" t="s">
        <v>37</v>
      </c>
      <c r="V225" s="329">
        <f t="shared" si="37"/>
        <v>3</v>
      </c>
      <c r="W225" s="329" t="s">
        <v>38</v>
      </c>
      <c r="X225" s="329"/>
      <c r="Y225" s="329"/>
      <c r="Z225" s="329"/>
      <c r="AA225" s="329"/>
      <c r="AB225" s="329"/>
      <c r="AC225" s="329"/>
      <c r="AD225" s="329"/>
      <c r="AE225" s="329"/>
      <c r="AF225" s="330" t="s">
        <v>29</v>
      </c>
      <c r="AG225" s="328">
        <f>VLOOKUP(Master20[[#This Row],[Elevated Priority]],Epriority,2,)</f>
        <v>0</v>
      </c>
      <c r="AH225" s="328">
        <f>IF(Master20[[#This Row],[Status]]="Active",Master20[[#This Row],[Status_Score]],IF(D225="","",R225+H225+T225+V225+AG225+AE225+Master20[[#This Row],[Risk Mitigation]]+Master20[[#This Row],[Master Plan]]+Master20[[#This Row],[Community Request]]+Master20[[#This Row],[Community need]]+Master20[[#This Row],[Offset Aging Inf.]]+Master20[[#This Row],[Energy Savings]]+Master20[[#This Row],[Gen Revenue]]-5))</f>
        <v>1011</v>
      </c>
      <c r="AI225" s="349" t="s">
        <v>758</v>
      </c>
      <c r="AJ225" s="349">
        <v>2019</v>
      </c>
      <c r="AK225" s="349">
        <v>2020</v>
      </c>
      <c r="AL225" s="349">
        <v>2019</v>
      </c>
      <c r="AM225" s="349">
        <v>2020</v>
      </c>
      <c r="AN225" s="270" t="s">
        <v>713</v>
      </c>
    </row>
    <row r="226" spans="1:67" ht="30" hidden="1" x14ac:dyDescent="0.25">
      <c r="A226" s="198"/>
      <c r="B226" s="324" t="s">
        <v>1200</v>
      </c>
      <c r="C226" s="324" t="s">
        <v>1045</v>
      </c>
      <c r="D226" s="340" t="s">
        <v>1019</v>
      </c>
      <c r="E226" s="341" t="s">
        <v>1039</v>
      </c>
      <c r="F226" s="342" t="s">
        <v>811</v>
      </c>
      <c r="G226" s="204" t="s">
        <v>816</v>
      </c>
      <c r="H226" s="204">
        <f t="shared" si="40"/>
        <v>1000</v>
      </c>
      <c r="I226" s="334"/>
      <c r="J226" s="334"/>
      <c r="K226" s="334">
        <f>Master20[[#This Row],[Initial Budget]]-Master20[[#This Row],[Previously Committed Funds]]</f>
        <v>0</v>
      </c>
      <c r="L226" s="334">
        <v>100000</v>
      </c>
      <c r="M226" s="335"/>
      <c r="N226" s="336">
        <f>Master20[[#This Row],[Design $ (Add/Deduct)]]+Master20[[#This Row],[Construction $ (Add/Ded)]]</f>
        <v>100000</v>
      </c>
      <c r="O226" s="323">
        <v>750000</v>
      </c>
      <c r="P226" s="328">
        <v>2020</v>
      </c>
      <c r="Q226" s="204" t="s">
        <v>36</v>
      </c>
      <c r="R226" s="328">
        <f t="shared" ref="R226:R245" si="41">VLOOKUP(Q226,Importance,2,FALSE)</f>
        <v>10</v>
      </c>
      <c r="S226" s="329">
        <v>1</v>
      </c>
      <c r="T226" s="329">
        <f t="shared" si="36"/>
        <v>3</v>
      </c>
      <c r="U226" s="329" t="s">
        <v>41</v>
      </c>
      <c r="V226" s="329">
        <f t="shared" si="37"/>
        <v>4</v>
      </c>
      <c r="W226" s="329" t="s">
        <v>30</v>
      </c>
      <c r="X226" s="329">
        <v>0</v>
      </c>
      <c r="Y226" s="329">
        <v>0</v>
      </c>
      <c r="Z226" s="329">
        <v>0</v>
      </c>
      <c r="AA226" s="329">
        <v>0</v>
      </c>
      <c r="AB226" s="329">
        <v>0</v>
      </c>
      <c r="AC226" s="329">
        <v>0</v>
      </c>
      <c r="AD226" s="329">
        <v>0</v>
      </c>
      <c r="AE226" s="329"/>
      <c r="AF226" s="330" t="s">
        <v>29</v>
      </c>
      <c r="AG226" s="328">
        <f>VLOOKUP(Master20[[#This Row],[Elevated Priority]],Epriority,2,)</f>
        <v>0</v>
      </c>
      <c r="AH226" s="328">
        <f>IF(Master20[[#This Row],[Status]]="Active",Master20[[#This Row],[Status_Score]],IF(D226="","",R226+H226+T226+V226+AG226+AE226+Master20[[#This Row],[Risk Mitigation]]+Master20[[#This Row],[Master Plan]]+Master20[[#This Row],[Community Request]]+Master20[[#This Row],[Community need]]+Master20[[#This Row],[Offset Aging Inf.]]+Master20[[#This Row],[Energy Savings]]+Master20[[#This Row],[Gen Revenue]]-5))</f>
        <v>1012</v>
      </c>
      <c r="AI226" s="329" t="s">
        <v>715</v>
      </c>
      <c r="AJ226" s="329">
        <v>2020</v>
      </c>
      <c r="AK226" s="329">
        <v>2021</v>
      </c>
      <c r="AL226" s="329">
        <v>2020</v>
      </c>
      <c r="AM226" s="329">
        <v>2021</v>
      </c>
      <c r="AN226" s="308" t="s">
        <v>975</v>
      </c>
    </row>
    <row r="227" spans="1:67" ht="30" hidden="1" x14ac:dyDescent="0.25">
      <c r="A227" s="198"/>
      <c r="B227" s="324" t="s">
        <v>70</v>
      </c>
      <c r="C227" s="324" t="s">
        <v>1045</v>
      </c>
      <c r="D227" s="204" t="s">
        <v>294</v>
      </c>
      <c r="E227" s="204" t="s">
        <v>295</v>
      </c>
      <c r="F227" s="204" t="s">
        <v>820</v>
      </c>
      <c r="G227" s="204" t="s">
        <v>816</v>
      </c>
      <c r="H227" s="204">
        <f t="shared" si="40"/>
        <v>1000</v>
      </c>
      <c r="I227" s="334"/>
      <c r="J227" s="334"/>
      <c r="K227" s="334">
        <f>Master20[[#This Row],[Initial Budget]]-Master20[[#This Row],[Previously Committed Funds]]</f>
        <v>0</v>
      </c>
      <c r="L227" s="334"/>
      <c r="M227" s="335"/>
      <c r="N227" s="336">
        <f>Master20[[#This Row],[Design $ (Add/Deduct)]]+Master20[[#This Row],[Construction $ (Add/Ded)]]</f>
        <v>0</v>
      </c>
      <c r="O227" s="323">
        <v>750000</v>
      </c>
      <c r="P227" s="328">
        <v>2018</v>
      </c>
      <c r="Q227" s="204" t="s">
        <v>830</v>
      </c>
      <c r="R227" s="328">
        <f t="shared" si="41"/>
        <v>10</v>
      </c>
      <c r="S227" s="329">
        <v>1</v>
      </c>
      <c r="T227" s="329">
        <f t="shared" si="36"/>
        <v>3</v>
      </c>
      <c r="U227" s="329" t="s">
        <v>41</v>
      </c>
      <c r="V227" s="329">
        <f t="shared" si="37"/>
        <v>4</v>
      </c>
      <c r="W227" s="329" t="s">
        <v>30</v>
      </c>
      <c r="X227" s="329">
        <v>0</v>
      </c>
      <c r="Y227" s="329">
        <v>0</v>
      </c>
      <c r="Z227" s="329">
        <v>0</v>
      </c>
      <c r="AA227" s="329">
        <v>0</v>
      </c>
      <c r="AB227" s="329">
        <v>0</v>
      </c>
      <c r="AC227" s="329">
        <v>0</v>
      </c>
      <c r="AD227" s="329">
        <v>0</v>
      </c>
      <c r="AE227" s="329"/>
      <c r="AF227" s="330" t="s">
        <v>29</v>
      </c>
      <c r="AG227" s="328">
        <f>VLOOKUP(Master20[[#This Row],[Elevated Priority]],Epriority,2,)</f>
        <v>0</v>
      </c>
      <c r="AH227" s="328">
        <f>IF(Master20[[#This Row],[Status]]="Active",Master20[[#This Row],[Status_Score]],IF(D227="","",R227+H227+T227+V227+AG227+AE227+Master20[[#This Row],[Risk Mitigation]]+Master20[[#This Row],[Master Plan]]+Master20[[#This Row],[Community Request]]+Master20[[#This Row],[Community need]]+Master20[[#This Row],[Offset Aging Inf.]]+Master20[[#This Row],[Energy Savings]]+Master20[[#This Row],[Gen Revenue]]-5))</f>
        <v>1012</v>
      </c>
      <c r="AI227" s="329" t="s">
        <v>715</v>
      </c>
      <c r="AJ227" s="329">
        <v>2020</v>
      </c>
      <c r="AK227" s="329">
        <v>2021</v>
      </c>
      <c r="AL227" s="329">
        <v>2020</v>
      </c>
      <c r="AM227" s="329">
        <v>2021</v>
      </c>
      <c r="AN227" s="308" t="s">
        <v>979</v>
      </c>
    </row>
    <row r="228" spans="1:67" ht="30" hidden="1" x14ac:dyDescent="0.25">
      <c r="A228" s="198"/>
      <c r="B228" s="324" t="s">
        <v>70</v>
      </c>
      <c r="C228" s="324" t="s">
        <v>1045</v>
      </c>
      <c r="D228" s="204" t="s">
        <v>692</v>
      </c>
      <c r="E228" s="204" t="s">
        <v>1021</v>
      </c>
      <c r="F228" s="204" t="s">
        <v>941</v>
      </c>
      <c r="G228" s="204" t="s">
        <v>816</v>
      </c>
      <c r="H228" s="204">
        <f t="shared" si="40"/>
        <v>1000</v>
      </c>
      <c r="I228" s="334"/>
      <c r="J228" s="334"/>
      <c r="K228" s="334">
        <f>Master20[[#This Row],[Initial Budget]]-Master20[[#This Row],[Previously Committed Funds]]</f>
        <v>0</v>
      </c>
      <c r="L228" s="334"/>
      <c r="M228" s="335"/>
      <c r="N228" s="336">
        <f>Master20[[#This Row],[Design $ (Add/Deduct)]]+Master20[[#This Row],[Construction $ (Add/Ded)]]</f>
        <v>0</v>
      </c>
      <c r="O228" s="323">
        <v>8000000</v>
      </c>
      <c r="P228" s="328">
        <v>2019</v>
      </c>
      <c r="Q228" s="204" t="s">
        <v>46</v>
      </c>
      <c r="R228" s="328">
        <f t="shared" si="41"/>
        <v>50</v>
      </c>
      <c r="S228" s="329">
        <v>2</v>
      </c>
      <c r="T228" s="329">
        <f t="shared" si="36"/>
        <v>6</v>
      </c>
      <c r="U228" s="329" t="s">
        <v>41</v>
      </c>
      <c r="V228" s="329">
        <f t="shared" si="37"/>
        <v>4</v>
      </c>
      <c r="W228" s="329" t="s">
        <v>34</v>
      </c>
      <c r="X228" s="329">
        <v>0</v>
      </c>
      <c r="Y228" s="329">
        <v>0</v>
      </c>
      <c r="Z228" s="329">
        <v>-3</v>
      </c>
      <c r="AA228" s="329">
        <v>-3</v>
      </c>
      <c r="AB228" s="329">
        <v>-2</v>
      </c>
      <c r="AC228" s="329">
        <v>-9</v>
      </c>
      <c r="AD228" s="329">
        <v>0</v>
      </c>
      <c r="AE228" s="329"/>
      <c r="AF228" s="330" t="s">
        <v>35</v>
      </c>
      <c r="AG228" s="328">
        <f>VLOOKUP(Master20[[#This Row],[Elevated Priority]],Epriority,2,)</f>
        <v>-25</v>
      </c>
      <c r="AH228" s="328">
        <f>IF(Master20[[#This Row],[Status]]="Active",Master20[[#This Row],[Status_Score]],IF(D228="","",R228+H228+T228+V228+AG228+AE228+Master20[[#This Row],[Risk Mitigation]]+Master20[[#This Row],[Master Plan]]+Master20[[#This Row],[Community Request]]+Master20[[#This Row],[Community need]]+Master20[[#This Row],[Offset Aging Inf.]]+Master20[[#This Row],[Energy Savings]]+Master20[[#This Row],[Gen Revenue]]-5))</f>
        <v>1013</v>
      </c>
      <c r="AI228" s="329" t="s">
        <v>758</v>
      </c>
      <c r="AJ228" s="329">
        <v>2020</v>
      </c>
      <c r="AK228" s="329">
        <v>2021</v>
      </c>
      <c r="AL228" s="329">
        <v>2020</v>
      </c>
      <c r="AM228" s="329">
        <v>2021</v>
      </c>
      <c r="AN228" s="308"/>
    </row>
    <row r="229" spans="1:67" ht="90" hidden="1" x14ac:dyDescent="0.25">
      <c r="A229" s="198"/>
      <c r="B229" s="204" t="s">
        <v>67</v>
      </c>
      <c r="C229" s="204" t="s">
        <v>73</v>
      </c>
      <c r="D229" s="204" t="s">
        <v>438</v>
      </c>
      <c r="E229" s="204" t="s">
        <v>439</v>
      </c>
      <c r="F229" s="204" t="s">
        <v>918</v>
      </c>
      <c r="G229" s="204" t="s">
        <v>816</v>
      </c>
      <c r="H229" s="204">
        <f t="shared" si="40"/>
        <v>1000</v>
      </c>
      <c r="I229" s="326"/>
      <c r="J229" s="326"/>
      <c r="K229" s="326">
        <f>Master20[[#This Row],[Initial Budget]]-Master20[[#This Row],[Previously Committed Funds]]</f>
        <v>0</v>
      </c>
      <c r="L229" s="326"/>
      <c r="M229" s="326"/>
      <c r="N229" s="327">
        <f>Master20[[#This Row],[Design $ (Add/Deduct)]]+Master20[[#This Row],[Construction $ (Add/Ded)]]</f>
        <v>0</v>
      </c>
      <c r="O229" s="332">
        <v>15000</v>
      </c>
      <c r="P229" s="328">
        <v>2018</v>
      </c>
      <c r="Q229" s="204" t="s">
        <v>687</v>
      </c>
      <c r="R229" s="328">
        <f t="shared" si="41"/>
        <v>30</v>
      </c>
      <c r="S229" s="329">
        <v>3</v>
      </c>
      <c r="T229" s="329">
        <f t="shared" si="36"/>
        <v>9</v>
      </c>
      <c r="U229" s="329" t="s">
        <v>43</v>
      </c>
      <c r="V229" s="329">
        <f t="shared" si="37"/>
        <v>16</v>
      </c>
      <c r="W229" s="329" t="s">
        <v>30</v>
      </c>
      <c r="X229" s="329">
        <v>0</v>
      </c>
      <c r="Y229" s="329">
        <v>0</v>
      </c>
      <c r="Z229" s="329">
        <v>0</v>
      </c>
      <c r="AA229" s="329">
        <v>0</v>
      </c>
      <c r="AB229" s="329">
        <v>0</v>
      </c>
      <c r="AC229" s="329">
        <v>0</v>
      </c>
      <c r="AD229" s="329">
        <v>0</v>
      </c>
      <c r="AE229" s="329"/>
      <c r="AF229" s="330" t="s">
        <v>39</v>
      </c>
      <c r="AG229" s="328">
        <f>VLOOKUP(Master20[[#This Row],[Elevated Priority]],Epriority,2,)</f>
        <v>-30</v>
      </c>
      <c r="AH229" s="328">
        <f>IF(Master20[[#This Row],[Status]]="Active",Master20[[#This Row],[Status_Score]],IF(D229="","",R229+H229+T229+V229+AG229+AE229+Master20[[#This Row],[Risk Mitigation]]+Master20[[#This Row],[Master Plan]]+Master20[[#This Row],[Community Request]]+Master20[[#This Row],[Community need]]+Master20[[#This Row],[Offset Aging Inf.]]+Master20[[#This Row],[Energy Savings]]+Master20[[#This Row],[Gen Revenue]]-5))</f>
        <v>1020</v>
      </c>
      <c r="AI229" s="329"/>
      <c r="AJ229" s="329"/>
      <c r="AK229" s="329"/>
      <c r="AL229" s="329" t="s">
        <v>1045</v>
      </c>
      <c r="AM229" s="329" t="s">
        <v>1045</v>
      </c>
      <c r="AN229" s="308"/>
    </row>
    <row r="230" spans="1:67" ht="30" hidden="1" x14ac:dyDescent="0.25">
      <c r="A230" s="198"/>
      <c r="B230" s="350" t="s">
        <v>79</v>
      </c>
      <c r="C230" s="350" t="s">
        <v>1045</v>
      </c>
      <c r="D230" s="333" t="s">
        <v>199</v>
      </c>
      <c r="E230" s="333" t="s">
        <v>200</v>
      </c>
      <c r="F230" s="333" t="s">
        <v>201</v>
      </c>
      <c r="G230" s="333" t="s">
        <v>816</v>
      </c>
      <c r="H230" s="333">
        <f t="shared" si="40"/>
        <v>1000</v>
      </c>
      <c r="I230" s="334"/>
      <c r="J230" s="334"/>
      <c r="K230" s="334">
        <f>Master20[[#This Row],[Initial Budget]]-Master20[[#This Row],[Previously Committed Funds]]</f>
        <v>0</v>
      </c>
      <c r="L230" s="334"/>
      <c r="M230" s="335"/>
      <c r="N230" s="336">
        <f>Master20[[#This Row],[Design $ (Add/Deduct)]]+Master20[[#This Row],[Construction $ (Add/Ded)]]</f>
        <v>0</v>
      </c>
      <c r="O230" s="351">
        <v>30000</v>
      </c>
      <c r="P230" s="352">
        <v>2018</v>
      </c>
      <c r="Q230" s="333" t="s">
        <v>36</v>
      </c>
      <c r="R230" s="328">
        <f t="shared" si="41"/>
        <v>10</v>
      </c>
      <c r="S230" s="329">
        <v>4</v>
      </c>
      <c r="T230" s="329">
        <f t="shared" si="36"/>
        <v>12</v>
      </c>
      <c r="U230" s="329" t="s">
        <v>41</v>
      </c>
      <c r="V230" s="329">
        <f t="shared" si="37"/>
        <v>4</v>
      </c>
      <c r="W230" s="329" t="s">
        <v>30</v>
      </c>
      <c r="X230" s="329">
        <v>0</v>
      </c>
      <c r="Y230" s="329">
        <v>0</v>
      </c>
      <c r="Z230" s="329">
        <v>0</v>
      </c>
      <c r="AA230" s="329">
        <v>0</v>
      </c>
      <c r="AB230" s="329">
        <v>0</v>
      </c>
      <c r="AC230" s="329">
        <v>0</v>
      </c>
      <c r="AD230" s="329">
        <v>0</v>
      </c>
      <c r="AE230" s="329"/>
      <c r="AF230" s="330" t="s">
        <v>29</v>
      </c>
      <c r="AG230" s="328">
        <f>VLOOKUP(Master20[[#This Row],[Elevated Priority]],Epriority,2,)</f>
        <v>0</v>
      </c>
      <c r="AH230" s="328">
        <f>IF(Master20[[#This Row],[Status]]="Active",Master20[[#This Row],[Status_Score]],IF(D230="","",R230+H230+T230+V230+AG230+AE230+Master20[[#This Row],[Risk Mitigation]]+Master20[[#This Row],[Master Plan]]+Master20[[#This Row],[Community Request]]+Master20[[#This Row],[Community need]]+Master20[[#This Row],[Offset Aging Inf.]]+Master20[[#This Row],[Energy Savings]]+Master20[[#This Row],[Gen Revenue]]-5))</f>
        <v>1021</v>
      </c>
      <c r="AI230" s="329"/>
      <c r="AJ230" s="329"/>
      <c r="AK230" s="329">
        <v>2020</v>
      </c>
      <c r="AL230" s="329" t="s">
        <v>1045</v>
      </c>
      <c r="AM230" s="329" t="s">
        <v>1045</v>
      </c>
      <c r="AN230" s="319"/>
    </row>
    <row r="231" spans="1:67" ht="30" hidden="1" x14ac:dyDescent="0.25">
      <c r="A231" s="198"/>
      <c r="B231" s="350" t="s">
        <v>70</v>
      </c>
      <c r="C231" s="350" t="s">
        <v>1045</v>
      </c>
      <c r="D231" s="333" t="s">
        <v>691</v>
      </c>
      <c r="E231" s="333" t="s">
        <v>697</v>
      </c>
      <c r="F231" s="333" t="s">
        <v>855</v>
      </c>
      <c r="G231" s="333" t="s">
        <v>816</v>
      </c>
      <c r="H231" s="333">
        <f t="shared" si="40"/>
        <v>1000</v>
      </c>
      <c r="I231" s="334"/>
      <c r="J231" s="334"/>
      <c r="K231" s="334">
        <f>Master20[[#This Row],[Initial Budget]]-Master20[[#This Row],[Previously Committed Funds]]</f>
        <v>0</v>
      </c>
      <c r="L231" s="334"/>
      <c r="M231" s="335"/>
      <c r="N231" s="336">
        <f>Master20[[#This Row],[Design $ (Add/Deduct)]]+Master20[[#This Row],[Construction $ (Add/Ded)]]</f>
        <v>0</v>
      </c>
      <c r="O231" s="351">
        <v>12000000</v>
      </c>
      <c r="P231" s="352">
        <v>2019</v>
      </c>
      <c r="Q231" s="333" t="s">
        <v>46</v>
      </c>
      <c r="R231" s="328">
        <f t="shared" si="41"/>
        <v>50</v>
      </c>
      <c r="S231" s="329">
        <v>1</v>
      </c>
      <c r="T231" s="329">
        <f t="shared" si="36"/>
        <v>3</v>
      </c>
      <c r="U231" s="329" t="s">
        <v>41</v>
      </c>
      <c r="V231" s="329"/>
      <c r="W231" s="329" t="s">
        <v>34</v>
      </c>
      <c r="X231" s="329">
        <v>0</v>
      </c>
      <c r="Y231" s="329">
        <v>0</v>
      </c>
      <c r="Z231" s="329">
        <v>0</v>
      </c>
      <c r="AA231" s="329">
        <v>0</v>
      </c>
      <c r="AB231" s="329">
        <v>0</v>
      </c>
      <c r="AC231" s="329">
        <v>0</v>
      </c>
      <c r="AD231" s="329">
        <v>0</v>
      </c>
      <c r="AE231" s="329"/>
      <c r="AF231" s="330" t="s">
        <v>35</v>
      </c>
      <c r="AG231" s="328">
        <f>VLOOKUP(Master20[[#This Row],[Elevated Priority]],Epriority,2,)</f>
        <v>-25</v>
      </c>
      <c r="AH231" s="328">
        <f>IF(Master20[[#This Row],[Status]]="Active",Master20[[#This Row],[Status_Score]],IF(D231="","",R231+H231+T231+V231+AG231+AE231+Master20[[#This Row],[Risk Mitigation]]+Master20[[#This Row],[Master Plan]]+Master20[[#This Row],[Community Request]]+Master20[[#This Row],[Community need]]+Master20[[#This Row],[Offset Aging Inf.]]+Master20[[#This Row],[Energy Savings]]+Master20[[#This Row],[Gen Revenue]]-5))</f>
        <v>1023</v>
      </c>
      <c r="AI231" s="329" t="s">
        <v>715</v>
      </c>
      <c r="AJ231" s="329">
        <v>2019</v>
      </c>
      <c r="AK231" s="329">
        <v>2020</v>
      </c>
      <c r="AL231" s="329">
        <v>2019</v>
      </c>
      <c r="AM231" s="329">
        <v>2020</v>
      </c>
      <c r="AN231" s="233"/>
    </row>
    <row r="232" spans="1:67" ht="30" hidden="1" x14ac:dyDescent="0.25">
      <c r="A232" s="198"/>
      <c r="B232" s="204" t="s">
        <v>79</v>
      </c>
      <c r="C232" s="350" t="s">
        <v>1045</v>
      </c>
      <c r="D232" s="204" t="s">
        <v>779</v>
      </c>
      <c r="E232" s="204" t="s">
        <v>802</v>
      </c>
      <c r="F232" s="204" t="s">
        <v>803</v>
      </c>
      <c r="G232" s="333" t="s">
        <v>816</v>
      </c>
      <c r="H232" s="204">
        <f t="shared" si="40"/>
        <v>1000</v>
      </c>
      <c r="I232" s="334"/>
      <c r="J232" s="334"/>
      <c r="K232" s="334">
        <f>Master20[[#This Row],[Initial Budget]]-Master20[[#This Row],[Previously Committed Funds]]</f>
        <v>0</v>
      </c>
      <c r="L232" s="334"/>
      <c r="M232" s="335"/>
      <c r="N232" s="336">
        <f>Master20[[#This Row],[Design $ (Add/Deduct)]]+Master20[[#This Row],[Construction $ (Add/Ded)]]</f>
        <v>0</v>
      </c>
      <c r="O232" s="351">
        <v>150000</v>
      </c>
      <c r="P232" s="352">
        <v>2020</v>
      </c>
      <c r="Q232" s="204" t="s">
        <v>688</v>
      </c>
      <c r="R232" s="328">
        <f t="shared" si="41"/>
        <v>20</v>
      </c>
      <c r="S232" s="329">
        <v>3</v>
      </c>
      <c r="T232" s="329">
        <f t="shared" si="36"/>
        <v>9</v>
      </c>
      <c r="U232" s="329" t="s">
        <v>33</v>
      </c>
      <c r="V232" s="329">
        <f t="shared" ref="V232:V245" si="42">VLOOKUP(U232,Urgency,2,FALSE)</f>
        <v>1</v>
      </c>
      <c r="W232" s="329" t="s">
        <v>30</v>
      </c>
      <c r="X232" s="329">
        <v>0</v>
      </c>
      <c r="Y232" s="329">
        <v>0</v>
      </c>
      <c r="Z232" s="329">
        <v>0</v>
      </c>
      <c r="AA232" s="329">
        <v>0</v>
      </c>
      <c r="AB232" s="329">
        <v>0</v>
      </c>
      <c r="AC232" s="329">
        <v>0</v>
      </c>
      <c r="AD232" s="329">
        <v>0</v>
      </c>
      <c r="AE232" s="329"/>
      <c r="AF232" s="330" t="s">
        <v>29</v>
      </c>
      <c r="AG232" s="328">
        <f>VLOOKUP(Master20[[#This Row],[Elevated Priority]],Epriority,2,)</f>
        <v>0</v>
      </c>
      <c r="AH232" s="328">
        <f>IF(Master20[[#This Row],[Status]]="Active",Master20[[#This Row],[Status_Score]],IF(D232="","",R232+H232+T232+V232+AG232+AE232+Master20[[#This Row],[Risk Mitigation]]+Master20[[#This Row],[Master Plan]]+Master20[[#This Row],[Community Request]]+Master20[[#This Row],[Community need]]+Master20[[#This Row],[Offset Aging Inf.]]+Master20[[#This Row],[Energy Savings]]+Master20[[#This Row],[Gen Revenue]]-5))</f>
        <v>1025</v>
      </c>
      <c r="AI232" s="329" t="s">
        <v>758</v>
      </c>
      <c r="AJ232" s="329">
        <v>2020</v>
      </c>
      <c r="AK232" s="329">
        <v>2020</v>
      </c>
      <c r="AL232" s="329">
        <v>2020</v>
      </c>
      <c r="AM232" s="329">
        <v>2021</v>
      </c>
      <c r="AN232" s="233"/>
    </row>
    <row r="233" spans="1:67" ht="45" hidden="1" x14ac:dyDescent="0.25">
      <c r="A233" s="198"/>
      <c r="B233" s="204" t="s">
        <v>143</v>
      </c>
      <c r="C233" s="204" t="s">
        <v>299</v>
      </c>
      <c r="D233" s="204" t="s">
        <v>414</v>
      </c>
      <c r="E233" s="204" t="s">
        <v>414</v>
      </c>
      <c r="F233" s="204" t="s">
        <v>415</v>
      </c>
      <c r="G233" s="333" t="s">
        <v>816</v>
      </c>
      <c r="H233" s="204">
        <f t="shared" si="40"/>
        <v>1000</v>
      </c>
      <c r="I233" s="334"/>
      <c r="J233" s="334"/>
      <c r="K233" s="334">
        <f>Master20[[#This Row],[Initial Budget]]-Master20[[#This Row],[Previously Committed Funds]]</f>
        <v>0</v>
      </c>
      <c r="L233" s="334"/>
      <c r="M233" s="335"/>
      <c r="N233" s="336">
        <f>Master20[[#This Row],[Design $ (Add/Deduct)]]+Master20[[#This Row],[Construction $ (Add/Ded)]]</f>
        <v>0</v>
      </c>
      <c r="O233" s="353">
        <v>250000</v>
      </c>
      <c r="P233" s="352">
        <v>2018</v>
      </c>
      <c r="Q233" s="204" t="s">
        <v>688</v>
      </c>
      <c r="R233" s="328">
        <f t="shared" si="41"/>
        <v>20</v>
      </c>
      <c r="S233" s="330">
        <v>2</v>
      </c>
      <c r="T233" s="329">
        <f t="shared" si="36"/>
        <v>6</v>
      </c>
      <c r="U233" s="330" t="s">
        <v>41</v>
      </c>
      <c r="V233" s="329">
        <f t="shared" si="42"/>
        <v>4</v>
      </c>
      <c r="W233" s="329" t="s">
        <v>30</v>
      </c>
      <c r="X233" s="329">
        <v>0</v>
      </c>
      <c r="Y233" s="329">
        <v>0</v>
      </c>
      <c r="Z233" s="329">
        <v>0</v>
      </c>
      <c r="AA233" s="329">
        <v>0</v>
      </c>
      <c r="AB233" s="329">
        <v>0</v>
      </c>
      <c r="AC233" s="329">
        <v>0</v>
      </c>
      <c r="AD233" s="329">
        <v>0</v>
      </c>
      <c r="AE233" s="329"/>
      <c r="AF233" s="330" t="s">
        <v>29</v>
      </c>
      <c r="AG233" s="328">
        <f>VLOOKUP(Master20[[#This Row],[Elevated Priority]],Epriority,2,)</f>
        <v>0</v>
      </c>
      <c r="AH233" s="328">
        <f>IF(Master20[[#This Row],[Status]]="Active",Master20[[#This Row],[Status_Score]],IF(D233="","",R233+H233+T233+V233+AG233+AE233+Master20[[#This Row],[Risk Mitigation]]+Master20[[#This Row],[Master Plan]]+Master20[[#This Row],[Community Request]]+Master20[[#This Row],[Community need]]+Master20[[#This Row],[Offset Aging Inf.]]+Master20[[#This Row],[Energy Savings]]+Master20[[#This Row],[Gen Revenue]]-5))</f>
        <v>1025</v>
      </c>
      <c r="AI233" s="329" t="s">
        <v>718</v>
      </c>
      <c r="AJ233" s="329">
        <v>2020</v>
      </c>
      <c r="AK233" s="329">
        <v>2021</v>
      </c>
      <c r="AL233" s="329">
        <v>2020</v>
      </c>
      <c r="AM233" s="329">
        <v>2021</v>
      </c>
      <c r="AN233" s="233"/>
    </row>
    <row r="234" spans="1:67" ht="45" hidden="1" x14ac:dyDescent="0.25">
      <c r="A234" s="198"/>
      <c r="B234" s="324" t="s">
        <v>94</v>
      </c>
      <c r="C234" s="324" t="s">
        <v>646</v>
      </c>
      <c r="D234" s="204" t="s">
        <v>753</v>
      </c>
      <c r="E234" s="204" t="s">
        <v>854</v>
      </c>
      <c r="F234" s="204" t="s">
        <v>880</v>
      </c>
      <c r="G234" s="333" t="s">
        <v>816</v>
      </c>
      <c r="H234" s="204">
        <f t="shared" si="40"/>
        <v>1000</v>
      </c>
      <c r="I234" s="334"/>
      <c r="J234" s="334"/>
      <c r="K234" s="334">
        <f>Master20[[#This Row],[Initial Budget]]-Master20[[#This Row],[Previously Committed Funds]]</f>
        <v>0</v>
      </c>
      <c r="L234" s="334"/>
      <c r="M234" s="335"/>
      <c r="N234" s="336">
        <f>Master20[[#This Row],[Design $ (Add/Deduct)]]+Master20[[#This Row],[Construction $ (Add/Ded)]]</f>
        <v>0</v>
      </c>
      <c r="O234" s="323">
        <v>300000</v>
      </c>
      <c r="P234" s="339">
        <v>2019</v>
      </c>
      <c r="Q234" s="204" t="s">
        <v>36</v>
      </c>
      <c r="R234" s="328">
        <f t="shared" si="41"/>
        <v>10</v>
      </c>
      <c r="S234" s="329">
        <v>10</v>
      </c>
      <c r="T234" s="329">
        <f t="shared" si="36"/>
        <v>21</v>
      </c>
      <c r="U234" s="329" t="s">
        <v>33</v>
      </c>
      <c r="V234" s="329">
        <f t="shared" si="42"/>
        <v>1</v>
      </c>
      <c r="W234" s="329" t="s">
        <v>30</v>
      </c>
      <c r="X234" s="329">
        <v>0</v>
      </c>
      <c r="Y234" s="329">
        <v>0</v>
      </c>
      <c r="Z234" s="329">
        <v>0</v>
      </c>
      <c r="AA234" s="329">
        <v>0</v>
      </c>
      <c r="AB234" s="329">
        <v>0</v>
      </c>
      <c r="AC234" s="329">
        <v>0</v>
      </c>
      <c r="AD234" s="329">
        <v>0</v>
      </c>
      <c r="AE234" s="329"/>
      <c r="AF234" s="330" t="s">
        <v>29</v>
      </c>
      <c r="AG234" s="328">
        <f>VLOOKUP(Master20[[#This Row],[Elevated Priority]],Epriority,2,)</f>
        <v>0</v>
      </c>
      <c r="AH234" s="328">
        <f>IF(Master20[[#This Row],[Status]]="Active",Master20[[#This Row],[Status_Score]],IF(D234="","",R234+H234+T234+V234+AG234+AE234+Master20[[#This Row],[Risk Mitigation]]+Master20[[#This Row],[Master Plan]]+Master20[[#This Row],[Community Request]]+Master20[[#This Row],[Community need]]+Master20[[#This Row],[Offset Aging Inf.]]+Master20[[#This Row],[Energy Savings]]+Master20[[#This Row],[Gen Revenue]]-5))</f>
        <v>1027</v>
      </c>
      <c r="AI234" s="329"/>
      <c r="AJ234" s="329">
        <v>2019</v>
      </c>
      <c r="AK234" s="329">
        <v>2020</v>
      </c>
      <c r="AL234" s="329">
        <v>2019</v>
      </c>
      <c r="AM234" s="329">
        <v>2020</v>
      </c>
      <c r="AN234" s="233" t="s">
        <v>654</v>
      </c>
    </row>
    <row r="235" spans="1:67" hidden="1" x14ac:dyDescent="0.25">
      <c r="A235" s="198"/>
      <c r="B235" s="324" t="s">
        <v>79</v>
      </c>
      <c r="C235" s="324" t="s">
        <v>1045</v>
      </c>
      <c r="D235" s="204" t="s">
        <v>248</v>
      </c>
      <c r="E235" s="204" t="s">
        <v>249</v>
      </c>
      <c r="F235" s="204" t="s">
        <v>250</v>
      </c>
      <c r="G235" s="333" t="s">
        <v>816</v>
      </c>
      <c r="H235" s="204">
        <f t="shared" si="40"/>
        <v>1000</v>
      </c>
      <c r="I235" s="334"/>
      <c r="J235" s="334"/>
      <c r="K235" s="334">
        <f>Master20[[#This Row],[Initial Budget]]-Master20[[#This Row],[Previously Committed Funds]]</f>
        <v>0</v>
      </c>
      <c r="L235" s="334"/>
      <c r="M235" s="335"/>
      <c r="N235" s="336">
        <f>Master20[[#This Row],[Design $ (Add/Deduct)]]+Master20[[#This Row],[Construction $ (Add/Ded)]]</f>
        <v>0</v>
      </c>
      <c r="O235" s="323">
        <v>50000</v>
      </c>
      <c r="P235" s="352">
        <v>2018</v>
      </c>
      <c r="Q235" s="204" t="s">
        <v>36</v>
      </c>
      <c r="R235" s="328">
        <f t="shared" si="41"/>
        <v>10</v>
      </c>
      <c r="S235" s="329">
        <v>6</v>
      </c>
      <c r="T235" s="329">
        <f t="shared" si="36"/>
        <v>18</v>
      </c>
      <c r="U235" s="329" t="s">
        <v>41</v>
      </c>
      <c r="V235" s="329">
        <f t="shared" si="42"/>
        <v>4</v>
      </c>
      <c r="W235" s="329" t="s">
        <v>30</v>
      </c>
      <c r="X235" s="329">
        <v>0</v>
      </c>
      <c r="Y235" s="329">
        <v>0</v>
      </c>
      <c r="Z235" s="329">
        <v>0</v>
      </c>
      <c r="AA235" s="329">
        <v>0</v>
      </c>
      <c r="AB235" s="329">
        <v>0</v>
      </c>
      <c r="AC235" s="329">
        <v>0</v>
      </c>
      <c r="AD235" s="329">
        <v>0</v>
      </c>
      <c r="AE235" s="329"/>
      <c r="AF235" s="330" t="s">
        <v>29</v>
      </c>
      <c r="AG235" s="328">
        <f>VLOOKUP(Master20[[#This Row],[Elevated Priority]],Epriority,2,)</f>
        <v>0</v>
      </c>
      <c r="AH235" s="328">
        <f>IF(Master20[[#This Row],[Status]]="Active",Master20[[#This Row],[Status_Score]],IF(D235="","",R235+H235+T235+V235+AG235+AE235+Master20[[#This Row],[Risk Mitigation]]+Master20[[#This Row],[Master Plan]]+Master20[[#This Row],[Community Request]]+Master20[[#This Row],[Community need]]+Master20[[#This Row],[Offset Aging Inf.]]+Master20[[#This Row],[Energy Savings]]+Master20[[#This Row],[Gen Revenue]]-5))</f>
        <v>1027</v>
      </c>
      <c r="AI235" s="329"/>
      <c r="AJ235" s="329"/>
      <c r="AK235" s="329"/>
      <c r="AL235" s="329" t="s">
        <v>1045</v>
      </c>
      <c r="AM235" s="329" t="s">
        <v>1045</v>
      </c>
      <c r="AN235" s="233"/>
    </row>
    <row r="236" spans="1:67" ht="60" hidden="1" x14ac:dyDescent="0.25">
      <c r="A236" s="198"/>
      <c r="B236" s="324" t="s">
        <v>70</v>
      </c>
      <c r="C236" s="324" t="s">
        <v>1045</v>
      </c>
      <c r="D236" s="204" t="s">
        <v>296</v>
      </c>
      <c r="E236" s="204" t="s">
        <v>297</v>
      </c>
      <c r="F236" s="204" t="s">
        <v>298</v>
      </c>
      <c r="G236" s="333" t="s">
        <v>816</v>
      </c>
      <c r="H236" s="204">
        <f t="shared" si="40"/>
        <v>1000</v>
      </c>
      <c r="I236" s="334"/>
      <c r="J236" s="334"/>
      <c r="K236" s="334">
        <f>Master20[[#This Row],[Initial Budget]]-Master20[[#This Row],[Previously Committed Funds]]</f>
        <v>0</v>
      </c>
      <c r="L236" s="334"/>
      <c r="M236" s="335"/>
      <c r="N236" s="336">
        <f>Master20[[#This Row],[Design $ (Add/Deduct)]]+Master20[[#This Row],[Construction $ (Add/Ded)]]</f>
        <v>0</v>
      </c>
      <c r="O236" s="323">
        <v>25000</v>
      </c>
      <c r="P236" s="352">
        <v>2018</v>
      </c>
      <c r="Q236" s="204" t="s">
        <v>687</v>
      </c>
      <c r="R236" s="328">
        <f t="shared" si="41"/>
        <v>30</v>
      </c>
      <c r="S236" s="329">
        <v>4</v>
      </c>
      <c r="T236" s="329">
        <f t="shared" si="36"/>
        <v>12</v>
      </c>
      <c r="U236" s="329" t="s">
        <v>41</v>
      </c>
      <c r="V236" s="329">
        <f t="shared" si="42"/>
        <v>4</v>
      </c>
      <c r="W236" s="329" t="s">
        <v>30</v>
      </c>
      <c r="X236" s="329">
        <v>0</v>
      </c>
      <c r="Y236" s="329">
        <v>0</v>
      </c>
      <c r="Z236" s="329">
        <v>0</v>
      </c>
      <c r="AA236" s="329">
        <v>0</v>
      </c>
      <c r="AB236" s="329">
        <v>0</v>
      </c>
      <c r="AC236" s="329">
        <v>0</v>
      </c>
      <c r="AD236" s="329">
        <v>0</v>
      </c>
      <c r="AE236" s="329"/>
      <c r="AF236" s="330" t="s">
        <v>29</v>
      </c>
      <c r="AG236" s="328">
        <f>VLOOKUP(Master20[[#This Row],[Elevated Priority]],Epriority,2,)</f>
        <v>0</v>
      </c>
      <c r="AH236" s="328">
        <f>IF(Master20[[#This Row],[Status]]="Active",Master20[[#This Row],[Status_Score]],IF(D236="","",R236+H236+T236+V236+AG236+AE236+Master20[[#This Row],[Risk Mitigation]]+Master20[[#This Row],[Master Plan]]+Master20[[#This Row],[Community Request]]+Master20[[#This Row],[Community need]]+Master20[[#This Row],[Offset Aging Inf.]]+Master20[[#This Row],[Energy Savings]]+Master20[[#This Row],[Gen Revenue]]-5))</f>
        <v>1041</v>
      </c>
      <c r="AI236" s="329"/>
      <c r="AJ236" s="329"/>
      <c r="AK236" s="329"/>
      <c r="AL236" s="329" t="s">
        <v>1045</v>
      </c>
      <c r="AM236" s="329" t="s">
        <v>1045</v>
      </c>
      <c r="AN236" s="233" t="s">
        <v>667</v>
      </c>
    </row>
    <row r="237" spans="1:67" ht="30" hidden="1" x14ac:dyDescent="0.25">
      <c r="A237" s="198"/>
      <c r="B237" s="324" t="s">
        <v>79</v>
      </c>
      <c r="C237" s="324" t="s">
        <v>1045</v>
      </c>
      <c r="D237" s="204" t="s">
        <v>981</v>
      </c>
      <c r="E237" s="204" t="s">
        <v>471</v>
      </c>
      <c r="F237" s="204" t="s">
        <v>472</v>
      </c>
      <c r="G237" s="333" t="s">
        <v>816</v>
      </c>
      <c r="H237" s="204">
        <f t="shared" si="40"/>
        <v>1000</v>
      </c>
      <c r="I237" s="334"/>
      <c r="J237" s="334"/>
      <c r="K237" s="334">
        <f>Master20[[#This Row],[Initial Budget]]-Master20[[#This Row],[Previously Committed Funds]]</f>
        <v>0</v>
      </c>
      <c r="L237" s="334"/>
      <c r="M237" s="335"/>
      <c r="N237" s="336">
        <f>Master20[[#This Row],[Design $ (Add/Deduct)]]+Master20[[#This Row],[Construction $ (Add/Ded)]]</f>
        <v>0</v>
      </c>
      <c r="O237" s="323">
        <v>350000</v>
      </c>
      <c r="P237" s="352">
        <v>2018</v>
      </c>
      <c r="Q237" s="204" t="s">
        <v>36</v>
      </c>
      <c r="R237" s="328">
        <f t="shared" si="41"/>
        <v>10</v>
      </c>
      <c r="S237" s="329">
        <v>12</v>
      </c>
      <c r="T237" s="329">
        <f t="shared" si="36"/>
        <v>22</v>
      </c>
      <c r="U237" s="329" t="s">
        <v>43</v>
      </c>
      <c r="V237" s="329">
        <f t="shared" si="42"/>
        <v>16</v>
      </c>
      <c r="W237" s="329" t="s">
        <v>30</v>
      </c>
      <c r="X237" s="329">
        <v>0</v>
      </c>
      <c r="Y237" s="329">
        <v>0</v>
      </c>
      <c r="Z237" s="329">
        <v>0</v>
      </c>
      <c r="AA237" s="329">
        <v>0</v>
      </c>
      <c r="AB237" s="329">
        <v>0</v>
      </c>
      <c r="AC237" s="329">
        <v>0</v>
      </c>
      <c r="AD237" s="329">
        <v>0</v>
      </c>
      <c r="AE237" s="329"/>
      <c r="AF237" s="330" t="s">
        <v>29</v>
      </c>
      <c r="AG237" s="328">
        <f>VLOOKUP(Master20[[#This Row],[Elevated Priority]],Epriority,2,)</f>
        <v>0</v>
      </c>
      <c r="AH237" s="328">
        <f>IF(Master20[[#This Row],[Status]]="Active",Master20[[#This Row],[Status_Score]],IF(D237="","",R237+H237+T237+V237+AG237+AE237+Master20[[#This Row],[Risk Mitigation]]+Master20[[#This Row],[Master Plan]]+Master20[[#This Row],[Community Request]]+Master20[[#This Row],[Community need]]+Master20[[#This Row],[Offset Aging Inf.]]+Master20[[#This Row],[Energy Savings]]+Master20[[#This Row],[Gen Revenue]]-5))</f>
        <v>1043</v>
      </c>
      <c r="AI237" s="329" t="s">
        <v>754</v>
      </c>
      <c r="AJ237" s="329">
        <v>2020</v>
      </c>
      <c r="AK237" s="329">
        <v>2021</v>
      </c>
      <c r="AL237" s="329">
        <v>2020</v>
      </c>
      <c r="AM237" s="329">
        <v>2021</v>
      </c>
      <c r="AN237" s="233"/>
    </row>
    <row r="238" spans="1:67" ht="45" hidden="1" x14ac:dyDescent="0.25">
      <c r="A238" s="198"/>
      <c r="B238" s="324" t="s">
        <v>67</v>
      </c>
      <c r="C238" s="324" t="s">
        <v>995</v>
      </c>
      <c r="D238" s="341" t="s">
        <v>794</v>
      </c>
      <c r="E238" s="341" t="s">
        <v>794</v>
      </c>
      <c r="F238" s="342" t="s">
        <v>882</v>
      </c>
      <c r="G238" s="204" t="s">
        <v>816</v>
      </c>
      <c r="H238" s="204">
        <f t="shared" si="40"/>
        <v>1000</v>
      </c>
      <c r="I238" s="334"/>
      <c r="J238" s="334"/>
      <c r="K238" s="334">
        <f>Master20[[#This Row],[Initial Budget]]-Master20[[#This Row],[Previously Committed Funds]]</f>
        <v>0</v>
      </c>
      <c r="L238" s="334"/>
      <c r="M238" s="335"/>
      <c r="N238" s="336">
        <f>Master20[[#This Row],[Design $ (Add/Deduct)]]+Master20[[#This Row],[Construction $ (Add/Ded)]]</f>
        <v>0</v>
      </c>
      <c r="O238" s="323">
        <v>40000</v>
      </c>
      <c r="P238" s="328">
        <v>2020</v>
      </c>
      <c r="Q238" s="204" t="s">
        <v>46</v>
      </c>
      <c r="R238" s="328">
        <f t="shared" si="41"/>
        <v>50</v>
      </c>
      <c r="S238" s="329">
        <v>1</v>
      </c>
      <c r="T238" s="329">
        <f t="shared" si="36"/>
        <v>3</v>
      </c>
      <c r="U238" s="329" t="s">
        <v>41</v>
      </c>
      <c r="V238" s="329">
        <f t="shared" si="42"/>
        <v>4</v>
      </c>
      <c r="W238" s="329" t="s">
        <v>30</v>
      </c>
      <c r="X238" s="329">
        <v>0</v>
      </c>
      <c r="Y238" s="329">
        <v>0</v>
      </c>
      <c r="Z238" s="329">
        <v>0</v>
      </c>
      <c r="AA238" s="329">
        <v>0</v>
      </c>
      <c r="AB238" s="329">
        <v>0</v>
      </c>
      <c r="AC238" s="329">
        <v>0</v>
      </c>
      <c r="AD238" s="329">
        <v>0</v>
      </c>
      <c r="AE238" s="329"/>
      <c r="AF238" s="330" t="s">
        <v>29</v>
      </c>
      <c r="AG238" s="328">
        <f>VLOOKUP(Master20[[#This Row],[Elevated Priority]],Epriority,2,)</f>
        <v>0</v>
      </c>
      <c r="AH238" s="328">
        <f>IF(Master20[[#This Row],[Status]]="Active",Master20[[#This Row],[Status_Score]],IF(D238="","",R238+H238+T238+V238+AG238+AE238+Master20[[#This Row],[Risk Mitigation]]+Master20[[#This Row],[Master Plan]]+Master20[[#This Row],[Community Request]]+Master20[[#This Row],[Community need]]+Master20[[#This Row],[Offset Aging Inf.]]+Master20[[#This Row],[Energy Savings]]+Master20[[#This Row],[Gen Revenue]]-5))</f>
        <v>1052</v>
      </c>
      <c r="AI238" s="329" t="s">
        <v>1053</v>
      </c>
      <c r="AJ238" s="329"/>
      <c r="AK238" s="329">
        <v>2021</v>
      </c>
      <c r="AL238" s="329"/>
      <c r="AM238" s="329">
        <v>2021</v>
      </c>
      <c r="AN238" s="233"/>
    </row>
    <row r="239" spans="1:67" ht="45" hidden="1" x14ac:dyDescent="0.25">
      <c r="A239" s="198"/>
      <c r="B239" s="324" t="s">
        <v>67</v>
      </c>
      <c r="C239" s="204" t="s">
        <v>995</v>
      </c>
      <c r="D239" s="341" t="s">
        <v>973</v>
      </c>
      <c r="E239" s="341" t="s">
        <v>973</v>
      </c>
      <c r="F239" s="342" t="s">
        <v>882</v>
      </c>
      <c r="G239" s="204" t="s">
        <v>816</v>
      </c>
      <c r="H239" s="204">
        <f t="shared" si="40"/>
        <v>1000</v>
      </c>
      <c r="I239" s="326"/>
      <c r="J239" s="326"/>
      <c r="K239" s="326">
        <f>Master20[[#This Row],[Initial Budget]]-Master20[[#This Row],[Previously Committed Funds]]</f>
        <v>0</v>
      </c>
      <c r="L239" s="354">
        <v>0</v>
      </c>
      <c r="M239" s="354">
        <v>0</v>
      </c>
      <c r="N239" s="327">
        <f>Master20[[#This Row],[Design $ (Add/Deduct)]]+Master20[[#This Row],[Construction $ (Add/Ded)]]</f>
        <v>0</v>
      </c>
      <c r="O239" s="332">
        <v>40000</v>
      </c>
      <c r="P239" s="328">
        <v>2020</v>
      </c>
      <c r="Q239" s="204" t="s">
        <v>46</v>
      </c>
      <c r="R239" s="328">
        <f t="shared" si="41"/>
        <v>50</v>
      </c>
      <c r="S239" s="329">
        <v>1</v>
      </c>
      <c r="T239" s="329">
        <f t="shared" si="36"/>
        <v>3</v>
      </c>
      <c r="U239" s="329" t="s">
        <v>41</v>
      </c>
      <c r="V239" s="329">
        <f t="shared" si="42"/>
        <v>4</v>
      </c>
      <c r="W239" s="329" t="s">
        <v>30</v>
      </c>
      <c r="X239" s="329">
        <v>0</v>
      </c>
      <c r="Y239" s="329">
        <v>0</v>
      </c>
      <c r="Z239" s="329">
        <v>0</v>
      </c>
      <c r="AA239" s="329">
        <v>0</v>
      </c>
      <c r="AB239" s="329">
        <v>0</v>
      </c>
      <c r="AC239" s="329">
        <v>0</v>
      </c>
      <c r="AD239" s="329">
        <v>0</v>
      </c>
      <c r="AE239" s="329"/>
      <c r="AF239" s="330" t="s">
        <v>29</v>
      </c>
      <c r="AG239" s="328">
        <f>VLOOKUP(Master20[[#This Row],[Elevated Priority]],Epriority,2,)</f>
        <v>0</v>
      </c>
      <c r="AH239" s="328">
        <f>IF(Master20[[#This Row],[Status]]="Active",Master20[[#This Row],[Status_Score]],IF(D239="","",R239+H239+T239+V239+AG239+AE239+Master20[[#This Row],[Risk Mitigation]]+Master20[[#This Row],[Master Plan]]+Master20[[#This Row],[Community Request]]+Master20[[#This Row],[Community need]]+Master20[[#This Row],[Offset Aging Inf.]]+Master20[[#This Row],[Energy Savings]]+Master20[[#This Row],[Gen Revenue]]-5))</f>
        <v>1052</v>
      </c>
      <c r="AI239" s="329" t="s">
        <v>1053</v>
      </c>
      <c r="AJ239" s="329">
        <v>2019</v>
      </c>
      <c r="AK239" s="329">
        <v>2020</v>
      </c>
      <c r="AL239" s="329">
        <v>2019</v>
      </c>
      <c r="AM239" s="329">
        <v>2021</v>
      </c>
      <c r="AN239" s="308"/>
    </row>
    <row r="240" spans="1:67" s="298" customFormat="1" ht="60" hidden="1" x14ac:dyDescent="0.25">
      <c r="A240" s="307"/>
      <c r="B240" s="324" t="s">
        <v>1200</v>
      </c>
      <c r="C240" s="324" t="s">
        <v>1045</v>
      </c>
      <c r="D240" s="204" t="s">
        <v>478</v>
      </c>
      <c r="E240" s="204" t="s">
        <v>711</v>
      </c>
      <c r="F240" s="204" t="s">
        <v>480</v>
      </c>
      <c r="G240" s="204" t="s">
        <v>816</v>
      </c>
      <c r="H240" s="204">
        <f t="shared" si="40"/>
        <v>1000</v>
      </c>
      <c r="I240" s="334">
        <f>326250+108750</f>
        <v>435000</v>
      </c>
      <c r="J240" s="334">
        <v>15857</v>
      </c>
      <c r="K240" s="334">
        <f>Master20[[#This Row],[Initial Budget]]-Master20[[#This Row],[Previously Committed Funds]]</f>
        <v>419143</v>
      </c>
      <c r="L240" s="334">
        <v>0</v>
      </c>
      <c r="M240" s="335">
        <v>0</v>
      </c>
      <c r="N240" s="336">
        <f>Master20[[#This Row],[Design $ (Add/Deduct)]]+Master20[[#This Row],[Construction $ (Add/Ded)]]</f>
        <v>0</v>
      </c>
      <c r="O240" s="337">
        <f>Master20[[#This Row],[Total Add]]+Master20[[#This Row],[Current Available Balance]]+Master20[[#This Row],[Previously Committed Funds]]</f>
        <v>435000</v>
      </c>
      <c r="P240" s="328">
        <v>2018</v>
      </c>
      <c r="Q240" s="204" t="s">
        <v>686</v>
      </c>
      <c r="R240" s="328">
        <f t="shared" si="41"/>
        <v>60</v>
      </c>
      <c r="S240" s="329">
        <v>1</v>
      </c>
      <c r="T240" s="329">
        <f t="shared" si="36"/>
        <v>3</v>
      </c>
      <c r="U240" s="329" t="s">
        <v>37</v>
      </c>
      <c r="V240" s="329">
        <f t="shared" si="42"/>
        <v>3</v>
      </c>
      <c r="W240" s="329" t="s">
        <v>34</v>
      </c>
      <c r="X240" s="329">
        <v>0</v>
      </c>
      <c r="Y240" s="329">
        <v>0</v>
      </c>
      <c r="Z240" s="329">
        <v>0</v>
      </c>
      <c r="AA240" s="329">
        <v>0</v>
      </c>
      <c r="AB240" s="329">
        <v>0</v>
      </c>
      <c r="AC240" s="329">
        <v>0</v>
      </c>
      <c r="AD240" s="329">
        <v>0</v>
      </c>
      <c r="AE240" s="329"/>
      <c r="AF240" s="330" t="s">
        <v>29</v>
      </c>
      <c r="AG240" s="328">
        <f>VLOOKUP(Master20[[#This Row],[Elevated Priority]],Epriority,2,)</f>
        <v>0</v>
      </c>
      <c r="AH240" s="328">
        <f>IF(Master20[[#This Row],[Status]]="Active",Master20[[#This Row],[Status_Score]],IF(D240="","",R240+H240+T240+V240+AG240+AE240+Master20[[#This Row],[Risk Mitigation]]+Master20[[#This Row],[Master Plan]]+Master20[[#This Row],[Community Request]]+Master20[[#This Row],[Community need]]+Master20[[#This Row],[Offset Aging Inf.]]+Master20[[#This Row],[Energy Savings]]+Master20[[#This Row],[Gen Revenue]]-5))</f>
        <v>1061</v>
      </c>
      <c r="AI240" s="329" t="s">
        <v>759</v>
      </c>
      <c r="AJ240" s="329">
        <v>2018</v>
      </c>
      <c r="AK240" s="329">
        <v>2020</v>
      </c>
      <c r="AL240" s="329">
        <v>2018</v>
      </c>
      <c r="AM240" s="329">
        <v>2020</v>
      </c>
      <c r="AN240" s="233" t="s">
        <v>748</v>
      </c>
      <c r="AO240" s="306"/>
      <c r="AP240" s="306"/>
      <c r="AQ240" s="306"/>
      <c r="AR240" s="306"/>
      <c r="AS240" s="306"/>
      <c r="AT240" s="306"/>
      <c r="AU240" s="306"/>
      <c r="AV240" s="306"/>
      <c r="AW240" s="306"/>
      <c r="AX240" s="306"/>
      <c r="AY240" s="306"/>
      <c r="AZ240" s="306"/>
      <c r="BA240" s="306"/>
      <c r="BB240" s="306"/>
      <c r="BC240" s="306"/>
      <c r="BD240" s="306"/>
      <c r="BE240" s="306"/>
      <c r="BF240" s="306"/>
      <c r="BG240" s="306"/>
      <c r="BH240" s="306"/>
      <c r="BI240" s="306"/>
      <c r="BJ240" s="306"/>
      <c r="BK240" s="306"/>
      <c r="BL240" s="306"/>
      <c r="BM240" s="306"/>
      <c r="BN240" s="306"/>
      <c r="BO240" s="306"/>
    </row>
    <row r="241" spans="1:67" s="298" customFormat="1" ht="46.5" hidden="1" customHeight="1" x14ac:dyDescent="0.25">
      <c r="A241" s="307"/>
      <c r="B241" s="324" t="s">
        <v>67</v>
      </c>
      <c r="C241" s="324" t="s">
        <v>995</v>
      </c>
      <c r="D241" s="204" t="s">
        <v>453</v>
      </c>
      <c r="E241" s="204" t="s">
        <v>454</v>
      </c>
      <c r="F241" s="204"/>
      <c r="G241" s="204" t="s">
        <v>816</v>
      </c>
      <c r="H241" s="204">
        <f t="shared" si="40"/>
        <v>1000</v>
      </c>
      <c r="I241" s="334"/>
      <c r="J241" s="334"/>
      <c r="K241" s="334">
        <f>Master20[[#This Row],[Initial Budget]]-Master20[[#This Row],[Previously Committed Funds]]</f>
        <v>0</v>
      </c>
      <c r="L241" s="334"/>
      <c r="M241" s="335"/>
      <c r="N241" s="336">
        <f>Master20[[#This Row],[Design $ (Add/Deduct)]]+Master20[[#This Row],[Construction $ (Add/Ded)]]</f>
        <v>0</v>
      </c>
      <c r="O241" s="323">
        <v>60000</v>
      </c>
      <c r="P241" s="328">
        <v>2018</v>
      </c>
      <c r="Q241" s="204" t="s">
        <v>687</v>
      </c>
      <c r="R241" s="328">
        <f t="shared" si="41"/>
        <v>30</v>
      </c>
      <c r="S241" s="329">
        <v>8</v>
      </c>
      <c r="T241" s="329">
        <f t="shared" si="36"/>
        <v>20</v>
      </c>
      <c r="U241" s="329" t="s">
        <v>43</v>
      </c>
      <c r="V241" s="329">
        <f t="shared" si="42"/>
        <v>16</v>
      </c>
      <c r="W241" s="329" t="s">
        <v>30</v>
      </c>
      <c r="X241" s="329">
        <v>0</v>
      </c>
      <c r="Y241" s="329">
        <v>0</v>
      </c>
      <c r="Z241" s="329">
        <v>0</v>
      </c>
      <c r="AA241" s="329">
        <v>0</v>
      </c>
      <c r="AB241" s="329">
        <v>0</v>
      </c>
      <c r="AC241" s="329">
        <v>0</v>
      </c>
      <c r="AD241" s="329">
        <v>0</v>
      </c>
      <c r="AE241" s="329"/>
      <c r="AF241" s="330" t="s">
        <v>29</v>
      </c>
      <c r="AG241" s="328">
        <f>VLOOKUP(Master20[[#This Row],[Elevated Priority]],Epriority,2,)</f>
        <v>0</v>
      </c>
      <c r="AH241" s="328">
        <f>IF(Master20[[#This Row],[Status]]="Active",Master20[[#This Row],[Status_Score]],IF(D241="","",R241+H241+T241+V241+AG241+AE241+Master20[[#This Row],[Risk Mitigation]]+Master20[[#This Row],[Master Plan]]+Master20[[#This Row],[Community Request]]+Master20[[#This Row],[Community need]]+Master20[[#This Row],[Offset Aging Inf.]]+Master20[[#This Row],[Energy Savings]]+Master20[[#This Row],[Gen Revenue]]-5))</f>
        <v>1061</v>
      </c>
      <c r="AI241" s="329"/>
      <c r="AJ241" s="329">
        <v>2023</v>
      </c>
      <c r="AK241" s="329">
        <v>2024</v>
      </c>
      <c r="AL241" s="329" t="s">
        <v>1045</v>
      </c>
      <c r="AM241" s="329" t="s">
        <v>1045</v>
      </c>
      <c r="AN241" s="233"/>
      <c r="AO241" s="306"/>
      <c r="AP241" s="306"/>
      <c r="AQ241" s="306"/>
      <c r="AR241" s="306"/>
      <c r="AS241" s="306"/>
      <c r="AT241" s="306"/>
      <c r="AU241" s="306"/>
      <c r="AV241" s="306"/>
      <c r="AW241" s="306"/>
      <c r="AX241" s="306"/>
      <c r="AY241" s="306"/>
      <c r="AZ241" s="306"/>
      <c r="BA241" s="306"/>
      <c r="BB241" s="306"/>
      <c r="BC241" s="306"/>
      <c r="BD241" s="306"/>
      <c r="BE241" s="306"/>
      <c r="BF241" s="306"/>
      <c r="BG241" s="306"/>
      <c r="BH241" s="306"/>
      <c r="BI241" s="306"/>
      <c r="BJ241" s="306"/>
      <c r="BK241" s="306"/>
      <c r="BL241" s="306"/>
      <c r="BM241" s="306"/>
      <c r="BN241" s="306"/>
      <c r="BO241" s="306"/>
    </row>
    <row r="242" spans="1:67" s="298" customFormat="1" ht="75" hidden="1" x14ac:dyDescent="0.25">
      <c r="A242" s="307"/>
      <c r="B242" s="324" t="s">
        <v>143</v>
      </c>
      <c r="C242" s="324" t="s">
        <v>1045</v>
      </c>
      <c r="D242" s="204" t="s">
        <v>333</v>
      </c>
      <c r="E242" s="204" t="s">
        <v>334</v>
      </c>
      <c r="F242" s="204" t="s">
        <v>894</v>
      </c>
      <c r="G242" s="204" t="s">
        <v>816</v>
      </c>
      <c r="H242" s="204">
        <f t="shared" si="40"/>
        <v>1000</v>
      </c>
      <c r="I242" s="334"/>
      <c r="J242" s="334"/>
      <c r="K242" s="334">
        <f>Master20[[#This Row],[Initial Budget]]-Master20[[#This Row],[Previously Committed Funds]]</f>
        <v>0</v>
      </c>
      <c r="L242" s="334"/>
      <c r="M242" s="335"/>
      <c r="N242" s="336">
        <f>Master20[[#This Row],[Design $ (Add/Deduct)]]+Master20[[#This Row],[Construction $ (Add/Ded)]]</f>
        <v>0</v>
      </c>
      <c r="O242" s="337">
        <v>40000</v>
      </c>
      <c r="P242" s="328">
        <v>2018</v>
      </c>
      <c r="Q242" s="204" t="s">
        <v>686</v>
      </c>
      <c r="R242" s="328">
        <f t="shared" si="41"/>
        <v>60</v>
      </c>
      <c r="S242" s="330">
        <v>1</v>
      </c>
      <c r="T242" s="329">
        <f t="shared" si="36"/>
        <v>3</v>
      </c>
      <c r="U242" s="330" t="s">
        <v>41</v>
      </c>
      <c r="V242" s="329">
        <f t="shared" si="42"/>
        <v>4</v>
      </c>
      <c r="W242" s="329" t="s">
        <v>30</v>
      </c>
      <c r="X242" s="329">
        <v>0</v>
      </c>
      <c r="Y242" s="329">
        <v>0</v>
      </c>
      <c r="Z242" s="329">
        <v>0</v>
      </c>
      <c r="AA242" s="329">
        <v>0</v>
      </c>
      <c r="AB242" s="329">
        <v>0</v>
      </c>
      <c r="AC242" s="329">
        <v>0</v>
      </c>
      <c r="AD242" s="329">
        <v>0</v>
      </c>
      <c r="AE242" s="329"/>
      <c r="AF242" s="330" t="s">
        <v>29</v>
      </c>
      <c r="AG242" s="328">
        <f>VLOOKUP(Master20[[#This Row],[Elevated Priority]],Epriority,2,)</f>
        <v>0</v>
      </c>
      <c r="AH242" s="328">
        <f>IF(Master20[[#This Row],[Status]]="Active",Master20[[#This Row],[Status_Score]],IF(D242="","",R242+H242+T242+V242+AG242+AE242+Master20[[#This Row],[Risk Mitigation]]+Master20[[#This Row],[Master Plan]]+Master20[[#This Row],[Community Request]]+Master20[[#This Row],[Community need]]+Master20[[#This Row],[Offset Aging Inf.]]+Master20[[#This Row],[Energy Savings]]+Master20[[#This Row],[Gen Revenue]]-5))</f>
        <v>1062</v>
      </c>
      <c r="AI242" s="329"/>
      <c r="AJ242" s="329"/>
      <c r="AK242" s="329"/>
      <c r="AL242" s="329" t="s">
        <v>1045</v>
      </c>
      <c r="AM242" s="329" t="s">
        <v>1045</v>
      </c>
      <c r="AN242" s="233" t="s">
        <v>664</v>
      </c>
      <c r="AO242" s="306"/>
      <c r="AP242" s="306"/>
      <c r="AQ242" s="306"/>
      <c r="AR242" s="306"/>
      <c r="AS242" s="306"/>
      <c r="AT242" s="306"/>
      <c r="AU242" s="306"/>
      <c r="AV242" s="306"/>
      <c r="AW242" s="306"/>
      <c r="AX242" s="306"/>
      <c r="AY242" s="306"/>
      <c r="AZ242" s="306"/>
      <c r="BA242" s="306"/>
      <c r="BB242" s="306"/>
      <c r="BC242" s="306"/>
      <c r="BD242" s="306"/>
      <c r="BE242" s="306"/>
      <c r="BF242" s="306"/>
      <c r="BG242" s="306"/>
      <c r="BH242" s="306"/>
      <c r="BI242" s="306"/>
      <c r="BJ242" s="306"/>
      <c r="BK242" s="306"/>
      <c r="BL242" s="306"/>
      <c r="BM242" s="306"/>
      <c r="BN242" s="306"/>
      <c r="BO242" s="306"/>
    </row>
    <row r="243" spans="1:67" s="298" customFormat="1" ht="30" hidden="1" x14ac:dyDescent="0.25">
      <c r="A243" s="307"/>
      <c r="B243" s="324" t="s">
        <v>1200</v>
      </c>
      <c r="C243" s="324" t="s">
        <v>1202</v>
      </c>
      <c r="D243" s="204" t="s">
        <v>345</v>
      </c>
      <c r="E243" s="204" t="s">
        <v>346</v>
      </c>
      <c r="F243" s="204" t="s">
        <v>347</v>
      </c>
      <c r="G243" s="204" t="s">
        <v>816</v>
      </c>
      <c r="H243" s="204">
        <f t="shared" si="40"/>
        <v>1000</v>
      </c>
      <c r="I243" s="334"/>
      <c r="J243" s="334"/>
      <c r="K243" s="334">
        <f>Master20[[#This Row],[Initial Budget]]-Master20[[#This Row],[Previously Committed Funds]]</f>
        <v>0</v>
      </c>
      <c r="L243" s="334"/>
      <c r="M243" s="335"/>
      <c r="N243" s="336">
        <f>Master20[[#This Row],[Design $ (Add/Deduct)]]+Master20[[#This Row],[Construction $ (Add/Ded)]]</f>
        <v>0</v>
      </c>
      <c r="O243" s="323">
        <v>75000</v>
      </c>
      <c r="P243" s="328">
        <v>2018</v>
      </c>
      <c r="Q243" s="204" t="s">
        <v>687</v>
      </c>
      <c r="R243" s="328">
        <f t="shared" si="41"/>
        <v>30</v>
      </c>
      <c r="S243" s="329">
        <v>3</v>
      </c>
      <c r="T243" s="329">
        <f t="shared" si="36"/>
        <v>9</v>
      </c>
      <c r="U243" s="329" t="s">
        <v>45</v>
      </c>
      <c r="V243" s="329">
        <f t="shared" si="42"/>
        <v>32</v>
      </c>
      <c r="W243" s="329" t="s">
        <v>30</v>
      </c>
      <c r="X243" s="329">
        <v>0</v>
      </c>
      <c r="Y243" s="329">
        <v>0</v>
      </c>
      <c r="Z243" s="329">
        <v>0</v>
      </c>
      <c r="AA243" s="329">
        <v>0</v>
      </c>
      <c r="AB243" s="329">
        <v>0</v>
      </c>
      <c r="AC243" s="329">
        <v>0</v>
      </c>
      <c r="AD243" s="329">
        <v>0</v>
      </c>
      <c r="AE243" s="329"/>
      <c r="AF243" s="330" t="s">
        <v>29</v>
      </c>
      <c r="AG243" s="328">
        <f>VLOOKUP(Master20[[#This Row],[Elevated Priority]],Epriority,2,)</f>
        <v>0</v>
      </c>
      <c r="AH243" s="328">
        <f>IF(Master20[[#This Row],[Status]]="Active",Master20[[#This Row],[Status_Score]],IF(D243="","",R243+H243+T243+V243+AG243+AE243+Master20[[#This Row],[Risk Mitigation]]+Master20[[#This Row],[Master Plan]]+Master20[[#This Row],[Community Request]]+Master20[[#This Row],[Community need]]+Master20[[#This Row],[Offset Aging Inf.]]+Master20[[#This Row],[Energy Savings]]+Master20[[#This Row],[Gen Revenue]]-5))</f>
        <v>1066</v>
      </c>
      <c r="AI243" s="329"/>
      <c r="AJ243" s="329"/>
      <c r="AK243" s="329"/>
      <c r="AL243" s="329" t="s">
        <v>1045</v>
      </c>
      <c r="AM243" s="329" t="s">
        <v>1045</v>
      </c>
      <c r="AN243" s="233"/>
      <c r="AO243" s="306"/>
      <c r="AP243" s="306"/>
      <c r="AQ243" s="306"/>
      <c r="AR243" s="306"/>
      <c r="AS243" s="306"/>
      <c r="AT243" s="306"/>
      <c r="AU243" s="306"/>
      <c r="AV243" s="306"/>
      <c r="AW243" s="306"/>
      <c r="AX243" s="306"/>
      <c r="AY243" s="306"/>
      <c r="AZ243" s="306"/>
      <c r="BA243" s="306"/>
      <c r="BB243" s="306"/>
      <c r="BC243" s="306"/>
      <c r="BD243" s="306"/>
      <c r="BE243" s="306"/>
      <c r="BF243" s="306"/>
      <c r="BG243" s="306"/>
      <c r="BH243" s="306"/>
      <c r="BI243" s="306"/>
      <c r="BJ243" s="306"/>
      <c r="BK243" s="306"/>
      <c r="BL243" s="306"/>
      <c r="BM243" s="306"/>
      <c r="BN243" s="306"/>
      <c r="BO243" s="306"/>
    </row>
    <row r="244" spans="1:67" hidden="1" x14ac:dyDescent="0.25">
      <c r="B244" s="204" t="s">
        <v>94</v>
      </c>
      <c r="C244" s="204" t="s">
        <v>1045</v>
      </c>
      <c r="D244" s="204" t="s">
        <v>592</v>
      </c>
      <c r="E244" s="204" t="s">
        <v>593</v>
      </c>
      <c r="F244" s="204"/>
      <c r="G244" s="204" t="s">
        <v>816</v>
      </c>
      <c r="H244" s="204">
        <f t="shared" si="40"/>
        <v>1000</v>
      </c>
      <c r="I244" s="326"/>
      <c r="J244" s="326"/>
      <c r="K244" s="334">
        <f>Master20[[#This Row],[Initial Budget]]-Master20[[#This Row],[Previously Committed Funds]]</f>
        <v>0</v>
      </c>
      <c r="L244" s="326"/>
      <c r="M244" s="326"/>
      <c r="N244" s="336">
        <f>Master20[[#This Row],[Design $ (Add/Deduct)]]+Master20[[#This Row],[Construction $ (Add/Ded)]]</f>
        <v>0</v>
      </c>
      <c r="O244" s="332">
        <v>350000</v>
      </c>
      <c r="P244" s="330">
        <v>2019</v>
      </c>
      <c r="Q244" s="204" t="s">
        <v>686</v>
      </c>
      <c r="R244" s="328">
        <f t="shared" si="41"/>
        <v>60</v>
      </c>
      <c r="S244" s="329">
        <v>16</v>
      </c>
      <c r="T244" s="329">
        <f t="shared" si="36"/>
        <v>24</v>
      </c>
      <c r="U244" s="329" t="s">
        <v>43</v>
      </c>
      <c r="V244" s="329">
        <f t="shared" si="42"/>
        <v>16</v>
      </c>
      <c r="W244" s="329" t="s">
        <v>34</v>
      </c>
      <c r="X244" s="329">
        <v>0</v>
      </c>
      <c r="Y244" s="329">
        <v>0</v>
      </c>
      <c r="Z244" s="329">
        <v>-3</v>
      </c>
      <c r="AA244" s="329">
        <v>0</v>
      </c>
      <c r="AB244" s="329">
        <v>0</v>
      </c>
      <c r="AC244" s="329">
        <v>0</v>
      </c>
      <c r="AD244" s="329">
        <v>0</v>
      </c>
      <c r="AE244" s="329"/>
      <c r="AF244" s="330" t="s">
        <v>29</v>
      </c>
      <c r="AG244" s="328">
        <f>VLOOKUP(Master20[[#This Row],[Elevated Priority]],Epriority,2,)</f>
        <v>0</v>
      </c>
      <c r="AH244" s="328">
        <f>IF(Master20[[#This Row],[Status]]="Active",Master20[[#This Row],[Status_Score]],IF(D244="","",R244+H244+T244+V244+AG244+AE244+Master20[[#This Row],[Risk Mitigation]]+Master20[[#This Row],[Master Plan]]+Master20[[#This Row],[Community Request]]+Master20[[#This Row],[Community need]]+Master20[[#This Row],[Offset Aging Inf.]]+Master20[[#This Row],[Energy Savings]]+Master20[[#This Row],[Gen Revenue]]-5))</f>
        <v>1092</v>
      </c>
      <c r="AI244" s="329"/>
      <c r="AJ244" s="329"/>
      <c r="AK244" s="329"/>
      <c r="AL244" s="329" t="s">
        <v>1045</v>
      </c>
      <c r="AM244" s="329" t="s">
        <v>1045</v>
      </c>
      <c r="AN244" s="308" t="s">
        <v>985</v>
      </c>
    </row>
    <row r="245" spans="1:67" ht="45" hidden="1" x14ac:dyDescent="0.25">
      <c r="A245" s="198"/>
      <c r="B245" s="344" t="s">
        <v>1205</v>
      </c>
      <c r="C245" s="344" t="s">
        <v>646</v>
      </c>
      <c r="D245" s="344" t="s">
        <v>745</v>
      </c>
      <c r="E245" s="344" t="s">
        <v>675</v>
      </c>
      <c r="F245" s="344" t="s">
        <v>676</v>
      </c>
      <c r="G245" s="355" t="s">
        <v>816</v>
      </c>
      <c r="H245" s="345">
        <f t="shared" si="40"/>
        <v>1000</v>
      </c>
      <c r="I245" s="346">
        <v>200000</v>
      </c>
      <c r="J245" s="346">
        <v>19607</v>
      </c>
      <c r="K245" s="334">
        <f>Master20[[#This Row],[Initial Budget]]-Master20[[#This Row],[Previously Committed Funds]]</f>
        <v>180393</v>
      </c>
      <c r="L245" s="346">
        <v>0</v>
      </c>
      <c r="M245" s="347">
        <v>0</v>
      </c>
      <c r="N245" s="336">
        <f>Master20[[#This Row],[Design $ (Add/Deduct)]]+Master20[[#This Row],[Construction $ (Add/Ded)]]</f>
        <v>0</v>
      </c>
      <c r="O245" s="356">
        <v>250000</v>
      </c>
      <c r="P245" s="357">
        <v>2019</v>
      </c>
      <c r="Q245" s="204" t="s">
        <v>686</v>
      </c>
      <c r="R245" s="328">
        <f t="shared" si="41"/>
        <v>60</v>
      </c>
      <c r="S245" s="329">
        <v>1</v>
      </c>
      <c r="T245" s="329">
        <f t="shared" si="36"/>
        <v>3</v>
      </c>
      <c r="U245" s="329" t="s">
        <v>47</v>
      </c>
      <c r="V245" s="329">
        <f t="shared" si="42"/>
        <v>64</v>
      </c>
      <c r="W245" s="329" t="s">
        <v>38</v>
      </c>
      <c r="X245" s="329"/>
      <c r="Y245" s="329"/>
      <c r="Z245" s="329"/>
      <c r="AA245" s="329"/>
      <c r="AB245" s="329"/>
      <c r="AC245" s="329"/>
      <c r="AD245" s="329"/>
      <c r="AE245" s="329"/>
      <c r="AF245" s="330" t="s">
        <v>29</v>
      </c>
      <c r="AG245" s="328">
        <f>VLOOKUP(Master20[[#This Row],[Elevated Priority]],Epriority,2,)</f>
        <v>0</v>
      </c>
      <c r="AH245" s="328">
        <f>IF(Master20[[#This Row],[Status]]="Active",Master20[[#This Row],[Status_Score]],IF(D245="","",R245+H245+T245+V245+AG245+AE245+Master20[[#This Row],[Risk Mitigation]]+Master20[[#This Row],[Master Plan]]+Master20[[#This Row],[Community Request]]+Master20[[#This Row],[Community need]]+Master20[[#This Row],[Offset Aging Inf.]]+Master20[[#This Row],[Energy Savings]]+Master20[[#This Row],[Gen Revenue]]-5))</f>
        <v>1122</v>
      </c>
      <c r="AI245" s="376" t="s">
        <v>758</v>
      </c>
      <c r="AJ245" s="376">
        <v>2019</v>
      </c>
      <c r="AK245" s="376">
        <v>2020</v>
      </c>
      <c r="AL245" s="376">
        <v>2019</v>
      </c>
      <c r="AM245" s="376">
        <v>2020</v>
      </c>
      <c r="AN245" s="315"/>
    </row>
    <row r="246" spans="1:67" ht="35.1" customHeight="1" x14ac:dyDescent="0.25">
      <c r="A246" s="359"/>
      <c r="B246" s="360" t="s">
        <v>214</v>
      </c>
      <c r="C246" s="360" t="s">
        <v>1045</v>
      </c>
      <c r="D246" s="372" t="s">
        <v>1219</v>
      </c>
      <c r="E246" s="361" t="s">
        <v>1220</v>
      </c>
      <c r="F246" s="373" t="s">
        <v>461</v>
      </c>
      <c r="G246" s="362" t="s">
        <v>29</v>
      </c>
      <c r="H246" s="363">
        <f t="shared" ref="H246:H260" si="43">VLOOKUP(G246,Status_Score,2,FALSE)</f>
        <v>0</v>
      </c>
      <c r="I246" s="362"/>
      <c r="J246" s="362"/>
      <c r="K246" s="362">
        <f>Master20[[#This Row],[Initial Budget]]-Master20[[#This Row],[Previously Committed Funds]]</f>
        <v>0</v>
      </c>
      <c r="L246" s="362"/>
      <c r="M246" s="364"/>
      <c r="N246" s="365">
        <f>Master20[[#This Row],[Design $ (Add/Deduct)]]+Master20[[#This Row],[Construction $ (Add/Ded)]]</f>
        <v>0</v>
      </c>
      <c r="O246" s="366"/>
      <c r="P246" s="367">
        <v>2024</v>
      </c>
      <c r="Q246" s="368" t="s">
        <v>688</v>
      </c>
      <c r="R246" s="369">
        <f t="shared" ref="R246:R260" si="44">VLOOKUP(Q246,Importance,2,FALSE)</f>
        <v>20</v>
      </c>
      <c r="S246" s="374">
        <v>2</v>
      </c>
      <c r="T246" s="374">
        <f t="shared" ref="T246:T260" si="45">VLOOKUP(S246,Department,2,FALSE)</f>
        <v>6</v>
      </c>
      <c r="U246" s="302" t="s">
        <v>41</v>
      </c>
      <c r="V246" s="374">
        <f t="shared" ref="V246:V260" si="46">VLOOKUP(U246,Urgency,2,FALSE)</f>
        <v>4</v>
      </c>
      <c r="W246" s="370" t="s">
        <v>29</v>
      </c>
      <c r="X246" s="374"/>
      <c r="Y246" s="374">
        <v>0</v>
      </c>
      <c r="Z246" s="374">
        <v>0</v>
      </c>
      <c r="AA246" s="374">
        <v>0</v>
      </c>
      <c r="AB246" s="374">
        <v>0</v>
      </c>
      <c r="AC246" s="374">
        <v>0</v>
      </c>
      <c r="AD246" s="374">
        <v>0</v>
      </c>
      <c r="AE246" s="374"/>
      <c r="AF246" s="375" t="s">
        <v>29</v>
      </c>
      <c r="AG246" s="371">
        <f>VLOOKUP(Master20[[#This Row],[Elevated Priority]],Epriority,2,)</f>
        <v>0</v>
      </c>
      <c r="AH246" s="369">
        <f>IF(Master20[[#This Row],[Status]]="Active",Master20[[#This Row],[Status_Score]],IF(D246="","",R246+H246+T246+V246+AG246+AE246+Master20[[#This Row],[Risk Mitigation]]+Master20[[#This Row],[Master Plan]]+Master20[[#This Row],[Community Request]]+Master20[[#This Row],[Community need]]+Master20[[#This Row],[Offset Aging Inf.]]+Master20[[#This Row],[Energy Savings]]+Master20[[#This Row],[Gen Revenue]]-5))</f>
        <v>25</v>
      </c>
      <c r="AI246" s="374"/>
      <c r="AJ246" s="374"/>
      <c r="AK246" s="374"/>
      <c r="AL246" s="374"/>
      <c r="AM246" s="374"/>
      <c r="AN246" s="368"/>
      <c r="AO246" s="377"/>
    </row>
    <row r="247" spans="1:67" ht="45" x14ac:dyDescent="0.25">
      <c r="A247" s="359"/>
      <c r="B247" s="360" t="s">
        <v>214</v>
      </c>
      <c r="C247" s="360" t="s">
        <v>1045</v>
      </c>
      <c r="D247" s="372" t="s">
        <v>1246</v>
      </c>
      <c r="E247" s="361" t="s">
        <v>1247</v>
      </c>
      <c r="F247" s="373" t="s">
        <v>1227</v>
      </c>
      <c r="G247" s="362" t="s">
        <v>29</v>
      </c>
      <c r="H247" s="363">
        <f t="shared" si="43"/>
        <v>0</v>
      </c>
      <c r="I247" s="362"/>
      <c r="J247" s="362"/>
      <c r="K247" s="362">
        <f>Master20[[#This Row],[Initial Budget]]-Master20[[#This Row],[Previously Committed Funds]]</f>
        <v>0</v>
      </c>
      <c r="L247" s="362"/>
      <c r="M247" s="364"/>
      <c r="N247" s="365">
        <f>Master20[[#This Row],[Design $ (Add/Deduct)]]+Master20[[#This Row],[Construction $ (Add/Ded)]]</f>
        <v>0</v>
      </c>
      <c r="O247" s="366"/>
      <c r="P247" s="367">
        <v>2024</v>
      </c>
      <c r="Q247" s="368" t="s">
        <v>688</v>
      </c>
      <c r="R247" s="369">
        <f t="shared" si="44"/>
        <v>20</v>
      </c>
      <c r="S247" s="374">
        <v>2</v>
      </c>
      <c r="T247" s="374">
        <f t="shared" si="45"/>
        <v>6</v>
      </c>
      <c r="U247" s="302" t="s">
        <v>41</v>
      </c>
      <c r="V247" s="374">
        <f t="shared" si="46"/>
        <v>4</v>
      </c>
      <c r="W247" s="370" t="s">
        <v>29</v>
      </c>
      <c r="X247" s="374"/>
      <c r="Y247" s="374">
        <v>0</v>
      </c>
      <c r="Z247" s="374">
        <v>0</v>
      </c>
      <c r="AA247" s="374">
        <v>0</v>
      </c>
      <c r="AB247" s="374">
        <v>0</v>
      </c>
      <c r="AC247" s="374">
        <v>0</v>
      </c>
      <c r="AD247" s="374">
        <v>0</v>
      </c>
      <c r="AE247" s="374"/>
      <c r="AF247" s="375" t="s">
        <v>29</v>
      </c>
      <c r="AG247" s="371">
        <f>VLOOKUP(Master20[[#This Row],[Elevated Priority]],Epriority,2,)</f>
        <v>0</v>
      </c>
      <c r="AH247" s="369">
        <f>IF(Master20[[#This Row],[Status]]="Active",Master20[[#This Row],[Status_Score]],IF(D247="","",R247+H247+T247+V247+AG247+AE247+Master20[[#This Row],[Risk Mitigation]]+Master20[[#This Row],[Master Plan]]+Master20[[#This Row],[Community Request]]+Master20[[#This Row],[Community need]]+Master20[[#This Row],[Offset Aging Inf.]]+Master20[[#This Row],[Energy Savings]]+Master20[[#This Row],[Gen Revenue]]-5))</f>
        <v>25</v>
      </c>
      <c r="AI247" s="374"/>
      <c r="AJ247" s="374"/>
      <c r="AK247" s="374"/>
      <c r="AL247" s="374"/>
      <c r="AM247" s="374"/>
      <c r="AN247" s="368"/>
      <c r="AO247" s="377"/>
    </row>
    <row r="248" spans="1:67" ht="105" x14ac:dyDescent="0.25">
      <c r="A248" s="359"/>
      <c r="B248" s="360" t="s">
        <v>214</v>
      </c>
      <c r="C248" s="360" t="s">
        <v>1045</v>
      </c>
      <c r="D248" s="372" t="s">
        <v>1221</v>
      </c>
      <c r="E248" s="361" t="s">
        <v>1222</v>
      </c>
      <c r="F248" s="373" t="s">
        <v>1223</v>
      </c>
      <c r="G248" s="362" t="s">
        <v>29</v>
      </c>
      <c r="H248" s="363">
        <f t="shared" si="43"/>
        <v>0</v>
      </c>
      <c r="I248" s="362"/>
      <c r="J248" s="362"/>
      <c r="K248" s="362">
        <f>Master20[[#This Row],[Initial Budget]]-Master20[[#This Row],[Previously Committed Funds]]</f>
        <v>0</v>
      </c>
      <c r="L248" s="362"/>
      <c r="M248" s="364"/>
      <c r="N248" s="365">
        <f>Master20[[#This Row],[Design $ (Add/Deduct)]]+Master20[[#This Row],[Construction $ (Add/Ded)]]</f>
        <v>0</v>
      </c>
      <c r="O248" s="366"/>
      <c r="P248" s="367">
        <v>2024</v>
      </c>
      <c r="Q248" s="368" t="s">
        <v>688</v>
      </c>
      <c r="R248" s="369">
        <f t="shared" si="44"/>
        <v>20</v>
      </c>
      <c r="S248" s="374">
        <v>2</v>
      </c>
      <c r="T248" s="374">
        <f t="shared" si="45"/>
        <v>6</v>
      </c>
      <c r="U248" s="302" t="s">
        <v>41</v>
      </c>
      <c r="V248" s="374">
        <f t="shared" si="46"/>
        <v>4</v>
      </c>
      <c r="W248" s="370" t="s">
        <v>29</v>
      </c>
      <c r="X248" s="374"/>
      <c r="Y248" s="374">
        <v>0</v>
      </c>
      <c r="Z248" s="374">
        <v>0</v>
      </c>
      <c r="AA248" s="374">
        <v>0</v>
      </c>
      <c r="AB248" s="374">
        <v>0</v>
      </c>
      <c r="AC248" s="374">
        <v>0</v>
      </c>
      <c r="AD248" s="374">
        <v>0</v>
      </c>
      <c r="AE248" s="374"/>
      <c r="AF248" s="375" t="s">
        <v>29</v>
      </c>
      <c r="AG248" s="371">
        <f>VLOOKUP(Master20[[#This Row],[Elevated Priority]],Epriority,2,)</f>
        <v>0</v>
      </c>
      <c r="AH248" s="369">
        <f>IF(Master20[[#This Row],[Status]]="Active",Master20[[#This Row],[Status_Score]],IF(D248="","",R248+H248+T248+V248+AG248+AE248+Master20[[#This Row],[Risk Mitigation]]+Master20[[#This Row],[Master Plan]]+Master20[[#This Row],[Community Request]]+Master20[[#This Row],[Community need]]+Master20[[#This Row],[Offset Aging Inf.]]+Master20[[#This Row],[Energy Savings]]+Master20[[#This Row],[Gen Revenue]]-5))</f>
        <v>25</v>
      </c>
      <c r="AI248" s="374"/>
      <c r="AJ248" s="374"/>
      <c r="AK248" s="374"/>
      <c r="AL248" s="374"/>
      <c r="AM248" s="374"/>
      <c r="AN248" s="368"/>
      <c r="AO248" s="377"/>
    </row>
    <row r="249" spans="1:67" ht="45" x14ac:dyDescent="0.25">
      <c r="A249" s="359"/>
      <c r="B249" s="360" t="s">
        <v>214</v>
      </c>
      <c r="C249" s="360" t="s">
        <v>1045</v>
      </c>
      <c r="D249" s="372" t="s">
        <v>1224</v>
      </c>
      <c r="E249" s="361" t="s">
        <v>1225</v>
      </c>
      <c r="F249" s="373" t="s">
        <v>1226</v>
      </c>
      <c r="G249" s="362" t="s">
        <v>29</v>
      </c>
      <c r="H249" s="363">
        <f t="shared" si="43"/>
        <v>0</v>
      </c>
      <c r="I249" s="362"/>
      <c r="J249" s="362"/>
      <c r="K249" s="362">
        <f>Master20[[#This Row],[Initial Budget]]-Master20[[#This Row],[Previously Committed Funds]]</f>
        <v>0</v>
      </c>
      <c r="L249" s="362"/>
      <c r="M249" s="364"/>
      <c r="N249" s="365">
        <f>Master20[[#This Row],[Design $ (Add/Deduct)]]+Master20[[#This Row],[Construction $ (Add/Ded)]]</f>
        <v>0</v>
      </c>
      <c r="O249" s="366"/>
      <c r="P249" s="367">
        <v>2024</v>
      </c>
      <c r="Q249" s="368" t="s">
        <v>688</v>
      </c>
      <c r="R249" s="369">
        <f t="shared" si="44"/>
        <v>20</v>
      </c>
      <c r="S249" s="374">
        <v>2</v>
      </c>
      <c r="T249" s="374">
        <f t="shared" si="45"/>
        <v>6</v>
      </c>
      <c r="U249" s="302" t="s">
        <v>41</v>
      </c>
      <c r="V249" s="374">
        <f t="shared" si="46"/>
        <v>4</v>
      </c>
      <c r="W249" s="370" t="s">
        <v>29</v>
      </c>
      <c r="X249" s="374"/>
      <c r="Y249" s="374">
        <v>0</v>
      </c>
      <c r="Z249" s="374">
        <v>0</v>
      </c>
      <c r="AA249" s="374">
        <v>0</v>
      </c>
      <c r="AB249" s="374">
        <v>0</v>
      </c>
      <c r="AC249" s="374">
        <v>0</v>
      </c>
      <c r="AD249" s="374">
        <v>0</v>
      </c>
      <c r="AE249" s="374"/>
      <c r="AF249" s="375" t="s">
        <v>29</v>
      </c>
      <c r="AG249" s="371">
        <f>VLOOKUP(Master20[[#This Row],[Elevated Priority]],Epriority,2,)</f>
        <v>0</v>
      </c>
      <c r="AH249" s="369">
        <f>IF(Master20[[#This Row],[Status]]="Active",Master20[[#This Row],[Status_Score]],IF(D249="","",R249+H249+T249+V249+AG249+AE249+Master20[[#This Row],[Risk Mitigation]]+Master20[[#This Row],[Master Plan]]+Master20[[#This Row],[Community Request]]+Master20[[#This Row],[Community need]]+Master20[[#This Row],[Offset Aging Inf.]]+Master20[[#This Row],[Energy Savings]]+Master20[[#This Row],[Gen Revenue]]-5))</f>
        <v>25</v>
      </c>
      <c r="AI249" s="374"/>
      <c r="AJ249" s="374"/>
      <c r="AK249" s="374"/>
      <c r="AL249" s="374"/>
      <c r="AM249" s="374"/>
      <c r="AN249" s="368"/>
      <c r="AO249" s="377"/>
    </row>
    <row r="250" spans="1:67" ht="35.1" customHeight="1" x14ac:dyDescent="0.25">
      <c r="A250" s="359"/>
      <c r="B250" s="360" t="s">
        <v>214</v>
      </c>
      <c r="C250" s="360" t="s">
        <v>1045</v>
      </c>
      <c r="D250" s="372" t="s">
        <v>1228</v>
      </c>
      <c r="E250" s="361" t="s">
        <v>1229</v>
      </c>
      <c r="F250" s="373" t="s">
        <v>1230</v>
      </c>
      <c r="G250" s="362" t="s">
        <v>29</v>
      </c>
      <c r="H250" s="363">
        <f t="shared" si="43"/>
        <v>0</v>
      </c>
      <c r="I250" s="362"/>
      <c r="J250" s="362"/>
      <c r="K250" s="362">
        <f>Master20[[#This Row],[Initial Budget]]-Master20[[#This Row],[Previously Committed Funds]]</f>
        <v>0</v>
      </c>
      <c r="L250" s="362"/>
      <c r="M250" s="364"/>
      <c r="N250" s="365">
        <f>Master20[[#This Row],[Design $ (Add/Deduct)]]+Master20[[#This Row],[Construction $ (Add/Ded)]]</f>
        <v>0</v>
      </c>
      <c r="O250" s="366"/>
      <c r="P250" s="367">
        <v>2024</v>
      </c>
      <c r="Q250" s="368" t="s">
        <v>688</v>
      </c>
      <c r="R250" s="369">
        <f t="shared" si="44"/>
        <v>20</v>
      </c>
      <c r="S250" s="374">
        <v>1</v>
      </c>
      <c r="T250" s="374">
        <f t="shared" si="45"/>
        <v>3</v>
      </c>
      <c r="U250" s="370" t="s">
        <v>41</v>
      </c>
      <c r="V250" s="374">
        <f t="shared" si="46"/>
        <v>4</v>
      </c>
      <c r="W250" s="370" t="s">
        <v>29</v>
      </c>
      <c r="X250" s="374"/>
      <c r="Y250" s="374">
        <v>0</v>
      </c>
      <c r="Z250" s="374">
        <v>0</v>
      </c>
      <c r="AA250" s="374">
        <v>0</v>
      </c>
      <c r="AB250" s="374">
        <v>0</v>
      </c>
      <c r="AC250" s="374">
        <v>0</v>
      </c>
      <c r="AD250" s="374">
        <v>0</v>
      </c>
      <c r="AE250" s="374"/>
      <c r="AF250" s="375" t="s">
        <v>29</v>
      </c>
      <c r="AG250" s="371">
        <f>VLOOKUP(Master20[[#This Row],[Elevated Priority]],Epriority,2,)</f>
        <v>0</v>
      </c>
      <c r="AH250" s="369">
        <f>IF(Master20[[#This Row],[Status]]="Active",Master20[[#This Row],[Status_Score]],IF(D250="","",R250+H250+T250+V250+AG250+AE250+Master20[[#This Row],[Risk Mitigation]]+Master20[[#This Row],[Master Plan]]+Master20[[#This Row],[Community Request]]+Master20[[#This Row],[Community need]]+Master20[[#This Row],[Offset Aging Inf.]]+Master20[[#This Row],[Energy Savings]]+Master20[[#This Row],[Gen Revenue]]-5))</f>
        <v>22</v>
      </c>
      <c r="AI250" s="374"/>
      <c r="AJ250" s="374"/>
      <c r="AK250" s="374"/>
      <c r="AL250" s="374"/>
      <c r="AM250" s="374"/>
      <c r="AN250" s="368"/>
      <c r="AO250" s="377"/>
    </row>
    <row r="251" spans="1:67" ht="35.1" customHeight="1" x14ac:dyDescent="0.25">
      <c r="A251" s="359"/>
      <c r="B251" s="360" t="s">
        <v>214</v>
      </c>
      <c r="C251" s="360" t="s">
        <v>1045</v>
      </c>
      <c r="D251" s="372" t="s">
        <v>767</v>
      </c>
      <c r="E251" s="361" t="s">
        <v>1231</v>
      </c>
      <c r="F251" s="373" t="s">
        <v>1232</v>
      </c>
      <c r="G251" s="362" t="s">
        <v>29</v>
      </c>
      <c r="H251" s="363">
        <f t="shared" si="43"/>
        <v>0</v>
      </c>
      <c r="I251" s="362"/>
      <c r="J251" s="362"/>
      <c r="K251" s="362">
        <f>Master20[[#This Row],[Initial Budget]]-Master20[[#This Row],[Previously Committed Funds]]</f>
        <v>0</v>
      </c>
      <c r="L251" s="362"/>
      <c r="M251" s="364"/>
      <c r="N251" s="365">
        <f>Master20[[#This Row],[Design $ (Add/Deduct)]]+Master20[[#This Row],[Construction $ (Add/Ded)]]</f>
        <v>0</v>
      </c>
      <c r="O251" s="366"/>
      <c r="P251" s="367">
        <v>2023</v>
      </c>
      <c r="Q251" s="368" t="s">
        <v>32</v>
      </c>
      <c r="R251" s="369">
        <f t="shared" si="44"/>
        <v>1</v>
      </c>
      <c r="S251" s="374">
        <v>1</v>
      </c>
      <c r="T251" s="374">
        <f t="shared" si="45"/>
        <v>3</v>
      </c>
      <c r="U251" s="370" t="s">
        <v>37</v>
      </c>
      <c r="V251" s="374">
        <f t="shared" si="46"/>
        <v>3</v>
      </c>
      <c r="W251" s="370" t="s">
        <v>29</v>
      </c>
      <c r="X251" s="374"/>
      <c r="Y251" s="374">
        <v>0</v>
      </c>
      <c r="Z251" s="374">
        <v>0</v>
      </c>
      <c r="AA251" s="374">
        <v>0</v>
      </c>
      <c r="AB251" s="374">
        <v>0</v>
      </c>
      <c r="AC251" s="374">
        <v>0</v>
      </c>
      <c r="AD251" s="374">
        <v>0</v>
      </c>
      <c r="AE251" s="374"/>
      <c r="AF251" s="375" t="s">
        <v>29</v>
      </c>
      <c r="AG251" s="371">
        <f>VLOOKUP(Master20[[#This Row],[Elevated Priority]],Epriority,2,)</f>
        <v>0</v>
      </c>
      <c r="AH251" s="369">
        <f>IF(Master20[[#This Row],[Status]]="Active",Master20[[#This Row],[Status_Score]],IF(D251="","",R251+H251+T251+V251+AG251+AE251+Master20[[#This Row],[Risk Mitigation]]+Master20[[#This Row],[Master Plan]]+Master20[[#This Row],[Community Request]]+Master20[[#This Row],[Community need]]+Master20[[#This Row],[Offset Aging Inf.]]+Master20[[#This Row],[Energy Savings]]+Master20[[#This Row],[Gen Revenue]]-5))</f>
        <v>2</v>
      </c>
      <c r="AI251" s="374"/>
      <c r="AJ251" s="374"/>
      <c r="AK251" s="374"/>
      <c r="AL251" s="374"/>
      <c r="AM251" s="374"/>
      <c r="AN251" s="368"/>
      <c r="AO251" s="377"/>
    </row>
    <row r="252" spans="1:67" ht="45" x14ac:dyDescent="0.25">
      <c r="A252" s="359"/>
      <c r="B252" s="360" t="s">
        <v>214</v>
      </c>
      <c r="C252" s="360" t="s">
        <v>1045</v>
      </c>
      <c r="D252" s="372" t="s">
        <v>1233</v>
      </c>
      <c r="E252" s="361" t="s">
        <v>1234</v>
      </c>
      <c r="F252" s="373" t="s">
        <v>1235</v>
      </c>
      <c r="G252" s="362" t="s">
        <v>29</v>
      </c>
      <c r="H252" s="363">
        <f t="shared" si="43"/>
        <v>0</v>
      </c>
      <c r="I252" s="362"/>
      <c r="J252" s="362"/>
      <c r="K252" s="362">
        <f>Master20[[#This Row],[Initial Budget]]-Master20[[#This Row],[Previously Committed Funds]]</f>
        <v>0</v>
      </c>
      <c r="L252" s="362"/>
      <c r="M252" s="364"/>
      <c r="N252" s="365">
        <f>Master20[[#This Row],[Design $ (Add/Deduct)]]+Master20[[#This Row],[Construction $ (Add/Ded)]]</f>
        <v>0</v>
      </c>
      <c r="O252" s="366"/>
      <c r="P252" s="367">
        <v>2023</v>
      </c>
      <c r="Q252" s="368" t="s">
        <v>32</v>
      </c>
      <c r="R252" s="369">
        <f t="shared" si="44"/>
        <v>1</v>
      </c>
      <c r="S252" s="374">
        <v>1</v>
      </c>
      <c r="T252" s="374">
        <f t="shared" si="45"/>
        <v>3</v>
      </c>
      <c r="U252" s="370" t="s">
        <v>37</v>
      </c>
      <c r="V252" s="374">
        <f t="shared" si="46"/>
        <v>3</v>
      </c>
      <c r="W252" s="370" t="s">
        <v>29</v>
      </c>
      <c r="X252" s="374"/>
      <c r="Y252" s="374">
        <v>0</v>
      </c>
      <c r="Z252" s="374">
        <v>0</v>
      </c>
      <c r="AA252" s="374">
        <v>0</v>
      </c>
      <c r="AB252" s="374">
        <v>0</v>
      </c>
      <c r="AC252" s="374">
        <v>0</v>
      </c>
      <c r="AD252" s="374">
        <v>0</v>
      </c>
      <c r="AE252" s="374"/>
      <c r="AF252" s="375" t="s">
        <v>29</v>
      </c>
      <c r="AG252" s="371">
        <f>VLOOKUP(Master20[[#This Row],[Elevated Priority]],Epriority,2,)</f>
        <v>0</v>
      </c>
      <c r="AH252" s="369">
        <f>IF(Master20[[#This Row],[Status]]="Active",Master20[[#This Row],[Status_Score]],IF(D252="","",R252+H252+T252+V252+AG252+AE252+Master20[[#This Row],[Risk Mitigation]]+Master20[[#This Row],[Master Plan]]+Master20[[#This Row],[Community Request]]+Master20[[#This Row],[Community need]]+Master20[[#This Row],[Offset Aging Inf.]]+Master20[[#This Row],[Energy Savings]]+Master20[[#This Row],[Gen Revenue]]-5))</f>
        <v>2</v>
      </c>
      <c r="AI252" s="374"/>
      <c r="AJ252" s="374"/>
      <c r="AK252" s="374"/>
      <c r="AL252" s="374"/>
      <c r="AM252" s="374"/>
      <c r="AN252" s="368"/>
      <c r="AO252" s="377"/>
    </row>
    <row r="253" spans="1:67" ht="45" x14ac:dyDescent="0.25">
      <c r="A253" s="359"/>
      <c r="B253" s="360" t="s">
        <v>214</v>
      </c>
      <c r="C253" s="360" t="s">
        <v>1236</v>
      </c>
      <c r="D253" s="372" t="s">
        <v>1237</v>
      </c>
      <c r="E253" s="361" t="s">
        <v>1238</v>
      </c>
      <c r="F253" s="373" t="s">
        <v>1239</v>
      </c>
      <c r="G253" s="362" t="s">
        <v>29</v>
      </c>
      <c r="H253" s="363">
        <f t="shared" si="43"/>
        <v>0</v>
      </c>
      <c r="I253" s="362"/>
      <c r="J253" s="362"/>
      <c r="K253" s="362">
        <f>Master20[[#This Row],[Initial Budget]]-Master20[[#This Row],[Previously Committed Funds]]</f>
        <v>0</v>
      </c>
      <c r="L253" s="362"/>
      <c r="M253" s="364"/>
      <c r="N253" s="365">
        <f>Master20[[#This Row],[Design $ (Add/Deduct)]]+Master20[[#This Row],[Construction $ (Add/Ded)]]</f>
        <v>0</v>
      </c>
      <c r="O253" s="366"/>
      <c r="P253" s="367">
        <v>2024</v>
      </c>
      <c r="Q253" s="368" t="s">
        <v>688</v>
      </c>
      <c r="R253" s="369">
        <f t="shared" si="44"/>
        <v>20</v>
      </c>
      <c r="S253" s="374">
        <v>2</v>
      </c>
      <c r="T253" s="374">
        <f t="shared" si="45"/>
        <v>6</v>
      </c>
      <c r="U253" s="370" t="s">
        <v>41</v>
      </c>
      <c r="V253" s="374">
        <f t="shared" si="46"/>
        <v>4</v>
      </c>
      <c r="W253" s="370" t="s">
        <v>29</v>
      </c>
      <c r="X253" s="374"/>
      <c r="Y253" s="374">
        <v>0</v>
      </c>
      <c r="Z253" s="374">
        <v>0</v>
      </c>
      <c r="AA253" s="374">
        <v>0</v>
      </c>
      <c r="AB253" s="374">
        <v>0</v>
      </c>
      <c r="AC253" s="374">
        <v>0</v>
      </c>
      <c r="AD253" s="374">
        <v>0</v>
      </c>
      <c r="AE253" s="374"/>
      <c r="AF253" s="375" t="s">
        <v>29</v>
      </c>
      <c r="AG253" s="371">
        <f>VLOOKUP(Master20[[#This Row],[Elevated Priority]],Epriority,2,)</f>
        <v>0</v>
      </c>
      <c r="AH253" s="369">
        <f>IF(Master20[[#This Row],[Status]]="Active",Master20[[#This Row],[Status_Score]],IF(D253="","",R253+H253+T253+V253+AG253+AE253+Master20[[#This Row],[Risk Mitigation]]+Master20[[#This Row],[Master Plan]]+Master20[[#This Row],[Community Request]]+Master20[[#This Row],[Community need]]+Master20[[#This Row],[Offset Aging Inf.]]+Master20[[#This Row],[Energy Savings]]+Master20[[#This Row],[Gen Revenue]]-5))</f>
        <v>25</v>
      </c>
      <c r="AI253" s="374"/>
      <c r="AJ253" s="374"/>
      <c r="AK253" s="374"/>
      <c r="AL253" s="374"/>
      <c r="AM253" s="374"/>
      <c r="AN253" s="368"/>
      <c r="AO253" s="377"/>
    </row>
    <row r="254" spans="1:67" ht="60" x14ac:dyDescent="0.25">
      <c r="A254" s="359"/>
      <c r="B254" s="360" t="s">
        <v>214</v>
      </c>
      <c r="C254" s="360" t="s">
        <v>1045</v>
      </c>
      <c r="D254" s="372" t="s">
        <v>1240</v>
      </c>
      <c r="E254" s="361" t="s">
        <v>1241</v>
      </c>
      <c r="F254" s="373" t="s">
        <v>1245</v>
      </c>
      <c r="G254" s="362" t="s">
        <v>29</v>
      </c>
      <c r="H254" s="363">
        <f t="shared" si="43"/>
        <v>0</v>
      </c>
      <c r="I254" s="362"/>
      <c r="J254" s="362"/>
      <c r="K254" s="362">
        <f>Master20[[#This Row],[Initial Budget]]-Master20[[#This Row],[Previously Committed Funds]]</f>
        <v>0</v>
      </c>
      <c r="L254" s="362"/>
      <c r="M254" s="364"/>
      <c r="N254" s="365">
        <f>Master20[[#This Row],[Design $ (Add/Deduct)]]+Master20[[#This Row],[Construction $ (Add/Ded)]]</f>
        <v>0</v>
      </c>
      <c r="O254" s="366"/>
      <c r="P254" s="367">
        <v>2025</v>
      </c>
      <c r="Q254" s="368" t="s">
        <v>686</v>
      </c>
      <c r="R254" s="369">
        <f t="shared" si="44"/>
        <v>60</v>
      </c>
      <c r="S254" s="374">
        <v>1</v>
      </c>
      <c r="T254" s="374">
        <f t="shared" si="45"/>
        <v>3</v>
      </c>
      <c r="U254" s="370" t="s">
        <v>43</v>
      </c>
      <c r="V254" s="374">
        <f t="shared" si="46"/>
        <v>16</v>
      </c>
      <c r="W254" s="370" t="s">
        <v>29</v>
      </c>
      <c r="X254" s="374"/>
      <c r="Y254" s="374">
        <v>0</v>
      </c>
      <c r="Z254" s="374">
        <v>0</v>
      </c>
      <c r="AA254" s="374">
        <v>0</v>
      </c>
      <c r="AB254" s="374">
        <v>0</v>
      </c>
      <c r="AC254" s="374">
        <v>0</v>
      </c>
      <c r="AD254" s="374">
        <v>0</v>
      </c>
      <c r="AE254" s="374"/>
      <c r="AF254" s="375" t="s">
        <v>29</v>
      </c>
      <c r="AG254" s="371">
        <f>VLOOKUP(Master20[[#This Row],[Elevated Priority]],Epriority,2,)</f>
        <v>0</v>
      </c>
      <c r="AH254" s="369">
        <f>IF(Master20[[#This Row],[Status]]="Active",Master20[[#This Row],[Status_Score]],IF(D254="","",R254+H254+T254+V254+AG254+AE254+Master20[[#This Row],[Risk Mitigation]]+Master20[[#This Row],[Master Plan]]+Master20[[#This Row],[Community Request]]+Master20[[#This Row],[Community need]]+Master20[[#This Row],[Offset Aging Inf.]]+Master20[[#This Row],[Energy Savings]]+Master20[[#This Row],[Gen Revenue]]-5))</f>
        <v>74</v>
      </c>
      <c r="AI254" s="374"/>
      <c r="AJ254" s="374"/>
      <c r="AK254" s="374"/>
      <c r="AL254" s="374"/>
      <c r="AM254" s="374"/>
      <c r="AN254" s="368"/>
      <c r="AO254" s="377"/>
    </row>
    <row r="255" spans="1:67" ht="60" x14ac:dyDescent="0.25">
      <c r="A255" s="359"/>
      <c r="B255" s="360" t="s">
        <v>214</v>
      </c>
      <c r="C255" s="360" t="s">
        <v>1045</v>
      </c>
      <c r="D255" s="372" t="s">
        <v>1242</v>
      </c>
      <c r="E255" s="361" t="s">
        <v>1244</v>
      </c>
      <c r="F255" s="373" t="s">
        <v>1243</v>
      </c>
      <c r="G255" s="362" t="s">
        <v>29</v>
      </c>
      <c r="H255" s="363">
        <f t="shared" si="43"/>
        <v>0</v>
      </c>
      <c r="I255" s="362"/>
      <c r="J255" s="362"/>
      <c r="K255" s="362">
        <f>Master20[[#This Row],[Initial Budget]]-Master20[[#This Row],[Previously Committed Funds]]</f>
        <v>0</v>
      </c>
      <c r="L255" s="362"/>
      <c r="M255" s="364"/>
      <c r="N255" s="365">
        <f>Master20[[#This Row],[Design $ (Add/Deduct)]]+Master20[[#This Row],[Construction $ (Add/Ded)]]</f>
        <v>0</v>
      </c>
      <c r="O255" s="366"/>
      <c r="P255" s="367">
        <v>2023</v>
      </c>
      <c r="Q255" s="368" t="s">
        <v>686</v>
      </c>
      <c r="R255" s="369">
        <f t="shared" si="44"/>
        <v>60</v>
      </c>
      <c r="S255" s="374">
        <v>1</v>
      </c>
      <c r="T255" s="374">
        <f t="shared" si="45"/>
        <v>3</v>
      </c>
      <c r="U255" s="370" t="s">
        <v>41</v>
      </c>
      <c r="V255" s="374">
        <f t="shared" si="46"/>
        <v>4</v>
      </c>
      <c r="W255" s="370" t="s">
        <v>29</v>
      </c>
      <c r="X255" s="374"/>
      <c r="Y255" s="374">
        <v>0</v>
      </c>
      <c r="Z255" s="374">
        <v>0</v>
      </c>
      <c r="AA255" s="374">
        <v>0</v>
      </c>
      <c r="AB255" s="374">
        <v>0</v>
      </c>
      <c r="AC255" s="374">
        <v>0</v>
      </c>
      <c r="AD255" s="374">
        <v>0</v>
      </c>
      <c r="AE255" s="374"/>
      <c r="AF255" s="375" t="s">
        <v>29</v>
      </c>
      <c r="AG255" s="371">
        <f>VLOOKUP(Master20[[#This Row],[Elevated Priority]],Epriority,2,)</f>
        <v>0</v>
      </c>
      <c r="AH255" s="369">
        <f>IF(Master20[[#This Row],[Status]]="Active",Master20[[#This Row],[Status_Score]],IF(D255="","",R255+H255+T255+V255+AG255+AE255+Master20[[#This Row],[Risk Mitigation]]+Master20[[#This Row],[Master Plan]]+Master20[[#This Row],[Community Request]]+Master20[[#This Row],[Community need]]+Master20[[#This Row],[Offset Aging Inf.]]+Master20[[#This Row],[Energy Savings]]+Master20[[#This Row],[Gen Revenue]]-5))</f>
        <v>62</v>
      </c>
      <c r="AI255" s="374"/>
      <c r="AJ255" s="374"/>
      <c r="AK255" s="374"/>
      <c r="AL255" s="374"/>
      <c r="AM255" s="374"/>
      <c r="AN255" s="368"/>
      <c r="AO255" s="377"/>
    </row>
    <row r="256" spans="1:67" ht="35.1" customHeight="1" x14ac:dyDescent="0.25">
      <c r="A256" s="359"/>
      <c r="B256" s="360"/>
      <c r="C256" s="360"/>
      <c r="D256" s="372"/>
      <c r="E256" s="361"/>
      <c r="F256" s="373"/>
      <c r="G256" s="362" t="s">
        <v>29</v>
      </c>
      <c r="H256" s="363">
        <f t="shared" si="43"/>
        <v>0</v>
      </c>
      <c r="I256" s="362"/>
      <c r="J256" s="362"/>
      <c r="K256" s="362">
        <f>Master20[[#This Row],[Initial Budget]]-Master20[[#This Row],[Previously Committed Funds]]</f>
        <v>0</v>
      </c>
      <c r="L256" s="362"/>
      <c r="M256" s="364"/>
      <c r="N256" s="365">
        <f>Master20[[#This Row],[Design $ (Add/Deduct)]]+Master20[[#This Row],[Construction $ (Add/Ded)]]</f>
        <v>0</v>
      </c>
      <c r="O256" s="366"/>
      <c r="P256" s="367">
        <v>2023</v>
      </c>
      <c r="Q256" s="368" t="s">
        <v>29</v>
      </c>
      <c r="R256" s="369">
        <f t="shared" si="44"/>
        <v>0</v>
      </c>
      <c r="S256" s="374" t="s">
        <v>29</v>
      </c>
      <c r="T256" s="374">
        <f t="shared" si="45"/>
        <v>0</v>
      </c>
      <c r="U256" s="370" t="s">
        <v>29</v>
      </c>
      <c r="V256" s="374">
        <f t="shared" si="46"/>
        <v>0</v>
      </c>
      <c r="W256" s="370" t="s">
        <v>29</v>
      </c>
      <c r="X256" s="374"/>
      <c r="Y256" s="374">
        <v>0</v>
      </c>
      <c r="Z256" s="374">
        <v>0</v>
      </c>
      <c r="AA256" s="374">
        <v>0</v>
      </c>
      <c r="AB256" s="374">
        <v>0</v>
      </c>
      <c r="AC256" s="374">
        <v>0</v>
      </c>
      <c r="AD256" s="374">
        <v>0</v>
      </c>
      <c r="AE256" s="374"/>
      <c r="AF256" s="375" t="s">
        <v>29</v>
      </c>
      <c r="AG256" s="371">
        <f>VLOOKUP(Master20[[#This Row],[Elevated Priority]],Epriority,2,)</f>
        <v>0</v>
      </c>
      <c r="AH256" s="369" t="str">
        <f>IF(Master20[[#This Row],[Status]]="Active",Master20[[#This Row],[Status_Score]],IF(D256="","",R256+H256+T256+V256+AG256+AE256+Master20[[#This Row],[Risk Mitigation]]+Master20[[#This Row],[Master Plan]]+Master20[[#This Row],[Community Request]]+Master20[[#This Row],[Community need]]+Master20[[#This Row],[Offset Aging Inf.]]+Master20[[#This Row],[Energy Savings]]+Master20[[#This Row],[Gen Revenue]]-5))</f>
        <v/>
      </c>
      <c r="AI256" s="374"/>
      <c r="AJ256" s="374"/>
      <c r="AK256" s="374"/>
      <c r="AL256" s="374"/>
      <c r="AM256" s="374"/>
      <c r="AN256" s="368"/>
      <c r="AO256" s="377"/>
    </row>
    <row r="257" spans="1:41" ht="35.1" customHeight="1" x14ac:dyDescent="0.25">
      <c r="A257" s="359"/>
      <c r="B257" s="360"/>
      <c r="C257" s="360"/>
      <c r="D257" s="372"/>
      <c r="E257" s="361"/>
      <c r="F257" s="373"/>
      <c r="G257" s="362" t="s">
        <v>29</v>
      </c>
      <c r="H257" s="363">
        <f t="shared" si="43"/>
        <v>0</v>
      </c>
      <c r="I257" s="362"/>
      <c r="J257" s="362"/>
      <c r="K257" s="362">
        <f>Master20[[#This Row],[Initial Budget]]-Master20[[#This Row],[Previously Committed Funds]]</f>
        <v>0</v>
      </c>
      <c r="L257" s="362"/>
      <c r="M257" s="364"/>
      <c r="N257" s="365">
        <f>Master20[[#This Row],[Design $ (Add/Deduct)]]+Master20[[#This Row],[Construction $ (Add/Ded)]]</f>
        <v>0</v>
      </c>
      <c r="O257" s="366"/>
      <c r="P257" s="367">
        <v>2023</v>
      </c>
      <c r="Q257" s="368" t="s">
        <v>29</v>
      </c>
      <c r="R257" s="369">
        <f t="shared" si="44"/>
        <v>0</v>
      </c>
      <c r="S257" s="374" t="s">
        <v>29</v>
      </c>
      <c r="T257" s="374">
        <f t="shared" si="45"/>
        <v>0</v>
      </c>
      <c r="U257" s="370" t="s">
        <v>29</v>
      </c>
      <c r="V257" s="374">
        <f t="shared" si="46"/>
        <v>0</v>
      </c>
      <c r="W257" s="370" t="s">
        <v>29</v>
      </c>
      <c r="X257" s="374"/>
      <c r="Y257" s="374">
        <v>0</v>
      </c>
      <c r="Z257" s="374">
        <v>0</v>
      </c>
      <c r="AA257" s="374">
        <v>0</v>
      </c>
      <c r="AB257" s="374">
        <v>0</v>
      </c>
      <c r="AC257" s="374">
        <v>0</v>
      </c>
      <c r="AD257" s="374">
        <v>0</v>
      </c>
      <c r="AE257" s="374"/>
      <c r="AF257" s="375" t="s">
        <v>29</v>
      </c>
      <c r="AG257" s="371">
        <f>VLOOKUP(Master20[[#This Row],[Elevated Priority]],Epriority,2,)</f>
        <v>0</v>
      </c>
      <c r="AH257" s="369" t="str">
        <f>IF(Master20[[#This Row],[Status]]="Active",Master20[[#This Row],[Status_Score]],IF(D257="","",R257+H257+T257+V257+AG257+AE257+Master20[[#This Row],[Risk Mitigation]]+Master20[[#This Row],[Master Plan]]+Master20[[#This Row],[Community Request]]+Master20[[#This Row],[Community need]]+Master20[[#This Row],[Offset Aging Inf.]]+Master20[[#This Row],[Energy Savings]]+Master20[[#This Row],[Gen Revenue]]-5))</f>
        <v/>
      </c>
      <c r="AI257" s="374"/>
      <c r="AJ257" s="374"/>
      <c r="AK257" s="374"/>
      <c r="AL257" s="374"/>
      <c r="AM257" s="374"/>
      <c r="AN257" s="368"/>
      <c r="AO257" s="377"/>
    </row>
    <row r="258" spans="1:41" ht="35.1" customHeight="1" x14ac:dyDescent="0.25">
      <c r="A258" s="359"/>
      <c r="B258" s="360"/>
      <c r="C258" s="360"/>
      <c r="D258" s="372"/>
      <c r="E258" s="361"/>
      <c r="F258" s="373"/>
      <c r="G258" s="362" t="s">
        <v>29</v>
      </c>
      <c r="H258" s="363">
        <f t="shared" si="43"/>
        <v>0</v>
      </c>
      <c r="I258" s="362"/>
      <c r="J258" s="362"/>
      <c r="K258" s="362">
        <f>Master20[[#This Row],[Initial Budget]]-Master20[[#This Row],[Previously Committed Funds]]</f>
        <v>0</v>
      </c>
      <c r="L258" s="362"/>
      <c r="M258" s="364"/>
      <c r="N258" s="365">
        <f>Master20[[#This Row],[Design $ (Add/Deduct)]]+Master20[[#This Row],[Construction $ (Add/Ded)]]</f>
        <v>0</v>
      </c>
      <c r="O258" s="366"/>
      <c r="P258" s="367">
        <v>2023</v>
      </c>
      <c r="Q258" s="368" t="s">
        <v>29</v>
      </c>
      <c r="R258" s="369">
        <f t="shared" si="44"/>
        <v>0</v>
      </c>
      <c r="S258" s="374" t="s">
        <v>29</v>
      </c>
      <c r="T258" s="374">
        <f t="shared" si="45"/>
        <v>0</v>
      </c>
      <c r="U258" s="370" t="s">
        <v>29</v>
      </c>
      <c r="V258" s="374">
        <f t="shared" si="46"/>
        <v>0</v>
      </c>
      <c r="W258" s="370" t="s">
        <v>29</v>
      </c>
      <c r="X258" s="374"/>
      <c r="Y258" s="374">
        <v>0</v>
      </c>
      <c r="Z258" s="374">
        <v>0</v>
      </c>
      <c r="AA258" s="374">
        <v>0</v>
      </c>
      <c r="AB258" s="374">
        <v>0</v>
      </c>
      <c r="AC258" s="374">
        <v>0</v>
      </c>
      <c r="AD258" s="374">
        <v>0</v>
      </c>
      <c r="AE258" s="374"/>
      <c r="AF258" s="375" t="s">
        <v>29</v>
      </c>
      <c r="AG258" s="371">
        <f>VLOOKUP(Master20[[#This Row],[Elevated Priority]],Epriority,2,)</f>
        <v>0</v>
      </c>
      <c r="AH258" s="369" t="str">
        <f>IF(Master20[[#This Row],[Status]]="Active",Master20[[#This Row],[Status_Score]],IF(D258="","",R258+H258+T258+V258+AG258+AE258+Master20[[#This Row],[Risk Mitigation]]+Master20[[#This Row],[Master Plan]]+Master20[[#This Row],[Community Request]]+Master20[[#This Row],[Community need]]+Master20[[#This Row],[Offset Aging Inf.]]+Master20[[#This Row],[Energy Savings]]+Master20[[#This Row],[Gen Revenue]]-5))</f>
        <v/>
      </c>
      <c r="AI258" s="374"/>
      <c r="AJ258" s="374"/>
      <c r="AK258" s="374"/>
      <c r="AL258" s="374"/>
      <c r="AM258" s="374"/>
      <c r="AN258" s="368"/>
      <c r="AO258" s="377"/>
    </row>
    <row r="259" spans="1:41" ht="35.1" customHeight="1" x14ac:dyDescent="0.25">
      <c r="A259" s="359"/>
      <c r="B259" s="360"/>
      <c r="C259" s="360"/>
      <c r="D259" s="372"/>
      <c r="E259" s="361"/>
      <c r="F259" s="373"/>
      <c r="G259" s="362" t="s">
        <v>29</v>
      </c>
      <c r="H259" s="363">
        <f t="shared" si="43"/>
        <v>0</v>
      </c>
      <c r="I259" s="362"/>
      <c r="J259" s="362"/>
      <c r="K259" s="362">
        <f>Master20[[#This Row],[Initial Budget]]-Master20[[#This Row],[Previously Committed Funds]]</f>
        <v>0</v>
      </c>
      <c r="L259" s="362"/>
      <c r="M259" s="364"/>
      <c r="N259" s="365">
        <f>Master20[[#This Row],[Design $ (Add/Deduct)]]+Master20[[#This Row],[Construction $ (Add/Ded)]]</f>
        <v>0</v>
      </c>
      <c r="O259" s="366"/>
      <c r="P259" s="367">
        <v>2023</v>
      </c>
      <c r="Q259" s="368" t="s">
        <v>29</v>
      </c>
      <c r="R259" s="369">
        <f t="shared" si="44"/>
        <v>0</v>
      </c>
      <c r="S259" s="374" t="s">
        <v>29</v>
      </c>
      <c r="T259" s="374">
        <f t="shared" si="45"/>
        <v>0</v>
      </c>
      <c r="U259" s="370" t="s">
        <v>29</v>
      </c>
      <c r="V259" s="374">
        <f t="shared" si="46"/>
        <v>0</v>
      </c>
      <c r="W259" s="370" t="s">
        <v>29</v>
      </c>
      <c r="X259" s="374"/>
      <c r="Y259" s="374">
        <v>0</v>
      </c>
      <c r="Z259" s="374">
        <v>0</v>
      </c>
      <c r="AA259" s="374">
        <v>0</v>
      </c>
      <c r="AB259" s="374">
        <v>0</v>
      </c>
      <c r="AC259" s="374">
        <v>0</v>
      </c>
      <c r="AD259" s="374">
        <v>0</v>
      </c>
      <c r="AE259" s="374"/>
      <c r="AF259" s="375" t="s">
        <v>29</v>
      </c>
      <c r="AG259" s="371">
        <f>VLOOKUP(Master20[[#This Row],[Elevated Priority]],Epriority,2,)</f>
        <v>0</v>
      </c>
      <c r="AH259" s="369" t="str">
        <f>IF(Master20[[#This Row],[Status]]="Active",Master20[[#This Row],[Status_Score]],IF(D259="","",R259+H259+T259+V259+AG259+AE259+Master20[[#This Row],[Risk Mitigation]]+Master20[[#This Row],[Master Plan]]+Master20[[#This Row],[Community Request]]+Master20[[#This Row],[Community need]]+Master20[[#This Row],[Offset Aging Inf.]]+Master20[[#This Row],[Energy Savings]]+Master20[[#This Row],[Gen Revenue]]-5))</f>
        <v/>
      </c>
      <c r="AI259" s="374"/>
      <c r="AJ259" s="374"/>
      <c r="AK259" s="374"/>
      <c r="AL259" s="374"/>
      <c r="AM259" s="374"/>
      <c r="AN259" s="368"/>
      <c r="AO259" s="377"/>
    </row>
    <row r="260" spans="1:41" ht="35.1" customHeight="1" x14ac:dyDescent="0.25">
      <c r="A260" s="359"/>
      <c r="B260" s="360"/>
      <c r="C260" s="360"/>
      <c r="D260" s="372"/>
      <c r="E260" s="361"/>
      <c r="F260" s="373"/>
      <c r="G260" s="362" t="s">
        <v>29</v>
      </c>
      <c r="H260" s="363">
        <f t="shared" si="43"/>
        <v>0</v>
      </c>
      <c r="I260" s="362"/>
      <c r="J260" s="362"/>
      <c r="K260" s="362">
        <f>Master20[[#This Row],[Initial Budget]]-Master20[[#This Row],[Previously Committed Funds]]</f>
        <v>0</v>
      </c>
      <c r="L260" s="362"/>
      <c r="M260" s="364"/>
      <c r="N260" s="365">
        <f>Master20[[#This Row],[Design $ (Add/Deduct)]]+Master20[[#This Row],[Construction $ (Add/Ded)]]</f>
        <v>0</v>
      </c>
      <c r="O260" s="366"/>
      <c r="P260" s="367">
        <v>2023</v>
      </c>
      <c r="Q260" s="368" t="s">
        <v>29</v>
      </c>
      <c r="R260" s="369">
        <f t="shared" si="44"/>
        <v>0</v>
      </c>
      <c r="S260" s="374" t="s">
        <v>29</v>
      </c>
      <c r="T260" s="374">
        <f t="shared" si="45"/>
        <v>0</v>
      </c>
      <c r="U260" s="370" t="s">
        <v>29</v>
      </c>
      <c r="V260" s="374">
        <f t="shared" si="46"/>
        <v>0</v>
      </c>
      <c r="W260" s="370" t="s">
        <v>29</v>
      </c>
      <c r="X260" s="374"/>
      <c r="Y260" s="374">
        <v>0</v>
      </c>
      <c r="Z260" s="374">
        <v>0</v>
      </c>
      <c r="AA260" s="374">
        <v>0</v>
      </c>
      <c r="AB260" s="374">
        <v>0</v>
      </c>
      <c r="AC260" s="374">
        <v>0</v>
      </c>
      <c r="AD260" s="374">
        <v>0</v>
      </c>
      <c r="AE260" s="374"/>
      <c r="AF260" s="375" t="s">
        <v>29</v>
      </c>
      <c r="AG260" s="371">
        <f>VLOOKUP(Master20[[#This Row],[Elevated Priority]],Epriority,2,)</f>
        <v>0</v>
      </c>
      <c r="AH260" s="369" t="str">
        <f>IF(Master20[[#This Row],[Status]]="Active",Master20[[#This Row],[Status_Score]],IF(D260="","",R260+H260+T260+V260+AG260+AE260+Master20[[#This Row],[Risk Mitigation]]+Master20[[#This Row],[Master Plan]]+Master20[[#This Row],[Community Request]]+Master20[[#This Row],[Community need]]+Master20[[#This Row],[Offset Aging Inf.]]+Master20[[#This Row],[Energy Savings]]+Master20[[#This Row],[Gen Revenue]]-5))</f>
        <v/>
      </c>
      <c r="AI260" s="374"/>
      <c r="AJ260" s="374"/>
      <c r="AK260" s="374"/>
      <c r="AL260" s="374"/>
      <c r="AM260" s="374"/>
      <c r="AN260" s="368"/>
      <c r="AO260" s="377"/>
    </row>
  </sheetData>
  <autoFilter ref="B1:B260" xr:uid="{E0B16B68-739A-4539-B1B0-A4C7C937B61A}">
    <filterColumn colId="0">
      <filters blank="1">
        <filter val="Museum"/>
      </filters>
    </filterColumn>
  </autoFilter>
  <conditionalFormatting sqref="D1 D197:D198 D42:D45 D205 D39:D40 D9:D37 D246:D1048576 D49 D62">
    <cfRule type="duplicateValues" priority="50"/>
  </conditionalFormatting>
  <conditionalFormatting sqref="D48">
    <cfRule type="duplicateValues" priority="49"/>
  </conditionalFormatting>
  <conditionalFormatting sqref="D202 D199:D200">
    <cfRule type="duplicateValues" priority="56"/>
  </conditionalFormatting>
  <conditionalFormatting sqref="D41">
    <cfRule type="duplicateValues" priority="44"/>
  </conditionalFormatting>
  <conditionalFormatting sqref="D206">
    <cfRule type="duplicateValues" priority="41"/>
  </conditionalFormatting>
  <conditionalFormatting sqref="D207">
    <cfRule type="duplicateValues" priority="40"/>
  </conditionalFormatting>
  <conditionalFormatting sqref="D208">
    <cfRule type="duplicateValues" priority="39"/>
  </conditionalFormatting>
  <conditionalFormatting sqref="D231:E231">
    <cfRule type="duplicateValues" priority="38"/>
  </conditionalFormatting>
  <conditionalFormatting sqref="D209:E228">
    <cfRule type="duplicateValues" priority="37"/>
  </conditionalFormatting>
  <conditionalFormatting sqref="E44">
    <cfRule type="duplicateValues" priority="36"/>
  </conditionalFormatting>
  <conditionalFormatting sqref="D201">
    <cfRule type="duplicateValues" priority="64"/>
  </conditionalFormatting>
  <conditionalFormatting sqref="D229">
    <cfRule type="duplicateValues" priority="31"/>
  </conditionalFormatting>
  <conditionalFormatting sqref="D230">
    <cfRule type="duplicateValues" priority="28"/>
  </conditionalFormatting>
  <conditionalFormatting sqref="D38">
    <cfRule type="duplicateValues" priority="25"/>
  </conditionalFormatting>
  <conditionalFormatting sqref="C213">
    <cfRule type="duplicateValues" priority="24"/>
  </conditionalFormatting>
  <conditionalFormatting sqref="D239">
    <cfRule type="duplicateValues" priority="14"/>
  </conditionalFormatting>
  <conditionalFormatting sqref="D233:D238 D240:D243 D245">
    <cfRule type="duplicateValues" priority="84"/>
  </conditionalFormatting>
  <conditionalFormatting sqref="B213">
    <cfRule type="duplicateValues" priority="9"/>
  </conditionalFormatting>
  <conditionalFormatting sqref="D63:D68">
    <cfRule type="duplicateValues" priority="7"/>
  </conditionalFormatting>
  <conditionalFormatting sqref="D50 D52 D54 D56 D58 D60">
    <cfRule type="duplicateValues" priority="5"/>
  </conditionalFormatting>
  <conditionalFormatting sqref="D51 D53 D55 D57 D59 D61">
    <cfRule type="duplicateValues" priority="4"/>
  </conditionalFormatting>
  <conditionalFormatting sqref="D46">
    <cfRule type="duplicateValues" priority="3"/>
  </conditionalFormatting>
  <conditionalFormatting sqref="D47">
    <cfRule type="duplicateValues" priority="2"/>
  </conditionalFormatting>
  <conditionalFormatting sqref="D69:D196">
    <cfRule type="duplicateValues" priority="1"/>
  </conditionalFormatting>
  <dataValidations count="13">
    <dataValidation type="list" allowBlank="1" showInputMessage="1" showErrorMessage="1" sqref="AD7:AD8 X10:Y14 AC212 AC215 AC25 AC35 Y212 X35:Y35 X25:Y25 X7:AB8 X2:AD5 W2:W260" xr:uid="{00000000-0002-0000-0200-000000000000}">
      <formula1>Funding</formula1>
    </dataValidation>
    <dataValidation type="list" allowBlank="1" showInputMessage="1" showErrorMessage="1" sqref="Y26:Y27 Y22:Y23 Y9 Y34 Y40 Y44:Y45 Y51 Y60 Y67:Y68 Y72 Y74 Y168:Y193 Y82 Y86 Y90 Y92:Y93 Y98 Y100 Y105 Y112 Y118:Y119 Y121:Y123 Y130:Y132 Y135:Y137 Y139:Y140 Y143 Y145:Y146 Y154 Y156:Y158 Y160:Y165 Y197:Y199 Y201:Y204 Y207 Y209:Y211 Y213:Y215 Y148:Y152" xr:uid="{00000000-0002-0000-0200-000001000000}">
      <formula1>Energy</formula1>
    </dataValidation>
    <dataValidation type="list" allowBlank="1" showInputMessage="1" showErrorMessage="1" sqref="X9 X22:X23 X26:X27 X34 X40 X44:X45 X51 X60 X67:X68 X72 X74 X168:X193 X82 X86 X90 X92:X93 X98 X100 X105 X112 X118:X119 X121:X123 X130:X132 X135:X137 X139:X140 X143 X145:X146 X154 X156:X158 X160:X165 X197:X199 X201:X204 X148:X152 X207:X213" xr:uid="{00000000-0002-0000-0200-000002000000}">
      <formula1>Revenue</formula1>
    </dataValidation>
    <dataValidation type="list" allowBlank="1" showInputMessage="1" showErrorMessage="1" sqref="AC40 AC34 AC26:AC27 AC22:AC23 AC6:AC14" xr:uid="{00000000-0002-0000-0200-000003000000}">
      <formula1>MasterPlan</formula1>
    </dataValidation>
    <dataValidation type="list" allowBlank="1" showInputMessage="1" showErrorMessage="1" sqref="O246:O260" xr:uid="{00000000-0002-0000-0200-000004000000}">
      <formula1>"implist"</formula1>
    </dataValidation>
    <dataValidation type="list" allowBlank="1" showInputMessage="1" showErrorMessage="1" sqref="Z9:Z260" xr:uid="{00000000-0002-0000-0200-000005000000}">
      <formula1>Age_Inf</formula1>
    </dataValidation>
    <dataValidation type="list" allowBlank="1" showInputMessage="1" showErrorMessage="1" sqref="AA9:AA260" xr:uid="{00000000-0002-0000-0200-000006000000}">
      <formula1>Com_Need</formula1>
    </dataValidation>
    <dataValidation type="list" allowBlank="1" showInputMessage="1" showErrorMessage="1" sqref="AB9:AB260" xr:uid="{00000000-0002-0000-0200-000007000000}">
      <formula1>Com_Request</formula1>
    </dataValidation>
    <dataValidation type="list" allowBlank="1" showInputMessage="1" showErrorMessage="1" sqref="AD9:AD260" xr:uid="{00000000-0002-0000-0200-000008000000}">
      <formula1>Risk</formula1>
    </dataValidation>
    <dataValidation type="list" allowBlank="1" showInputMessage="1" showErrorMessage="1" sqref="G2:G260" xr:uid="{00000000-0002-0000-0200-000009000000}">
      <formula1>Status</formula1>
    </dataValidation>
    <dataValidation type="list" allowBlank="1" showInputMessage="1" showErrorMessage="1" sqref="S2:S260" xr:uid="{00000000-0002-0000-0200-00000A000000}">
      <formula1>Department_List</formula1>
    </dataValidation>
    <dataValidation type="list" allowBlank="1" showInputMessage="1" showErrorMessage="1" sqref="U2:U260" xr:uid="{00000000-0002-0000-0200-00000B000000}">
      <formula1>Urgency_List</formula1>
    </dataValidation>
    <dataValidation type="list" allowBlank="1" showInputMessage="1" showErrorMessage="1" sqref="AF2:AF260" xr:uid="{00000000-0002-0000-0200-00000C000000}">
      <formula1>ele_pri</formula1>
    </dataValidation>
  </dataValidations>
  <pageMargins left="0.7" right="0.7" top="0.75" bottom="0.75" header="0.3" footer="0.3"/>
  <pageSetup paperSize="3" scale="84" fitToHeight="0" orientation="landscape" r:id="rId1"/>
  <rowBreaks count="10" manualBreakCount="10">
    <brk id="23" max="39" man="1"/>
    <brk id="50" max="39" man="1"/>
    <brk id="83" max="39" man="1"/>
    <brk id="104" max="39" man="1"/>
    <brk id="123" max="39" man="1"/>
    <brk id="143" max="39" man="1"/>
    <brk id="163" max="39" man="1"/>
    <brk id="188" max="39" man="1"/>
    <brk id="196" max="39" man="1"/>
    <brk id="217" max="39" man="1"/>
  </rowBreaks>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D000000}">
          <x14:formula1>
            <xm:f>Database!$U$3:$U$4</xm:f>
          </x14:formula1>
          <xm:sqref>X239 X24 X91 X6 X200 X205:X206 X15:X21 X36:X39 X41:X43 X46:X50 X52:X59 X61:X66 X69:X71 X73 X75:X81 X83:X85 X87:X89 X94:X97 X99 X101:X104 X106:X111 X113:X117 X120 X124:X129 X133:X134 X138 X141:X142 X144 X147 X153 X155 X159 X166:X167 X28:X33 X194:X196</xm:sqref>
        </x14:dataValidation>
        <x14:dataValidation type="list" allowBlank="1" showInputMessage="1" showErrorMessage="1" xr:uid="{00000000-0002-0000-0200-00000E000000}">
          <x14:formula1>
            <xm:f>Database!$U$3:$U$8</xm:f>
          </x14:formula1>
          <xm:sqref>X214:X238 X240:X260</xm:sqref>
        </x14:dataValidation>
        <x14:dataValidation type="list" allowBlank="1" showInputMessage="1" showErrorMessage="1" xr:uid="{00000000-0002-0000-0200-00000F000000}">
          <x14:formula1>
            <xm:f>Database!$U$8:$U$9</xm:f>
          </x14:formula1>
          <xm:sqref>Y6 Y15:Y21 Y24 Y46:Y50 Y52:Y54 Y205 Y28:Y33 Y73 Y75 Y66 Y69 Y63:Y64 Y56:Y59 Y61 Y36:Y39 Y41:Y42 Y77 Y80 Y83:Y85 Y87 Y89 Y94:Y95 Y97 Y101:Y102 Y104 Y106:Y111 Y113:Y116 Y126:Y128 Y133 Y141 Y166 Y216:Y260</xm:sqref>
        </x14:dataValidation>
        <x14:dataValidation type="list" allowBlank="1" showInputMessage="1" showErrorMessage="1" xr:uid="{00000000-0002-0000-0200-000010000000}">
          <x14:formula1>
            <xm:f>Database!$U$14:$U$15</xm:f>
          </x14:formula1>
          <xm:sqref>AA6</xm:sqref>
        </x14:dataValidation>
        <x14:dataValidation type="list" allowBlank="1" showInputMessage="1" showErrorMessage="1" xr:uid="{00000000-0002-0000-0200-000011000000}">
          <x14:formula1>
            <xm:f>Database!$U$8:$U$10</xm:f>
          </x14:formula1>
          <xm:sqref>Y70:Y71 Y65 Y62 Y55 Y43 Y76 Y78:Y79 Y81 Y88 Y91 Y96 Y103 Y117 Y120 Y124:Y125 Y129 Y134 Y138 Y142 Y144 Y147 Y153 Y155 Y159 Y167 Y99 Y200 Y206 Y208 Y194:Y196</xm:sqref>
        </x14:dataValidation>
        <x14:dataValidation type="list" allowBlank="1" showInputMessage="1" showErrorMessage="1" xr:uid="{00000000-0002-0000-0200-000012000000}">
          <x14:formula1>
            <xm:f>Database!$U$13:$U$13</xm:f>
          </x14:formula1>
          <xm:sqref>Z6</xm:sqref>
        </x14:dataValidation>
        <x14:dataValidation type="list" allowBlank="1" showInputMessage="1" showErrorMessage="1" xr:uid="{00000000-0002-0000-0200-000013000000}">
          <x14:formula1>
            <xm:f>Database!$U$16:$U$17</xm:f>
          </x14:formula1>
          <xm:sqref>AB6</xm:sqref>
        </x14:dataValidation>
        <x14:dataValidation type="list" allowBlank="1" showInputMessage="1" showErrorMessage="1" xr:uid="{00000000-0002-0000-0200-000014000000}">
          <x14:formula1>
            <xm:f>Database!$W$11:$W$16</xm:f>
          </x14:formula1>
          <xm:sqref>AC36:AC39 AC213:AC214 AC28:AC33 AC15:AC21 AC24 AC41:AC211 AC216:AC260</xm:sqref>
        </x14:dataValidation>
        <x14:dataValidation type="list" allowBlank="1" showInputMessage="1" showErrorMessage="1" xr:uid="{00000000-0002-0000-0200-000015000000}">
          <x14:formula1>
            <xm:f>Database!$U$24:$U$25</xm:f>
          </x14:formula1>
          <xm:sqref>AD6</xm:sqref>
        </x14:dataValidation>
        <x14:dataValidation type="list" allowBlank="1" showInputMessage="1" showErrorMessage="1" xr:uid="{00000000-0002-0000-0200-000017000000}">
          <x14:formula1>
            <xm:f>Database!$D$3:$D$12</xm:f>
          </x14:formula1>
          <xm:sqref>Q2:Q260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BK207"/>
  <sheetViews>
    <sheetView zoomScaleNormal="100" workbookViewId="0">
      <pane xSplit="5" topLeftCell="F1" activePane="topRight" state="frozen"/>
      <selection pane="topRight" activeCell="F34" sqref="F34"/>
    </sheetView>
  </sheetViews>
  <sheetFormatPr defaultColWidth="9.140625" defaultRowHeight="15" x14ac:dyDescent="0.25"/>
  <cols>
    <col min="1" max="1" width="5" style="198" customWidth="1"/>
    <col min="2" max="2" width="28.140625" style="147" bestFit="1" customWidth="1"/>
    <col min="3" max="3" width="39.7109375" style="156" customWidth="1"/>
    <col min="4" max="4" width="28.5703125" style="156" customWidth="1"/>
    <col min="5" max="5" width="33.42578125" style="3" customWidth="1"/>
    <col min="6" max="6" width="12.28515625" style="3" customWidth="1"/>
    <col min="7" max="8" width="12.42578125" style="3" customWidth="1"/>
    <col min="9" max="9" width="12.85546875" style="3" customWidth="1"/>
    <col min="10" max="10" width="20.42578125" style="3" customWidth="1"/>
    <col min="11" max="12" width="14.28515625" style="3" customWidth="1"/>
    <col min="13" max="13" width="15.85546875" style="143" customWidth="1"/>
    <col min="14" max="14" width="18.85546875" style="159" customWidth="1"/>
    <col min="15" max="15" width="15.140625" style="43" customWidth="1"/>
    <col min="16" max="16" width="24.5703125" style="156" customWidth="1"/>
    <col min="17" max="17" width="14.7109375" style="157" customWidth="1"/>
    <col min="18" max="18" width="15.7109375" style="148" customWidth="1"/>
    <col min="19" max="19" width="14.7109375" style="148" customWidth="1"/>
    <col min="20" max="20" width="12.85546875" style="148" customWidth="1"/>
    <col min="21" max="22" width="14.7109375" style="148" customWidth="1"/>
    <col min="23" max="25" width="14.7109375" style="148" hidden="1" customWidth="1"/>
    <col min="26" max="26" width="16.5703125" style="148" hidden="1" customWidth="1"/>
    <col min="27" max="29" width="14.7109375" style="148" hidden="1" customWidth="1"/>
    <col min="30" max="30" width="13.28515625" style="148" customWidth="1"/>
    <col min="31" max="31" width="14.7109375" style="148" customWidth="1"/>
    <col min="32" max="32" width="18.7109375" style="148" customWidth="1"/>
    <col min="33" max="34" width="13" style="51" customWidth="1"/>
    <col min="35" max="35" width="13.85546875" style="51" customWidth="1"/>
    <col min="36" max="36" width="33" style="9" hidden="1" customWidth="1"/>
    <col min="37" max="37" width="14.28515625" style="48" customWidth="1"/>
    <col min="38" max="63" width="9.140625" style="48"/>
  </cols>
  <sheetData>
    <row r="1" spans="1:63" ht="46.5" customHeight="1" x14ac:dyDescent="0.25">
      <c r="A1" s="198" t="s">
        <v>48</v>
      </c>
      <c r="B1" s="4" t="s">
        <v>49</v>
      </c>
      <c r="C1" s="5" t="s">
        <v>50</v>
      </c>
      <c r="D1" s="5" t="s">
        <v>51</v>
      </c>
      <c r="E1" s="5" t="s">
        <v>52</v>
      </c>
      <c r="F1" s="5" t="s">
        <v>53</v>
      </c>
      <c r="G1" s="5" t="s">
        <v>645</v>
      </c>
      <c r="H1" s="139" t="s">
        <v>736</v>
      </c>
      <c r="I1" s="139" t="s">
        <v>730</v>
      </c>
      <c r="J1" s="139" t="s">
        <v>741</v>
      </c>
      <c r="K1" s="139" t="s">
        <v>738</v>
      </c>
      <c r="L1" s="139" t="s">
        <v>739</v>
      </c>
      <c r="M1" s="139" t="s">
        <v>737</v>
      </c>
      <c r="N1" s="6" t="s">
        <v>731</v>
      </c>
      <c r="O1" s="6" t="s">
        <v>55</v>
      </c>
      <c r="P1" s="4" t="s">
        <v>26</v>
      </c>
      <c r="Q1" s="81" t="s">
        <v>56</v>
      </c>
      <c r="R1" s="4" t="s">
        <v>27</v>
      </c>
      <c r="S1" s="4" t="s">
        <v>57</v>
      </c>
      <c r="T1" s="4" t="s">
        <v>28</v>
      </c>
      <c r="U1" s="7" t="s">
        <v>58</v>
      </c>
      <c r="V1" s="7" t="s">
        <v>23</v>
      </c>
      <c r="W1" s="4" t="s">
        <v>938</v>
      </c>
      <c r="X1" s="4" t="s">
        <v>707</v>
      </c>
      <c r="Y1" s="4" t="s">
        <v>706</v>
      </c>
      <c r="Z1" s="4" t="s">
        <v>939</v>
      </c>
      <c r="AA1" s="4" t="s">
        <v>705</v>
      </c>
      <c r="AB1" s="4" t="s">
        <v>940</v>
      </c>
      <c r="AC1" s="4" t="s">
        <v>708</v>
      </c>
      <c r="AD1" s="4" t="s">
        <v>24</v>
      </c>
      <c r="AE1" s="148" t="s">
        <v>25</v>
      </c>
      <c r="AF1" s="7" t="s">
        <v>685</v>
      </c>
      <c r="AG1" s="138" t="s">
        <v>714</v>
      </c>
      <c r="AH1" s="138" t="s">
        <v>929</v>
      </c>
      <c r="AI1" s="138" t="s">
        <v>930</v>
      </c>
      <c r="AJ1" s="137" t="s">
        <v>680</v>
      </c>
    </row>
    <row r="2" spans="1:63" s="141" customFormat="1" ht="75" x14ac:dyDescent="0.25">
      <c r="A2" s="198" t="s">
        <v>749</v>
      </c>
      <c r="B2" s="181" t="s">
        <v>61</v>
      </c>
      <c r="C2" s="181" t="s">
        <v>116</v>
      </c>
      <c r="D2" s="181" t="s">
        <v>955</v>
      </c>
      <c r="E2" s="181" t="s">
        <v>690</v>
      </c>
      <c r="F2" s="181" t="s">
        <v>720</v>
      </c>
      <c r="G2" s="181">
        <f t="shared" ref="G2:G65" si="0">VLOOKUP(F2,Status_Score,2,FALSE)</f>
        <v>-200</v>
      </c>
      <c r="H2" s="182"/>
      <c r="I2" s="182"/>
      <c r="J2" s="182">
        <f>Master2017[[#This Row],[Initial Budget]]-Master2017[[#This Row],[Previously Committed Funds]]</f>
        <v>0</v>
      </c>
      <c r="K2" s="182"/>
      <c r="L2" s="182"/>
      <c r="M2" s="188">
        <f>Master2017[[#This Row],[Design $ (Add/Deduct)]]+Master2017[[#This Row],[Construction $ (Add/Ded)]]</f>
        <v>0</v>
      </c>
      <c r="N2" s="186">
        <v>750000</v>
      </c>
      <c r="O2" s="187">
        <v>2018</v>
      </c>
      <c r="P2" s="181" t="s">
        <v>32</v>
      </c>
      <c r="Q2" s="187">
        <f>VLOOKUP(P2,Importance,2,FALSE)</f>
        <v>1</v>
      </c>
      <c r="R2" s="185">
        <v>2</v>
      </c>
      <c r="S2" s="185">
        <f t="shared" ref="S2:S23" si="1">VLOOKUP(R2,Department,2,FALSE)</f>
        <v>6</v>
      </c>
      <c r="T2" s="185" t="s">
        <v>41</v>
      </c>
      <c r="U2" s="185">
        <f>VLOOKUP(T2,Urgency,2,FALSE)</f>
        <v>4</v>
      </c>
      <c r="V2" s="185" t="s">
        <v>30</v>
      </c>
      <c r="W2" s="185">
        <v>0</v>
      </c>
      <c r="X2" s="185">
        <v>0</v>
      </c>
      <c r="Y2" s="185">
        <v>0</v>
      </c>
      <c r="Z2" s="185">
        <v>0</v>
      </c>
      <c r="AA2" s="185">
        <v>0</v>
      </c>
      <c r="AB2" s="185">
        <v>0</v>
      </c>
      <c r="AC2" s="185">
        <v>0</v>
      </c>
      <c r="AD2" s="183" t="s">
        <v>29</v>
      </c>
      <c r="AE2" s="187">
        <f>VLOOKUP(Master2017[[#This Row],[Elevated Priority]],Epriority,2,)</f>
        <v>0</v>
      </c>
      <c r="AF2" s="185">
        <f>IF(Master2017[[#This Row],[Status]]="Active",Master2017[[#This Row],[Status_Score]],IF(C2="","",Q2+G2+S2+U2+AE2-5))</f>
        <v>-194</v>
      </c>
      <c r="AG2" s="185"/>
      <c r="AH2" s="185">
        <v>2020</v>
      </c>
      <c r="AI2" s="185">
        <v>2021</v>
      </c>
      <c r="AJ2" s="156"/>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row>
    <row r="3" spans="1:63" s="141" customFormat="1" ht="30" x14ac:dyDescent="0.25">
      <c r="A3" s="198" t="s">
        <v>750</v>
      </c>
      <c r="B3" s="181" t="s">
        <v>70</v>
      </c>
      <c r="C3" s="181" t="s">
        <v>744</v>
      </c>
      <c r="D3" s="181" t="s">
        <v>856</v>
      </c>
      <c r="E3" s="181" t="s">
        <v>857</v>
      </c>
      <c r="F3" s="181" t="s">
        <v>720</v>
      </c>
      <c r="G3" s="181">
        <f t="shared" si="0"/>
        <v>-200</v>
      </c>
      <c r="H3" s="182">
        <v>1513007</v>
      </c>
      <c r="I3" s="182"/>
      <c r="J3" s="182">
        <f>Master2017[[#This Row],[Initial Budget]]-Master2017[[#This Row],[Previously Committed Funds]]</f>
        <v>1513007</v>
      </c>
      <c r="K3" s="182"/>
      <c r="L3" s="182"/>
      <c r="M3" s="188">
        <f>Master2017[[#This Row],[Design $ (Add/Deduct)]]+Master2017[[#This Row],[Construction $ (Add/Ded)]]</f>
        <v>0</v>
      </c>
      <c r="N3" s="266">
        <v>2500000</v>
      </c>
      <c r="O3" s="187">
        <v>2018</v>
      </c>
      <c r="P3" s="181" t="s">
        <v>29</v>
      </c>
      <c r="Q3" s="187">
        <f>VLOOKUP(P3,Importance, 2, FALSE)</f>
        <v>0</v>
      </c>
      <c r="R3" s="265" t="s">
        <v>29</v>
      </c>
      <c r="S3" s="185">
        <f t="shared" si="1"/>
        <v>0</v>
      </c>
      <c r="T3" s="265" t="s">
        <v>29</v>
      </c>
      <c r="U3" s="185">
        <f>VLOOKUP(T3,Urgency,2,FALSE)</f>
        <v>0</v>
      </c>
      <c r="V3" s="185" t="s">
        <v>38</v>
      </c>
      <c r="W3" s="185"/>
      <c r="X3" s="185"/>
      <c r="Y3" s="185"/>
      <c r="Z3" s="185"/>
      <c r="AA3" s="185"/>
      <c r="AB3" s="185"/>
      <c r="AC3" s="185"/>
      <c r="AD3" s="183" t="s">
        <v>29</v>
      </c>
      <c r="AE3" s="187">
        <f>VLOOKUP(Master2017[[#This Row],[Elevated Priority]],Epriority,2,)</f>
        <v>0</v>
      </c>
      <c r="AF3" s="185">
        <f>IF(Master2017[[#This Row],[Status]]="Active",Master2017[[#This Row],[Status_Score]],IF(C3="","",Q3+G3+S3+U3+AE3-5))</f>
        <v>-205</v>
      </c>
      <c r="AG3" s="185" t="s">
        <v>716</v>
      </c>
      <c r="AH3" s="185">
        <v>2017</v>
      </c>
      <c r="AI3" s="185">
        <v>2021</v>
      </c>
      <c r="AJ3" s="262"/>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row>
    <row r="4" spans="1:63" s="141" customFormat="1" ht="75" x14ac:dyDescent="0.25">
      <c r="A4" s="198" t="s">
        <v>751</v>
      </c>
      <c r="B4" s="181" t="s">
        <v>70</v>
      </c>
      <c r="C4" s="181" t="s">
        <v>10</v>
      </c>
      <c r="D4" s="181" t="s">
        <v>851</v>
      </c>
      <c r="E4" s="181" t="s">
        <v>852</v>
      </c>
      <c r="F4" s="181" t="s">
        <v>719</v>
      </c>
      <c r="G4" s="181">
        <f t="shared" si="0"/>
        <v>-150</v>
      </c>
      <c r="H4" s="182">
        <v>2000000</v>
      </c>
      <c r="I4" s="182">
        <v>0</v>
      </c>
      <c r="J4" s="182">
        <f>Master2017[[#This Row],[Initial Budget]]-Master2017[[#This Row],[Previously Committed Funds]]</f>
        <v>2000000</v>
      </c>
      <c r="K4" s="182">
        <v>0</v>
      </c>
      <c r="L4" s="182">
        <v>0</v>
      </c>
      <c r="M4" s="188">
        <f>Master2017[[#This Row],[Design $ (Add/Deduct)]]+Master2017[[#This Row],[Construction $ (Add/Ded)]]</f>
        <v>0</v>
      </c>
      <c r="N4" s="186">
        <v>2000000</v>
      </c>
      <c r="O4" s="187">
        <v>2018</v>
      </c>
      <c r="P4" s="181" t="s">
        <v>29</v>
      </c>
      <c r="Q4" s="187">
        <f>VLOOKUP(P4,Importance, 2, FALSE)</f>
        <v>0</v>
      </c>
      <c r="R4" s="185" t="s">
        <v>29</v>
      </c>
      <c r="S4" s="185">
        <f t="shared" si="1"/>
        <v>0</v>
      </c>
      <c r="T4" s="185" t="s">
        <v>29</v>
      </c>
      <c r="U4" s="185">
        <f>VLOOKUP(T4,Urgency,2,FALSE)</f>
        <v>0</v>
      </c>
      <c r="V4" s="185" t="s">
        <v>38</v>
      </c>
      <c r="W4" s="185"/>
      <c r="X4" s="185"/>
      <c r="Y4" s="185"/>
      <c r="Z4" s="185"/>
      <c r="AA4" s="185"/>
      <c r="AB4" s="185"/>
      <c r="AC4" s="185"/>
      <c r="AD4" s="183" t="s">
        <v>29</v>
      </c>
      <c r="AE4" s="187">
        <f>VLOOKUP(Master2017[[#This Row],[Elevated Priority]],Epriority,2,)</f>
        <v>0</v>
      </c>
      <c r="AF4" s="185">
        <f>IF(Master2017[[#This Row],[Status]]="Active",Master2017[[#This Row],[Status_Score]],IF(C4="","",Q4+G4+S4+U4+AE4-5))</f>
        <v>-155</v>
      </c>
      <c r="AG4" s="185" t="s">
        <v>757</v>
      </c>
      <c r="AH4" s="185">
        <v>2019</v>
      </c>
      <c r="AI4" s="185">
        <v>2021</v>
      </c>
      <c r="AJ4" s="181"/>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row>
    <row r="5" spans="1:63" s="141" customFormat="1" ht="30" x14ac:dyDescent="0.25">
      <c r="A5" s="198" t="s">
        <v>752</v>
      </c>
      <c r="B5" s="181" t="s">
        <v>725</v>
      </c>
      <c r="C5" s="181" t="s">
        <v>712</v>
      </c>
      <c r="D5" s="181" t="s">
        <v>815</v>
      </c>
      <c r="E5" s="181" t="s">
        <v>853</v>
      </c>
      <c r="F5" s="181" t="s">
        <v>719</v>
      </c>
      <c r="G5" s="196">
        <f t="shared" si="0"/>
        <v>-150</v>
      </c>
      <c r="H5" s="182">
        <v>0</v>
      </c>
      <c r="I5" s="182"/>
      <c r="J5" s="182">
        <f>Master2017[[#This Row],[Initial Budget]]-Master2017[[#This Row],[Previously Committed Funds]]</f>
        <v>0</v>
      </c>
      <c r="K5" s="182"/>
      <c r="L5" s="182">
        <v>150000</v>
      </c>
      <c r="M5" s="188">
        <f>Master2017[[#This Row],[Design $ (Add/Deduct)]]+Master2017[[#This Row],[Construction $ (Add/Ded)]]</f>
        <v>150000</v>
      </c>
      <c r="N5" s="182">
        <f>Master2017[[#This Row],[Total Add]]+Master2017[[#This Row],[Current Available Balance]]+Master2017[[#This Row],[Previously Committed Funds]]</f>
        <v>150000</v>
      </c>
      <c r="O5" s="187">
        <v>2019</v>
      </c>
      <c r="P5" s="181" t="s">
        <v>29</v>
      </c>
      <c r="Q5" s="187">
        <f t="shared" ref="Q5:Q23" si="2">VLOOKUP(P5,Importance,2,FALSE)</f>
        <v>0</v>
      </c>
      <c r="R5" s="185">
        <v>1</v>
      </c>
      <c r="S5" s="185">
        <f t="shared" si="1"/>
        <v>3</v>
      </c>
      <c r="T5" s="185" t="s">
        <v>37</v>
      </c>
      <c r="U5" s="185"/>
      <c r="V5" s="185" t="s">
        <v>30</v>
      </c>
      <c r="W5" s="185">
        <v>0</v>
      </c>
      <c r="X5" s="185">
        <v>0</v>
      </c>
      <c r="Y5" s="185">
        <v>0</v>
      </c>
      <c r="Z5" s="185">
        <v>0</v>
      </c>
      <c r="AA5" s="185">
        <v>0</v>
      </c>
      <c r="AB5" s="185">
        <v>0</v>
      </c>
      <c r="AC5" s="185">
        <v>0</v>
      </c>
      <c r="AD5" s="183" t="s">
        <v>29</v>
      </c>
      <c r="AE5" s="187">
        <f>VLOOKUP(Master2017[[#This Row],[Elevated Priority]],Epriority,2,)</f>
        <v>0</v>
      </c>
      <c r="AF5" s="185">
        <f>IF(Master2017[[#This Row],[Status]]="Active",Master2017[[#This Row],[Status_Score]],IF(C5="","",Q5+G5+S5+U5+AE5-5))</f>
        <v>-152</v>
      </c>
      <c r="AG5" s="185" t="s">
        <v>716</v>
      </c>
      <c r="AH5" s="185">
        <v>2019</v>
      </c>
      <c r="AI5" s="185">
        <v>2020</v>
      </c>
      <c r="AJ5" s="181"/>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row>
    <row r="6" spans="1:63" s="141" customFormat="1" ht="45" x14ac:dyDescent="0.25">
      <c r="A6" s="198">
        <v>2</v>
      </c>
      <c r="B6" s="236" t="s">
        <v>220</v>
      </c>
      <c r="C6" s="251" t="s">
        <v>827</v>
      </c>
      <c r="D6" s="251" t="s">
        <v>828</v>
      </c>
      <c r="E6" s="261" t="s">
        <v>861</v>
      </c>
      <c r="F6" s="236" t="s">
        <v>719</v>
      </c>
      <c r="G6" s="236">
        <f t="shared" si="0"/>
        <v>-150</v>
      </c>
      <c r="H6" s="249"/>
      <c r="I6" s="249"/>
      <c r="J6" s="249">
        <f>Master2017[[#This Row],[Initial Budget]]-Master2017[[#This Row],[Previously Committed Funds]]</f>
        <v>0</v>
      </c>
      <c r="K6" s="249"/>
      <c r="L6" s="249"/>
      <c r="M6" s="258">
        <f>Master2017[[#This Row],[Design $ (Add/Deduct)]]+Master2017[[#This Row],[Construction $ (Add/Ded)]]</f>
        <v>0</v>
      </c>
      <c r="N6" s="256">
        <v>250000</v>
      </c>
      <c r="O6" s="237">
        <v>2020</v>
      </c>
      <c r="P6" s="236" t="s">
        <v>32</v>
      </c>
      <c r="Q6" s="237">
        <f t="shared" si="2"/>
        <v>1</v>
      </c>
      <c r="R6" s="238">
        <v>1</v>
      </c>
      <c r="S6" s="235">
        <f t="shared" si="1"/>
        <v>3</v>
      </c>
      <c r="T6" s="238" t="s">
        <v>33</v>
      </c>
      <c r="U6" s="238">
        <f t="shared" ref="U6:U19" si="3">VLOOKUP(T6,Urgency,2,FALSE)</f>
        <v>1</v>
      </c>
      <c r="V6" s="238" t="s">
        <v>30</v>
      </c>
      <c r="W6" s="238">
        <v>0</v>
      </c>
      <c r="X6" s="238">
        <v>0</v>
      </c>
      <c r="Y6" s="238">
        <v>0</v>
      </c>
      <c r="Z6" s="238">
        <v>0</v>
      </c>
      <c r="AA6" s="238">
        <v>0</v>
      </c>
      <c r="AB6" s="238">
        <v>0</v>
      </c>
      <c r="AC6" s="238">
        <v>0</v>
      </c>
      <c r="AD6" s="239" t="s">
        <v>29</v>
      </c>
      <c r="AE6" s="244">
        <f>VLOOKUP(Master2017[[#This Row],[Elevated Priority]],Epriority,2,)</f>
        <v>0</v>
      </c>
      <c r="AF6" s="238">
        <f>IF(Master2017[[#This Row],[Status]]="Active",Master2017[[#This Row],[Status_Score]],IF(C6="","",Q6+G6+S6+U6+AE6-5))</f>
        <v>-150</v>
      </c>
      <c r="AG6" s="235"/>
      <c r="AH6" s="235">
        <v>2020</v>
      </c>
      <c r="AI6" s="235">
        <v>2021</v>
      </c>
      <c r="AJ6" s="243"/>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7" spans="1:63" s="141" customFormat="1" ht="390" x14ac:dyDescent="0.25">
      <c r="A7" s="198">
        <v>3</v>
      </c>
      <c r="B7" s="262" t="s">
        <v>152</v>
      </c>
      <c r="C7" s="181" t="s">
        <v>185</v>
      </c>
      <c r="D7" s="181" t="s">
        <v>781</v>
      </c>
      <c r="E7" s="181" t="s">
        <v>782</v>
      </c>
      <c r="F7" s="181" t="s">
        <v>598</v>
      </c>
      <c r="G7" s="181">
        <f t="shared" si="0"/>
        <v>-100</v>
      </c>
      <c r="H7" s="182">
        <v>0</v>
      </c>
      <c r="I7" s="182">
        <v>0</v>
      </c>
      <c r="J7" s="182">
        <f>Master2017[[#This Row],[Initial Budget]]-Master2017[[#This Row],[Previously Committed Funds]]</f>
        <v>0</v>
      </c>
      <c r="K7" s="182">
        <v>0</v>
      </c>
      <c r="L7" s="182">
        <v>0</v>
      </c>
      <c r="M7" s="188">
        <v>250000</v>
      </c>
      <c r="N7" s="263">
        <f>Master2017[[#This Row],[Total Add]]+Master2017[[#This Row],[Current Available Balance]]+Master2017[[#This Row],[Previously Committed Funds]]</f>
        <v>250000</v>
      </c>
      <c r="O7" s="187">
        <v>2018</v>
      </c>
      <c r="P7" s="181" t="s">
        <v>688</v>
      </c>
      <c r="Q7" s="187">
        <f t="shared" si="2"/>
        <v>20</v>
      </c>
      <c r="R7" s="185">
        <v>1</v>
      </c>
      <c r="S7" s="185">
        <f t="shared" si="1"/>
        <v>3</v>
      </c>
      <c r="T7" s="185" t="s">
        <v>37</v>
      </c>
      <c r="U7" s="185">
        <f t="shared" si="3"/>
        <v>3</v>
      </c>
      <c r="V7" s="185" t="s">
        <v>30</v>
      </c>
      <c r="W7" s="238">
        <v>0</v>
      </c>
      <c r="X7" s="185">
        <v>0</v>
      </c>
      <c r="Y7" s="185">
        <v>0</v>
      </c>
      <c r="Z7" s="185">
        <v>0</v>
      </c>
      <c r="AA7" s="185">
        <v>0</v>
      </c>
      <c r="AB7" s="185">
        <v>0</v>
      </c>
      <c r="AC7" s="185">
        <v>0</v>
      </c>
      <c r="AD7" s="183" t="s">
        <v>29</v>
      </c>
      <c r="AE7" s="187">
        <f>VLOOKUP(Master2017[[#This Row],[Elevated Priority]],Epriority,2,)</f>
        <v>0</v>
      </c>
      <c r="AF7" s="185">
        <f>IF(Master2017[[#This Row],[Status]]="Active",Master2017[[#This Row],[Status_Score]],IF(C7="","",Q7+G7+S7+U7+AE7-5))</f>
        <v>-100</v>
      </c>
      <c r="AG7" s="185" t="s">
        <v>718</v>
      </c>
      <c r="AH7" s="185">
        <v>2017</v>
      </c>
      <c r="AI7" s="185">
        <v>2020</v>
      </c>
      <c r="AJ7" s="181" t="s">
        <v>710</v>
      </c>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row>
    <row r="8" spans="1:63" s="141" customFormat="1" ht="30" x14ac:dyDescent="0.25">
      <c r="A8" s="198">
        <v>4</v>
      </c>
      <c r="B8" s="181" t="s">
        <v>79</v>
      </c>
      <c r="C8" s="181" t="s">
        <v>113</v>
      </c>
      <c r="D8" s="181" t="s">
        <v>114</v>
      </c>
      <c r="E8" s="181" t="s">
        <v>115</v>
      </c>
      <c r="F8" s="181" t="s">
        <v>598</v>
      </c>
      <c r="G8" s="262">
        <f t="shared" si="0"/>
        <v>-100</v>
      </c>
      <c r="H8" s="182"/>
      <c r="I8" s="182"/>
      <c r="J8" s="182">
        <f>Master2017[[#This Row],[Initial Budget]]-Master2017[[#This Row],[Previously Committed Funds]]</f>
        <v>0</v>
      </c>
      <c r="K8" s="182"/>
      <c r="L8" s="182"/>
      <c r="M8" s="188">
        <f>Master2017[[#This Row],[Design $ (Add/Deduct)]]+Master2017[[#This Row],[Construction $ (Add/Ded)]]</f>
        <v>0</v>
      </c>
      <c r="N8" s="186">
        <v>25000</v>
      </c>
      <c r="O8" s="187">
        <v>2018</v>
      </c>
      <c r="P8" s="181" t="s">
        <v>32</v>
      </c>
      <c r="Q8" s="187">
        <f t="shared" si="2"/>
        <v>1</v>
      </c>
      <c r="R8" s="185">
        <v>2</v>
      </c>
      <c r="S8" s="185">
        <f t="shared" si="1"/>
        <v>6</v>
      </c>
      <c r="T8" s="185" t="s">
        <v>41</v>
      </c>
      <c r="U8" s="185">
        <f t="shared" si="3"/>
        <v>4</v>
      </c>
      <c r="V8" s="185" t="s">
        <v>30</v>
      </c>
      <c r="W8" s="238">
        <v>0</v>
      </c>
      <c r="X8" s="185">
        <v>0</v>
      </c>
      <c r="Y8" s="185">
        <v>0</v>
      </c>
      <c r="Z8" s="185">
        <v>0</v>
      </c>
      <c r="AA8" s="185">
        <v>0</v>
      </c>
      <c r="AB8" s="185">
        <v>0</v>
      </c>
      <c r="AC8" s="185">
        <v>0</v>
      </c>
      <c r="AD8" s="183" t="s">
        <v>29</v>
      </c>
      <c r="AE8" s="187">
        <f>VLOOKUP(Master2017[[#This Row],[Elevated Priority]],Epriority,2,)</f>
        <v>0</v>
      </c>
      <c r="AF8" s="185">
        <f>IF(Master2017[[#This Row],[Status]]="Active",Master2017[[#This Row],[Status_Score]],IF(C8="","",Q8+G8+S8+U8+AE8-5))</f>
        <v>-100</v>
      </c>
      <c r="AG8" s="185"/>
      <c r="AH8" s="185"/>
      <c r="AI8" s="185">
        <v>2020</v>
      </c>
      <c r="AJ8" s="262" t="s">
        <v>723</v>
      </c>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row>
    <row r="9" spans="1:63" s="141" customFormat="1" ht="60" x14ac:dyDescent="0.25">
      <c r="A9" s="198" t="s">
        <v>755</v>
      </c>
      <c r="B9" s="181" t="s">
        <v>70</v>
      </c>
      <c r="C9" s="181" t="s">
        <v>288</v>
      </c>
      <c r="D9" s="181" t="s">
        <v>289</v>
      </c>
      <c r="E9" s="181" t="s">
        <v>290</v>
      </c>
      <c r="F9" s="181" t="s">
        <v>598</v>
      </c>
      <c r="G9" s="271">
        <f t="shared" si="0"/>
        <v>-100</v>
      </c>
      <c r="H9" s="182"/>
      <c r="I9" s="182"/>
      <c r="J9" s="182">
        <f>Master2017[[#This Row],[Initial Budget]]-Master2017[[#This Row],[Previously Committed Funds]]</f>
        <v>0</v>
      </c>
      <c r="K9" s="182"/>
      <c r="L9" s="182"/>
      <c r="M9" s="188">
        <f>Master2017[[#This Row],[Design $ (Add/Deduct)]]+Master2017[[#This Row],[Construction $ (Add/Ded)]]</f>
        <v>0</v>
      </c>
      <c r="N9" s="186">
        <v>40000</v>
      </c>
      <c r="O9" s="187">
        <v>2018</v>
      </c>
      <c r="P9" s="181" t="s">
        <v>687</v>
      </c>
      <c r="Q9" s="187">
        <f t="shared" si="2"/>
        <v>30</v>
      </c>
      <c r="R9" s="265">
        <v>4</v>
      </c>
      <c r="S9" s="185">
        <f t="shared" si="1"/>
        <v>12</v>
      </c>
      <c r="T9" s="265" t="s">
        <v>41</v>
      </c>
      <c r="U9" s="185">
        <f t="shared" si="3"/>
        <v>4</v>
      </c>
      <c r="V9" s="185" t="s">
        <v>30</v>
      </c>
      <c r="W9" s="185">
        <v>0</v>
      </c>
      <c r="X9" s="185">
        <v>0</v>
      </c>
      <c r="Y9" s="185">
        <v>0</v>
      </c>
      <c r="Z9" s="185">
        <v>0</v>
      </c>
      <c r="AA9" s="185">
        <v>0</v>
      </c>
      <c r="AB9" s="185">
        <v>0</v>
      </c>
      <c r="AC9" s="185">
        <v>0</v>
      </c>
      <c r="AD9" s="183" t="s">
        <v>29</v>
      </c>
      <c r="AE9" s="187">
        <f>VLOOKUP(Master2017[[#This Row],[Elevated Priority]],Epriority,2,)</f>
        <v>0</v>
      </c>
      <c r="AF9" s="265">
        <f>IF(Master2017[[#This Row],[Status]]="Active",Master2017[[#This Row],[Status_Score]],IF(C9="","",Q9+G9+S9+U9+AE9-5))</f>
        <v>-100</v>
      </c>
      <c r="AG9" s="185"/>
      <c r="AH9" s="185">
        <v>2020</v>
      </c>
      <c r="AI9" s="185"/>
      <c r="AJ9" s="262"/>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row>
    <row r="10" spans="1:63" s="141" customFormat="1" ht="30" x14ac:dyDescent="0.25">
      <c r="A10" s="198" t="s">
        <v>756</v>
      </c>
      <c r="B10" s="181" t="s">
        <v>65</v>
      </c>
      <c r="C10" s="181" t="s">
        <v>963</v>
      </c>
      <c r="D10" s="181" t="s">
        <v>964</v>
      </c>
      <c r="E10" s="181" t="s">
        <v>965</v>
      </c>
      <c r="F10" s="181" t="s">
        <v>598</v>
      </c>
      <c r="G10" s="272">
        <f t="shared" si="0"/>
        <v>-100</v>
      </c>
      <c r="H10" s="182"/>
      <c r="I10" s="182"/>
      <c r="J10" s="182">
        <f>Master2017[[#This Row],[Initial Budget]]-Master2017[[#This Row],[Previously Committed Funds]]</f>
        <v>0</v>
      </c>
      <c r="K10" s="182"/>
      <c r="L10" s="182"/>
      <c r="M10" s="188">
        <f>Master2017[[#This Row],[Design $ (Add/Deduct)]]+Master2017[[#This Row],[Construction $ (Add/Ded)]]</f>
        <v>0</v>
      </c>
      <c r="N10" s="223">
        <v>750000</v>
      </c>
      <c r="O10" s="187">
        <v>2019</v>
      </c>
      <c r="P10" s="181" t="s">
        <v>36</v>
      </c>
      <c r="Q10" s="187">
        <f t="shared" si="2"/>
        <v>10</v>
      </c>
      <c r="R10" s="185">
        <v>1</v>
      </c>
      <c r="S10" s="185">
        <f t="shared" si="1"/>
        <v>3</v>
      </c>
      <c r="T10" s="264" t="s">
        <v>33</v>
      </c>
      <c r="U10" s="185">
        <f t="shared" si="3"/>
        <v>1</v>
      </c>
      <c r="V10" s="185" t="s">
        <v>30</v>
      </c>
      <c r="W10" s="185">
        <v>0</v>
      </c>
      <c r="X10" s="185">
        <v>0</v>
      </c>
      <c r="Y10" s="185">
        <v>0</v>
      </c>
      <c r="Z10" s="185">
        <v>0</v>
      </c>
      <c r="AA10" s="185">
        <v>0</v>
      </c>
      <c r="AB10" s="185">
        <v>0</v>
      </c>
      <c r="AC10" s="185">
        <v>0</v>
      </c>
      <c r="AD10" s="183" t="s">
        <v>39</v>
      </c>
      <c r="AE10" s="187">
        <f>VLOOKUP(Master2017[[#This Row],[Elevated Priority]],Epriority,2,)</f>
        <v>-30</v>
      </c>
      <c r="AF10" s="267">
        <f>IF(Master2017[[#This Row],[Status]]="Active",Master2017[[#This Row],[Status_Score]],IF(C10="","",Q10+G10+S10+U10+AE10-5))</f>
        <v>-100</v>
      </c>
      <c r="AG10" s="185"/>
      <c r="AH10" s="185">
        <v>2019</v>
      </c>
      <c r="AI10" s="185">
        <v>2020</v>
      </c>
      <c r="AJ10" s="262"/>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row>
    <row r="11" spans="1:63" s="141" customFormat="1" ht="60" x14ac:dyDescent="0.25">
      <c r="A11" s="198">
        <v>6</v>
      </c>
      <c r="B11" s="181" t="s">
        <v>65</v>
      </c>
      <c r="C11" s="181" t="s">
        <v>959</v>
      </c>
      <c r="D11" s="181" t="s">
        <v>949</v>
      </c>
      <c r="E11" s="181" t="s">
        <v>950</v>
      </c>
      <c r="F11" s="181" t="s">
        <v>598</v>
      </c>
      <c r="G11" s="196">
        <f t="shared" si="0"/>
        <v>-100</v>
      </c>
      <c r="H11" s="182"/>
      <c r="I11" s="182"/>
      <c r="J11" s="182">
        <f>Master2017[[#This Row],[Initial Budget]]-Master2017[[#This Row],[Previously Committed Funds]]</f>
        <v>0</v>
      </c>
      <c r="K11" s="182"/>
      <c r="L11" s="182"/>
      <c r="M11" s="188">
        <f>Master2017[[#This Row],[Design $ (Add/Deduct)]]+Master2017[[#This Row],[Construction $ (Add/Ded)]]</f>
        <v>0</v>
      </c>
      <c r="N11" s="186">
        <v>50000</v>
      </c>
      <c r="O11" s="187">
        <v>2020</v>
      </c>
      <c r="P11" s="181" t="s">
        <v>830</v>
      </c>
      <c r="Q11" s="187">
        <f t="shared" si="2"/>
        <v>10</v>
      </c>
      <c r="R11" s="185">
        <v>1</v>
      </c>
      <c r="S11" s="185">
        <f t="shared" si="1"/>
        <v>3</v>
      </c>
      <c r="T11" s="185" t="s">
        <v>37</v>
      </c>
      <c r="U11" s="185">
        <f t="shared" si="3"/>
        <v>3</v>
      </c>
      <c r="V11" s="185" t="s">
        <v>30</v>
      </c>
      <c r="W11" s="185">
        <v>0</v>
      </c>
      <c r="X11" s="185">
        <v>0</v>
      </c>
      <c r="Y11" s="185">
        <v>0</v>
      </c>
      <c r="Z11" s="185">
        <v>0</v>
      </c>
      <c r="AA11" s="185">
        <v>0</v>
      </c>
      <c r="AB11" s="185">
        <v>0</v>
      </c>
      <c r="AC11" s="185">
        <v>0</v>
      </c>
      <c r="AD11" s="183" t="s">
        <v>29</v>
      </c>
      <c r="AE11" s="187">
        <f>VLOOKUP(Master2017[[#This Row],[Elevated Priority]],Epriority,2,)</f>
        <v>0</v>
      </c>
      <c r="AF11" s="185">
        <f>IF(Master2017[[#This Row],[Status]]="Active",Master2017[[#This Row],[Status_Score]],IF(C11="","",Q11+G11+S11+U11+AE11-5))</f>
        <v>-100</v>
      </c>
      <c r="AG11" s="185"/>
      <c r="AH11" s="185">
        <v>2020</v>
      </c>
      <c r="AI11" s="185">
        <v>2021</v>
      </c>
      <c r="AJ11" s="262"/>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row>
    <row r="12" spans="1:63" ht="45" x14ac:dyDescent="0.25">
      <c r="A12" s="198">
        <v>7</v>
      </c>
      <c r="B12" s="181" t="s">
        <v>65</v>
      </c>
      <c r="C12" s="181" t="s">
        <v>977</v>
      </c>
      <c r="D12" s="181" t="s">
        <v>161</v>
      </c>
      <c r="E12" s="181" t="s">
        <v>162</v>
      </c>
      <c r="F12" s="181" t="s">
        <v>598</v>
      </c>
      <c r="G12" s="181">
        <f t="shared" si="0"/>
        <v>-100</v>
      </c>
      <c r="H12" s="182"/>
      <c r="I12" s="182"/>
      <c r="J12" s="182">
        <f>Master2017[[#This Row],[Initial Budget]]-Master2017[[#This Row],[Previously Committed Funds]]</f>
        <v>0</v>
      </c>
      <c r="K12" s="182"/>
      <c r="L12" s="182"/>
      <c r="M12" s="188">
        <f>Master2017[[#This Row],[Design $ (Add/Deduct)]]+Master2017[[#This Row],[Construction $ (Add/Ded)]]</f>
        <v>0</v>
      </c>
      <c r="N12" s="186">
        <v>90000</v>
      </c>
      <c r="O12" s="187">
        <v>2018</v>
      </c>
      <c r="P12" s="181" t="s">
        <v>36</v>
      </c>
      <c r="Q12" s="187">
        <f t="shared" si="2"/>
        <v>10</v>
      </c>
      <c r="R12" s="185">
        <v>1</v>
      </c>
      <c r="S12" s="185">
        <f t="shared" si="1"/>
        <v>3</v>
      </c>
      <c r="T12" s="185" t="s">
        <v>41</v>
      </c>
      <c r="U12" s="185">
        <f t="shared" si="3"/>
        <v>4</v>
      </c>
      <c r="V12" s="185" t="s">
        <v>30</v>
      </c>
      <c r="W12" s="238">
        <v>0</v>
      </c>
      <c r="X12" s="238">
        <v>0</v>
      </c>
      <c r="Y12" s="238">
        <v>0</v>
      </c>
      <c r="Z12" s="238">
        <v>0</v>
      </c>
      <c r="AA12" s="238">
        <v>0</v>
      </c>
      <c r="AB12" s="238">
        <v>0</v>
      </c>
      <c r="AC12" s="238">
        <v>0</v>
      </c>
      <c r="AD12" s="183" t="s">
        <v>29</v>
      </c>
      <c r="AE12" s="187">
        <f>VLOOKUP(Master2017[[#This Row],[Elevated Priority]],Epriority,2,)</f>
        <v>0</v>
      </c>
      <c r="AF12" s="185">
        <f>IF(Master2017[[#This Row],[Status]]="Active",Master2017[[#This Row],[Status_Score]],IF(C12="","",Q12+G12+S12+U12+AE12-5))</f>
        <v>-100</v>
      </c>
      <c r="AG12" s="185"/>
      <c r="AH12" s="185">
        <v>2020</v>
      </c>
      <c r="AI12" s="185">
        <v>2021</v>
      </c>
      <c r="AJ12" s="262"/>
    </row>
    <row r="13" spans="1:63" s="141" customFormat="1" ht="30" x14ac:dyDescent="0.25">
      <c r="A13" s="198">
        <v>8</v>
      </c>
      <c r="B13" s="248" t="s">
        <v>774</v>
      </c>
      <c r="C13" s="243" t="s">
        <v>836</v>
      </c>
      <c r="D13" s="243" t="s">
        <v>775</v>
      </c>
      <c r="E13" s="243" t="s">
        <v>798</v>
      </c>
      <c r="F13" s="236" t="s">
        <v>29</v>
      </c>
      <c r="G13" s="236">
        <f t="shared" si="0"/>
        <v>0</v>
      </c>
      <c r="H13" s="250"/>
      <c r="I13" s="250"/>
      <c r="J13" s="249">
        <f>Master2017[[#This Row],[Initial Budget]]-Master2017[[#This Row],[Previously Committed Funds]]</f>
        <v>0</v>
      </c>
      <c r="K13" s="250"/>
      <c r="L13" s="278">
        <v>50000</v>
      </c>
      <c r="M13" s="258">
        <f>Master2017[[#This Row],[Design $ (Add/Deduct)]]+Master2017[[#This Row],[Construction $ (Add/Ded)]]</f>
        <v>50000</v>
      </c>
      <c r="N13" s="246">
        <v>50000</v>
      </c>
      <c r="O13" s="244">
        <v>2020</v>
      </c>
      <c r="P13" s="243" t="s">
        <v>32</v>
      </c>
      <c r="Q13" s="237">
        <f t="shared" si="2"/>
        <v>1</v>
      </c>
      <c r="R13" s="235">
        <v>1</v>
      </c>
      <c r="S13" s="235">
        <f t="shared" si="1"/>
        <v>3</v>
      </c>
      <c r="T13" s="235" t="s">
        <v>37</v>
      </c>
      <c r="U13" s="238">
        <f t="shared" si="3"/>
        <v>3</v>
      </c>
      <c r="V13" s="235" t="s">
        <v>30</v>
      </c>
      <c r="W13" s="238">
        <v>0</v>
      </c>
      <c r="X13" s="238">
        <v>0</v>
      </c>
      <c r="Y13" s="238">
        <v>0</v>
      </c>
      <c r="Z13" s="238">
        <v>0</v>
      </c>
      <c r="AA13" s="238">
        <v>0</v>
      </c>
      <c r="AB13" s="238">
        <v>0</v>
      </c>
      <c r="AC13" s="238">
        <v>0</v>
      </c>
      <c r="AD13" s="239" t="s">
        <v>29</v>
      </c>
      <c r="AE13" s="244">
        <f>VLOOKUP(Master2017[[#This Row],[Elevated Priority]],Epriority,2,)</f>
        <v>0</v>
      </c>
      <c r="AF13" s="238">
        <f>IF(Master2017[[#This Row],[Status]]="Active",Master2017[[#This Row],[Status_Score]],IF(C13="","",Q13+G13+S13+U13+AE13-5))</f>
        <v>2</v>
      </c>
      <c r="AG13" s="235"/>
      <c r="AH13" s="235"/>
      <c r="AI13" s="235">
        <v>2020</v>
      </c>
      <c r="AJ13" s="156"/>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row>
    <row r="14" spans="1:63" s="141" customFormat="1" ht="88.5" customHeight="1" x14ac:dyDescent="0.25">
      <c r="A14" s="198">
        <f>A13+1</f>
        <v>9</v>
      </c>
      <c r="B14" s="236" t="s">
        <v>91</v>
      </c>
      <c r="C14" s="236" t="s">
        <v>92</v>
      </c>
      <c r="D14" s="236" t="s">
        <v>93</v>
      </c>
      <c r="E14" s="236" t="s">
        <v>860</v>
      </c>
      <c r="F14" s="236" t="s">
        <v>29</v>
      </c>
      <c r="G14" s="236">
        <f t="shared" si="0"/>
        <v>0</v>
      </c>
      <c r="H14" s="249"/>
      <c r="I14" s="249"/>
      <c r="J14" s="249">
        <f>Master2017[[#This Row],[Initial Budget]]-Master2017[[#This Row],[Previously Committed Funds]]</f>
        <v>0</v>
      </c>
      <c r="K14" s="249"/>
      <c r="L14" s="249"/>
      <c r="M14" s="258">
        <f>Master2017[[#This Row],[Design $ (Add/Deduct)]]+Master2017[[#This Row],[Construction $ (Add/Ded)]]</f>
        <v>0</v>
      </c>
      <c r="N14" s="256">
        <v>40000</v>
      </c>
      <c r="O14" s="237">
        <v>2018</v>
      </c>
      <c r="P14" s="236" t="s">
        <v>32</v>
      </c>
      <c r="Q14" s="237">
        <f t="shared" si="2"/>
        <v>1</v>
      </c>
      <c r="R14" s="238">
        <v>3</v>
      </c>
      <c r="S14" s="235">
        <f t="shared" si="1"/>
        <v>9</v>
      </c>
      <c r="T14" s="238" t="s">
        <v>33</v>
      </c>
      <c r="U14" s="238">
        <f t="shared" si="3"/>
        <v>1</v>
      </c>
      <c r="V14" s="238" t="s">
        <v>30</v>
      </c>
      <c r="W14" s="238">
        <v>0</v>
      </c>
      <c r="X14" s="238">
        <v>0</v>
      </c>
      <c r="Y14" s="238">
        <v>0</v>
      </c>
      <c r="Z14" s="238">
        <v>0</v>
      </c>
      <c r="AA14" s="238">
        <v>0</v>
      </c>
      <c r="AB14" s="238">
        <v>0</v>
      </c>
      <c r="AC14" s="238">
        <v>0</v>
      </c>
      <c r="AD14" s="239" t="s">
        <v>29</v>
      </c>
      <c r="AE14" s="244">
        <f>VLOOKUP(Master2017[[#This Row],[Elevated Priority]],Epriority,2,)</f>
        <v>0</v>
      </c>
      <c r="AF14" s="238">
        <f>IF(Master2017[[#This Row],[Status]]="Active",Master2017[[#This Row],[Status_Score]],IF(C14="","",Q14+G14+S14+U14+AE14-5))</f>
        <v>6</v>
      </c>
      <c r="AG14" s="235"/>
      <c r="AH14" s="235"/>
      <c r="AI14" s="235">
        <v>2020</v>
      </c>
      <c r="AJ14" s="156"/>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row>
    <row r="15" spans="1:63" ht="30" hidden="1" x14ac:dyDescent="0.25">
      <c r="A15" s="198">
        <f>A14+1</f>
        <v>10</v>
      </c>
      <c r="B15" s="181" t="s">
        <v>70</v>
      </c>
      <c r="C15" s="181" t="s">
        <v>692</v>
      </c>
      <c r="D15" s="181" t="s">
        <v>925</v>
      </c>
      <c r="E15" s="181" t="s">
        <v>941</v>
      </c>
      <c r="F15" s="181" t="s">
        <v>719</v>
      </c>
      <c r="G15" s="181">
        <f t="shared" si="0"/>
        <v>-150</v>
      </c>
      <c r="H15" s="182"/>
      <c r="I15" s="182"/>
      <c r="J15" s="182">
        <f>Master2017[[#This Row],[Initial Budget]]-Master2017[[#This Row],[Previously Committed Funds]]</f>
        <v>0</v>
      </c>
      <c r="K15" s="182"/>
      <c r="L15" s="182"/>
      <c r="M15" s="188">
        <f>Master2017[[#This Row],[Design $ (Add/Deduct)]]+Master2017[[#This Row],[Construction $ (Add/Ded)]]</f>
        <v>0</v>
      </c>
      <c r="N15" s="186">
        <v>7000000</v>
      </c>
      <c r="O15" s="187">
        <v>2019</v>
      </c>
      <c r="P15" s="181" t="s">
        <v>46</v>
      </c>
      <c r="Q15" s="187">
        <f t="shared" si="2"/>
        <v>50</v>
      </c>
      <c r="R15" s="185">
        <v>2</v>
      </c>
      <c r="S15" s="185">
        <f t="shared" si="1"/>
        <v>6</v>
      </c>
      <c r="T15" s="185" t="s">
        <v>41</v>
      </c>
      <c r="U15" s="185">
        <f t="shared" si="3"/>
        <v>4</v>
      </c>
      <c r="V15" s="185" t="s">
        <v>34</v>
      </c>
      <c r="W15" s="185">
        <v>0</v>
      </c>
      <c r="X15" s="185">
        <v>0</v>
      </c>
      <c r="Y15" s="185">
        <v>-3</v>
      </c>
      <c r="Z15" s="185">
        <v>-3</v>
      </c>
      <c r="AA15" s="185">
        <v>-2</v>
      </c>
      <c r="AB15" s="185">
        <v>-9</v>
      </c>
      <c r="AC15" s="185">
        <v>0</v>
      </c>
      <c r="AD15" s="183" t="s">
        <v>35</v>
      </c>
      <c r="AE15" s="187">
        <f>VLOOKUP(Master2017[[#This Row],[Elevated Priority]],Epriority,2,)</f>
        <v>-25</v>
      </c>
      <c r="AF15" s="185">
        <f>IF(Master2017[[#This Row],[Status]]="Active",Master2017[[#This Row],[Status_Score]],IF(C15="","",Q15+G15+S15+U15+AE15-5))</f>
        <v>-120</v>
      </c>
      <c r="AG15" s="185"/>
      <c r="AH15" s="185">
        <v>2020</v>
      </c>
      <c r="AI15" s="185">
        <v>2021</v>
      </c>
      <c r="AJ15" s="156"/>
    </row>
    <row r="16" spans="1:63" s="144" customFormat="1" ht="30" hidden="1" x14ac:dyDescent="0.25">
      <c r="A16" s="198">
        <f t="shared" ref="A16:A79" si="4">A15+1</f>
        <v>11</v>
      </c>
      <c r="B16" s="181" t="s">
        <v>91</v>
      </c>
      <c r="C16" s="181" t="s">
        <v>872</v>
      </c>
      <c r="D16" s="181" t="s">
        <v>873</v>
      </c>
      <c r="E16" s="181" t="s">
        <v>874</v>
      </c>
      <c r="F16" s="181" t="s">
        <v>598</v>
      </c>
      <c r="G16" s="181">
        <f t="shared" si="0"/>
        <v>-100</v>
      </c>
      <c r="H16" s="182"/>
      <c r="I16" s="182"/>
      <c r="J16" s="182">
        <f>Master2017[[#This Row],[Initial Budget]]-Master2017[[#This Row],[Previously Committed Funds]]</f>
        <v>0</v>
      </c>
      <c r="K16" s="182"/>
      <c r="L16" s="182">
        <v>150000</v>
      </c>
      <c r="M16" s="188">
        <f>Master2017[[#This Row],[Design $ (Add/Deduct)]]+Master2017[[#This Row],[Construction $ (Add/Ded)]]</f>
        <v>150000</v>
      </c>
      <c r="N16" s="186">
        <v>150000</v>
      </c>
      <c r="O16" s="187">
        <v>2018</v>
      </c>
      <c r="P16" s="181" t="s">
        <v>36</v>
      </c>
      <c r="Q16" s="187">
        <f t="shared" si="2"/>
        <v>10</v>
      </c>
      <c r="R16" s="185">
        <v>1</v>
      </c>
      <c r="S16" s="185">
        <f t="shared" si="1"/>
        <v>3</v>
      </c>
      <c r="T16" s="185" t="s">
        <v>33</v>
      </c>
      <c r="U16" s="185">
        <f t="shared" si="3"/>
        <v>1</v>
      </c>
      <c r="V16" s="185" t="s">
        <v>34</v>
      </c>
      <c r="W16" s="185">
        <v>0</v>
      </c>
      <c r="X16" s="151">
        <v>0</v>
      </c>
      <c r="Y16" s="185">
        <v>0</v>
      </c>
      <c r="Z16" s="185">
        <v>0</v>
      </c>
      <c r="AA16" s="151">
        <v>0</v>
      </c>
      <c r="AB16" s="151">
        <v>0</v>
      </c>
      <c r="AC16" s="151">
        <v>0</v>
      </c>
      <c r="AD16" s="183" t="s">
        <v>31</v>
      </c>
      <c r="AE16" s="187">
        <f>VLOOKUP(Master2017[[#This Row],[Elevated Priority]],Epriority,2,)</f>
        <v>-25</v>
      </c>
      <c r="AF16" s="185">
        <f>IF(Master2017[[#This Row],[Status]]="Active",Master2017[[#This Row],[Status_Score]],IF(C16="","",Q16+G16+S16+U16+AE16-5))</f>
        <v>-100</v>
      </c>
      <c r="AG16" s="185" t="s">
        <v>754</v>
      </c>
      <c r="AH16" s="185">
        <v>2019</v>
      </c>
      <c r="AI16" s="185">
        <v>2020</v>
      </c>
      <c r="AJ16" s="181"/>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row>
    <row r="17" spans="1:63" s="141" customFormat="1" ht="30" x14ac:dyDescent="0.25">
      <c r="A17" s="198">
        <f t="shared" si="4"/>
        <v>12</v>
      </c>
      <c r="B17" s="236" t="s">
        <v>61</v>
      </c>
      <c r="C17" s="280" t="s">
        <v>797</v>
      </c>
      <c r="D17" s="251" t="s">
        <v>810</v>
      </c>
      <c r="E17" s="261" t="s">
        <v>811</v>
      </c>
      <c r="F17" s="236" t="s">
        <v>29</v>
      </c>
      <c r="G17" s="236">
        <f t="shared" si="0"/>
        <v>0</v>
      </c>
      <c r="H17" s="249"/>
      <c r="I17" s="249"/>
      <c r="J17" s="249">
        <f>Master2017[[#This Row],[Initial Budget]]-Master2017[[#This Row],[Previously Committed Funds]]</f>
        <v>0</v>
      </c>
      <c r="K17" s="249">
        <v>100000</v>
      </c>
      <c r="L17" s="249"/>
      <c r="M17" s="258">
        <f>Master2017[[#This Row],[Design $ (Add/Deduct)]]+Master2017[[#This Row],[Construction $ (Add/Ded)]]</f>
        <v>100000</v>
      </c>
      <c r="N17" s="256">
        <v>2500000</v>
      </c>
      <c r="O17" s="237">
        <v>2020</v>
      </c>
      <c r="P17" s="236" t="s">
        <v>36</v>
      </c>
      <c r="Q17" s="237">
        <f t="shared" si="2"/>
        <v>10</v>
      </c>
      <c r="R17" s="238">
        <v>1</v>
      </c>
      <c r="S17" s="235">
        <f t="shared" si="1"/>
        <v>3</v>
      </c>
      <c r="T17" s="238" t="s">
        <v>41</v>
      </c>
      <c r="U17" s="238">
        <f t="shared" si="3"/>
        <v>4</v>
      </c>
      <c r="V17" s="238" t="s">
        <v>30</v>
      </c>
      <c r="W17" s="238">
        <v>0</v>
      </c>
      <c r="X17" s="238">
        <v>0</v>
      </c>
      <c r="Y17" s="238">
        <v>0</v>
      </c>
      <c r="Z17" s="238">
        <v>0</v>
      </c>
      <c r="AA17" s="238">
        <v>0</v>
      </c>
      <c r="AB17" s="238">
        <v>0</v>
      </c>
      <c r="AC17" s="238">
        <v>0</v>
      </c>
      <c r="AD17" s="239" t="s">
        <v>29</v>
      </c>
      <c r="AE17" s="244">
        <f>VLOOKUP(Master2017[[#This Row],[Elevated Priority]],Epriority,2,)</f>
        <v>0</v>
      </c>
      <c r="AF17" s="238">
        <f>IF(Master2017[[#This Row],[Status]]="Active",Master2017[[#This Row],[Status_Score]],IF(C17="","",Q17+G17+S17+U17+AE17-5))</f>
        <v>12</v>
      </c>
      <c r="AG17" s="235"/>
      <c r="AH17" s="235">
        <v>2020</v>
      </c>
      <c r="AI17" s="235">
        <v>2021</v>
      </c>
      <c r="AJ17" s="243" t="s">
        <v>975</v>
      </c>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row>
    <row r="18" spans="1:63" s="141" customFormat="1" ht="60" x14ac:dyDescent="0.25">
      <c r="A18" s="198">
        <f t="shared" si="4"/>
        <v>13</v>
      </c>
      <c r="B18" s="236" t="s">
        <v>70</v>
      </c>
      <c r="C18" s="236" t="s">
        <v>924</v>
      </c>
      <c r="D18" s="236" t="s">
        <v>228</v>
      </c>
      <c r="E18" s="236" t="s">
        <v>229</v>
      </c>
      <c r="F18" s="236" t="s">
        <v>29</v>
      </c>
      <c r="G18" s="236">
        <f t="shared" si="0"/>
        <v>0</v>
      </c>
      <c r="H18" s="249"/>
      <c r="I18" s="249"/>
      <c r="J18" s="249">
        <f>Master2017[[#This Row],[Initial Budget]]-Master2017[[#This Row],[Previously Committed Funds]]</f>
        <v>0</v>
      </c>
      <c r="K18" s="249"/>
      <c r="L18" s="249"/>
      <c r="M18" s="258">
        <f>Master2017[[#This Row],[Design $ (Add/Deduct)]]+Master2017[[#This Row],[Construction $ (Add/Ded)]]</f>
        <v>0</v>
      </c>
      <c r="N18" s="256">
        <v>100000</v>
      </c>
      <c r="O18" s="237">
        <v>2018</v>
      </c>
      <c r="P18" s="236" t="s">
        <v>36</v>
      </c>
      <c r="Q18" s="237">
        <f t="shared" si="2"/>
        <v>10</v>
      </c>
      <c r="R18" s="238">
        <v>2</v>
      </c>
      <c r="S18" s="235">
        <f t="shared" si="1"/>
        <v>6</v>
      </c>
      <c r="T18" s="238" t="s">
        <v>37</v>
      </c>
      <c r="U18" s="238">
        <f t="shared" si="3"/>
        <v>3</v>
      </c>
      <c r="V18" s="238" t="s">
        <v>30</v>
      </c>
      <c r="W18" s="238">
        <v>0</v>
      </c>
      <c r="X18" s="238">
        <v>0</v>
      </c>
      <c r="Y18" s="238">
        <v>0</v>
      </c>
      <c r="Z18" s="238">
        <v>0</v>
      </c>
      <c r="AA18" s="238">
        <v>0</v>
      </c>
      <c r="AB18" s="238">
        <v>0</v>
      </c>
      <c r="AC18" s="238">
        <v>0</v>
      </c>
      <c r="AD18" s="239" t="s">
        <v>29</v>
      </c>
      <c r="AE18" s="244">
        <f>VLOOKUP(Master2017[[#This Row],[Elevated Priority]],Epriority,2,)</f>
        <v>0</v>
      </c>
      <c r="AF18" s="238">
        <f>IF(Master2017[[#This Row],[Status]]="Active",Master2017[[#This Row],[Status_Score]],IF(C18="","",Q18+G18+S18+U18+AE18-5))</f>
        <v>14</v>
      </c>
      <c r="AG18" s="235"/>
      <c r="AH18" s="235">
        <v>2020</v>
      </c>
      <c r="AI18" s="235">
        <v>2021</v>
      </c>
      <c r="AJ18" s="243" t="s">
        <v>974</v>
      </c>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row>
    <row r="19" spans="1:63" s="141" customFormat="1" ht="45" x14ac:dyDescent="0.25">
      <c r="A19" s="198">
        <f t="shared" si="4"/>
        <v>14</v>
      </c>
      <c r="B19" s="236" t="s">
        <v>70</v>
      </c>
      <c r="C19" s="236" t="s">
        <v>122</v>
      </c>
      <c r="D19" s="236" t="s">
        <v>132</v>
      </c>
      <c r="E19" s="236" t="s">
        <v>817</v>
      </c>
      <c r="F19" s="236" t="s">
        <v>29</v>
      </c>
      <c r="G19" s="236">
        <f t="shared" si="0"/>
        <v>0</v>
      </c>
      <c r="H19" s="249"/>
      <c r="I19" s="249"/>
      <c r="J19" s="249">
        <f>Master2017[[#This Row],[Initial Budget]]-Master2017[[#This Row],[Previously Committed Funds]]</f>
        <v>0</v>
      </c>
      <c r="K19" s="249"/>
      <c r="L19" s="249"/>
      <c r="M19" s="258">
        <f>Master2017[[#This Row],[Design $ (Add/Deduct)]]+Master2017[[#This Row],[Construction $ (Add/Ded)]]</f>
        <v>0</v>
      </c>
      <c r="N19" s="256">
        <v>250000</v>
      </c>
      <c r="O19" s="237">
        <v>2018</v>
      </c>
      <c r="P19" s="236" t="s">
        <v>830</v>
      </c>
      <c r="Q19" s="237">
        <f t="shared" si="2"/>
        <v>10</v>
      </c>
      <c r="R19" s="238">
        <v>1</v>
      </c>
      <c r="S19" s="235">
        <f t="shared" si="1"/>
        <v>3</v>
      </c>
      <c r="T19" s="238" t="s">
        <v>33</v>
      </c>
      <c r="U19" s="238">
        <f t="shared" si="3"/>
        <v>1</v>
      </c>
      <c r="V19" s="238" t="s">
        <v>30</v>
      </c>
      <c r="W19" s="238">
        <v>0</v>
      </c>
      <c r="X19" s="238">
        <v>0</v>
      </c>
      <c r="Y19" s="238">
        <v>0</v>
      </c>
      <c r="Z19" s="238">
        <v>0</v>
      </c>
      <c r="AA19" s="238">
        <v>0</v>
      </c>
      <c r="AB19" s="238">
        <v>0</v>
      </c>
      <c r="AC19" s="238">
        <v>0</v>
      </c>
      <c r="AD19" s="239" t="s">
        <v>29</v>
      </c>
      <c r="AE19" s="244">
        <f>VLOOKUP(Master2017[[#This Row],[Elevated Priority]],Epriority,2,)</f>
        <v>0</v>
      </c>
      <c r="AF19" s="238">
        <f>IF(Master2017[[#This Row],[Status]]="Active",Master2017[[#This Row],[Status_Score]],IF(C19="","",Q19+G19+S19+U19+AE19-5))</f>
        <v>9</v>
      </c>
      <c r="AG19" s="235"/>
      <c r="AH19" s="235">
        <v>2020</v>
      </c>
      <c r="AI19" s="235">
        <v>2020</v>
      </c>
      <c r="AJ19" s="243" t="s">
        <v>976</v>
      </c>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row>
    <row r="20" spans="1:63" s="141" customFormat="1" ht="30" hidden="1" x14ac:dyDescent="0.25">
      <c r="A20" s="198">
        <f t="shared" si="4"/>
        <v>15</v>
      </c>
      <c r="B20" s="181" t="s">
        <v>70</v>
      </c>
      <c r="C20" s="181" t="s">
        <v>691</v>
      </c>
      <c r="D20" s="181" t="s">
        <v>697</v>
      </c>
      <c r="E20" s="181" t="s">
        <v>855</v>
      </c>
      <c r="F20" s="181" t="s">
        <v>598</v>
      </c>
      <c r="G20" s="181">
        <f t="shared" si="0"/>
        <v>-100</v>
      </c>
      <c r="H20" s="182"/>
      <c r="I20" s="182"/>
      <c r="J20" s="182">
        <f>Master2017[[#This Row],[Initial Budget]]-Master2017[[#This Row],[Previously Committed Funds]]</f>
        <v>0</v>
      </c>
      <c r="K20" s="182"/>
      <c r="L20" s="182"/>
      <c r="M20" s="188">
        <f>Master2017[[#This Row],[Design $ (Add/Deduct)]]+Master2017[[#This Row],[Construction $ (Add/Ded)]]</f>
        <v>0</v>
      </c>
      <c r="N20" s="186">
        <v>12000000</v>
      </c>
      <c r="O20" s="187">
        <v>2019</v>
      </c>
      <c r="P20" s="181" t="s">
        <v>46</v>
      </c>
      <c r="Q20" s="187">
        <f t="shared" si="2"/>
        <v>50</v>
      </c>
      <c r="R20" s="185">
        <v>1</v>
      </c>
      <c r="S20" s="185">
        <f t="shared" si="1"/>
        <v>3</v>
      </c>
      <c r="T20" s="185" t="s">
        <v>41</v>
      </c>
      <c r="U20" s="185"/>
      <c r="V20" s="185" t="s">
        <v>34</v>
      </c>
      <c r="W20" s="185">
        <v>0</v>
      </c>
      <c r="X20" s="151">
        <v>0</v>
      </c>
      <c r="Y20" s="185">
        <v>0</v>
      </c>
      <c r="Z20" s="185">
        <v>0</v>
      </c>
      <c r="AA20" s="151">
        <v>0</v>
      </c>
      <c r="AB20" s="151">
        <v>0</v>
      </c>
      <c r="AC20" s="151">
        <v>0</v>
      </c>
      <c r="AD20" s="183" t="s">
        <v>35</v>
      </c>
      <c r="AE20" s="187">
        <f>VLOOKUP(Master2017[[#This Row],[Elevated Priority]],Epriority,2,)</f>
        <v>-25</v>
      </c>
      <c r="AF20" s="185">
        <f>IF(Master2017[[#This Row],[Status]]="Active",Master2017[[#This Row],[Status_Score]],IF(C20="","",Q20+G20+S20+U20+AE20-5))</f>
        <v>-100</v>
      </c>
      <c r="AG20" s="185" t="s">
        <v>715</v>
      </c>
      <c r="AH20" s="185">
        <v>2019</v>
      </c>
      <c r="AI20" s="185">
        <v>2020</v>
      </c>
      <c r="AJ20" s="181"/>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row>
    <row r="21" spans="1:63" s="141" customFormat="1" ht="75" hidden="1" x14ac:dyDescent="0.25">
      <c r="A21" s="198">
        <f t="shared" si="4"/>
        <v>16</v>
      </c>
      <c r="B21" s="181" t="s">
        <v>214</v>
      </c>
      <c r="C21" s="181" t="s">
        <v>559</v>
      </c>
      <c r="D21" s="181" t="s">
        <v>858</v>
      </c>
      <c r="E21" s="181" t="s">
        <v>881</v>
      </c>
      <c r="F21" s="181" t="s">
        <v>598</v>
      </c>
      <c r="G21" s="181">
        <f t="shared" si="0"/>
        <v>-100</v>
      </c>
      <c r="H21" s="182">
        <v>0</v>
      </c>
      <c r="I21" s="182">
        <v>0</v>
      </c>
      <c r="J21" s="182">
        <f>Master2017[[#This Row],[Initial Budget]]-Master2017[[#This Row],[Previously Committed Funds]]</f>
        <v>0</v>
      </c>
      <c r="K21" s="182">
        <v>350000</v>
      </c>
      <c r="L21" s="182"/>
      <c r="M21" s="188">
        <f>Master2017[[#This Row],[Design $ (Add/Deduct)]]+Master2017[[#This Row],[Construction $ (Add/Ded)]]</f>
        <v>350000</v>
      </c>
      <c r="N21" s="186">
        <v>28000000</v>
      </c>
      <c r="O21" s="187">
        <v>2018</v>
      </c>
      <c r="P21" s="181" t="s">
        <v>46</v>
      </c>
      <c r="Q21" s="187">
        <f t="shared" si="2"/>
        <v>50</v>
      </c>
      <c r="R21" s="185">
        <v>3</v>
      </c>
      <c r="S21" s="185">
        <f t="shared" si="1"/>
        <v>9</v>
      </c>
      <c r="T21" s="185" t="s">
        <v>45</v>
      </c>
      <c r="U21" s="185">
        <f>VLOOKUP(T21,Urgency,2,FALSE)</f>
        <v>32</v>
      </c>
      <c r="V21" s="185" t="s">
        <v>34</v>
      </c>
      <c r="W21" s="185">
        <v>0</v>
      </c>
      <c r="X21" s="151">
        <v>0</v>
      </c>
      <c r="Y21" s="185">
        <v>0</v>
      </c>
      <c r="Z21" s="185">
        <v>0</v>
      </c>
      <c r="AA21" s="151">
        <v>0</v>
      </c>
      <c r="AB21" s="151">
        <v>0</v>
      </c>
      <c r="AC21" s="151">
        <v>0</v>
      </c>
      <c r="AD21" s="183" t="s">
        <v>29</v>
      </c>
      <c r="AE21" s="187">
        <f>VLOOKUP(Master2017[[#This Row],[Elevated Priority]],Epriority,2,)</f>
        <v>0</v>
      </c>
      <c r="AF21" s="185">
        <f>IF(Master2017[[#This Row],[Status]]="Active",Master2017[[#This Row],[Status_Score]],IF(C21="","",Q21+G21+S21+U21+AE21-5))</f>
        <v>-100</v>
      </c>
      <c r="AG21" s="185" t="s">
        <v>717</v>
      </c>
      <c r="AH21" s="185">
        <v>2019</v>
      </c>
      <c r="AI21" s="185">
        <v>2024</v>
      </c>
      <c r="AJ21" s="181"/>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row>
    <row r="22" spans="1:63" s="141" customFormat="1" x14ac:dyDescent="0.25">
      <c r="A22" s="198">
        <f t="shared" si="4"/>
        <v>17</v>
      </c>
      <c r="B22" s="294" t="s">
        <v>70</v>
      </c>
      <c r="C22" s="236" t="s">
        <v>188</v>
      </c>
      <c r="D22" s="236" t="s">
        <v>859</v>
      </c>
      <c r="E22" s="236" t="s">
        <v>190</v>
      </c>
      <c r="F22" s="236" t="s">
        <v>29</v>
      </c>
      <c r="G22" s="236">
        <f t="shared" si="0"/>
        <v>0</v>
      </c>
      <c r="H22" s="249"/>
      <c r="I22" s="249"/>
      <c r="J22" s="249">
        <f>Master2017[[#This Row],[Initial Budget]]-Master2017[[#This Row],[Previously Committed Funds]]</f>
        <v>0</v>
      </c>
      <c r="K22" s="249"/>
      <c r="L22" s="249"/>
      <c r="M22" s="258">
        <f>Master2017[[#This Row],[Design $ (Add/Deduct)]]+Master2017[[#This Row],[Construction $ (Add/Ded)]]</f>
        <v>0</v>
      </c>
      <c r="N22" s="256">
        <v>150000</v>
      </c>
      <c r="O22" s="237">
        <v>2018</v>
      </c>
      <c r="P22" s="236" t="s">
        <v>688</v>
      </c>
      <c r="Q22" s="237">
        <f t="shared" si="2"/>
        <v>20</v>
      </c>
      <c r="R22" s="238" t="s">
        <v>29</v>
      </c>
      <c r="S22" s="235">
        <f t="shared" si="1"/>
        <v>0</v>
      </c>
      <c r="T22" s="238" t="s">
        <v>41</v>
      </c>
      <c r="U22" s="238">
        <f>VLOOKUP(T22,Urgency,2,FALSE)</f>
        <v>4</v>
      </c>
      <c r="V22" s="238" t="s">
        <v>30</v>
      </c>
      <c r="W22" s="151">
        <v>0</v>
      </c>
      <c r="X22" s="238">
        <v>0</v>
      </c>
      <c r="Y22" s="238">
        <v>0</v>
      </c>
      <c r="Z22" s="238">
        <v>0</v>
      </c>
      <c r="AA22" s="238">
        <v>0</v>
      </c>
      <c r="AB22" s="238">
        <v>0</v>
      </c>
      <c r="AC22" s="238">
        <v>0</v>
      </c>
      <c r="AD22" s="239" t="s">
        <v>29</v>
      </c>
      <c r="AE22" s="244">
        <f>VLOOKUP(Master2017[[#This Row],[Elevated Priority]],Epriority,2,)</f>
        <v>0</v>
      </c>
      <c r="AF22" s="238">
        <f>IF(Master2017[[#This Row],[Status]]="Active",Master2017[[#This Row],[Status_Score]],IF(C22="","",Q22+G22+S22+U22+AE22-5))</f>
        <v>19</v>
      </c>
      <c r="AG22" s="235"/>
      <c r="AH22" s="235">
        <v>2020</v>
      </c>
      <c r="AI22" s="235">
        <v>2021</v>
      </c>
      <c r="AJ22" s="243" t="s">
        <v>978</v>
      </c>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row>
    <row r="23" spans="1:63" s="141" customFormat="1" ht="30" x14ac:dyDescent="0.25">
      <c r="A23" s="198">
        <f t="shared" si="4"/>
        <v>18</v>
      </c>
      <c r="B23" s="236" t="s">
        <v>70</v>
      </c>
      <c r="C23" s="236" t="s">
        <v>294</v>
      </c>
      <c r="D23" s="236" t="s">
        <v>295</v>
      </c>
      <c r="E23" s="236" t="s">
        <v>820</v>
      </c>
      <c r="F23" s="236" t="s">
        <v>29</v>
      </c>
      <c r="G23" s="236">
        <f t="shared" si="0"/>
        <v>0</v>
      </c>
      <c r="H23" s="249"/>
      <c r="I23" s="249"/>
      <c r="J23" s="249">
        <f>Master2017[[#This Row],[Initial Budget]]-Master2017[[#This Row],[Previously Committed Funds]]</f>
        <v>0</v>
      </c>
      <c r="K23" s="249"/>
      <c r="L23" s="249"/>
      <c r="M23" s="258">
        <f>Master2017[[#This Row],[Design $ (Add/Deduct)]]+Master2017[[#This Row],[Construction $ (Add/Ded)]]</f>
        <v>0</v>
      </c>
      <c r="N23" s="256">
        <v>1000000</v>
      </c>
      <c r="O23" s="237">
        <v>2018</v>
      </c>
      <c r="P23" s="236" t="s">
        <v>830</v>
      </c>
      <c r="Q23" s="237">
        <f t="shared" si="2"/>
        <v>10</v>
      </c>
      <c r="R23" s="238">
        <v>2</v>
      </c>
      <c r="S23" s="235">
        <f t="shared" si="1"/>
        <v>6</v>
      </c>
      <c r="T23" s="238" t="s">
        <v>41</v>
      </c>
      <c r="U23" s="238">
        <f>VLOOKUP(T23,Urgency,2,FALSE)</f>
        <v>4</v>
      </c>
      <c r="V23" s="238" t="s">
        <v>30</v>
      </c>
      <c r="W23" s="238">
        <v>0</v>
      </c>
      <c r="X23" s="238">
        <v>0</v>
      </c>
      <c r="Y23" s="238">
        <v>0</v>
      </c>
      <c r="Z23" s="238">
        <v>0</v>
      </c>
      <c r="AA23" s="238">
        <v>0</v>
      </c>
      <c r="AB23" s="238">
        <v>0</v>
      </c>
      <c r="AC23" s="238">
        <v>0</v>
      </c>
      <c r="AD23" s="239" t="s">
        <v>29</v>
      </c>
      <c r="AE23" s="244">
        <f>VLOOKUP(Master2017[[#This Row],[Elevated Priority]],Epriority,2,)</f>
        <v>0</v>
      </c>
      <c r="AF23" s="238">
        <f>IF(Master2017[[#This Row],[Status]]="Active",Master2017[[#This Row],[Status_Score]],IF(C23="","",Q23+G23+S23+U23+AE23-5))</f>
        <v>15</v>
      </c>
      <c r="AG23" s="238"/>
      <c r="AH23" s="238">
        <v>2020</v>
      </c>
      <c r="AI23" s="238">
        <v>2021</v>
      </c>
      <c r="AJ23" s="236" t="s">
        <v>979</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row>
    <row r="24" spans="1:63" ht="45" hidden="1" x14ac:dyDescent="0.25">
      <c r="A24" s="198">
        <f t="shared" si="4"/>
        <v>19</v>
      </c>
      <c r="B24" s="181" t="s">
        <v>94</v>
      </c>
      <c r="C24" s="181" t="s">
        <v>726</v>
      </c>
      <c r="D24" s="181" t="s">
        <v>727</v>
      </c>
      <c r="E24" s="181" t="s">
        <v>728</v>
      </c>
      <c r="F24" s="181" t="s">
        <v>598</v>
      </c>
      <c r="G24" s="196">
        <f t="shared" si="0"/>
        <v>-100</v>
      </c>
      <c r="H24" s="182">
        <v>1353185</v>
      </c>
      <c r="I24" s="182"/>
      <c r="J24" s="182">
        <f>Master2017[[#This Row],[Initial Budget]]-Master2017[[#This Row],[Previously Committed Funds]]</f>
        <v>1353185</v>
      </c>
      <c r="K24" s="182"/>
      <c r="L24" s="182"/>
      <c r="M24" s="188">
        <f>Master2017[[#This Row],[Design $ (Add/Deduct)]]+Master2017[[#This Row],[Construction $ (Add/Ded)]]</f>
        <v>0</v>
      </c>
      <c r="N24" s="182">
        <f>Master2017[[#This Row],[Total Add]]+Master2017[[#This Row],[Current Available Balance]]+Master2017[[#This Row],[Previously Committed Funds]]</f>
        <v>1353185</v>
      </c>
      <c r="O24" s="187">
        <v>2018</v>
      </c>
      <c r="P24" s="181" t="s">
        <v>46</v>
      </c>
      <c r="Q24" s="187"/>
      <c r="R24" s="185">
        <v>1</v>
      </c>
      <c r="S24" s="185"/>
      <c r="T24" s="185" t="s">
        <v>41</v>
      </c>
      <c r="U24" s="185"/>
      <c r="V24" s="185" t="s">
        <v>34</v>
      </c>
      <c r="W24" s="185">
        <v>0</v>
      </c>
      <c r="X24" s="151">
        <v>0</v>
      </c>
      <c r="Y24" s="185">
        <v>0</v>
      </c>
      <c r="Z24" s="185">
        <v>0</v>
      </c>
      <c r="AA24" s="151">
        <v>0</v>
      </c>
      <c r="AB24" s="151">
        <v>0</v>
      </c>
      <c r="AC24" s="151">
        <v>0</v>
      </c>
      <c r="AD24" s="183" t="s">
        <v>29</v>
      </c>
      <c r="AE24" s="187">
        <f>VLOOKUP(Master2017[[#This Row],[Elevated Priority]],Epriority,2,)</f>
        <v>0</v>
      </c>
      <c r="AF24" s="185">
        <f>IF(Master2017[[#This Row],[Status]]="Active",Master2017[[#This Row],[Status_Score]],IF(C24="","",Q24+G24+S24+U24+AE24-5))</f>
        <v>-100</v>
      </c>
      <c r="AG24" s="185" t="s">
        <v>717</v>
      </c>
      <c r="AH24" s="185">
        <v>2019</v>
      </c>
      <c r="AI24" s="185">
        <v>2021</v>
      </c>
      <c r="AJ24" s="181" t="s">
        <v>729</v>
      </c>
    </row>
    <row r="25" spans="1:63" ht="45" hidden="1" x14ac:dyDescent="0.25">
      <c r="A25" s="198">
        <f t="shared" si="4"/>
        <v>20</v>
      </c>
      <c r="B25" s="181" t="s">
        <v>923</v>
      </c>
      <c r="C25" s="181" t="s">
        <v>931</v>
      </c>
      <c r="D25" s="181" t="s">
        <v>932</v>
      </c>
      <c r="E25" s="181" t="s">
        <v>933</v>
      </c>
      <c r="F25" s="181" t="s">
        <v>598</v>
      </c>
      <c r="G25" s="196">
        <f t="shared" si="0"/>
        <v>-100</v>
      </c>
      <c r="H25" s="182"/>
      <c r="I25" s="182"/>
      <c r="J25" s="182">
        <f>Master2017[[#This Row],[Initial Budget]]-Master2017[[#This Row],[Previously Committed Funds]]</f>
        <v>0</v>
      </c>
      <c r="K25" s="182"/>
      <c r="L25" s="182"/>
      <c r="M25" s="188">
        <f>Master2017[[#This Row],[Design $ (Add/Deduct)]]+Master2017[[#This Row],[Construction $ (Add/Ded)]]</f>
        <v>0</v>
      </c>
      <c r="N25" s="186">
        <v>15000000</v>
      </c>
      <c r="O25" s="187">
        <v>2019</v>
      </c>
      <c r="P25" s="181" t="s">
        <v>46</v>
      </c>
      <c r="Q25" s="187">
        <f t="shared" ref="Q25:Q56" si="5">VLOOKUP(P25,Importance,2,FALSE)</f>
        <v>50</v>
      </c>
      <c r="R25" s="185" t="s">
        <v>29</v>
      </c>
      <c r="S25" s="185">
        <f t="shared" ref="S25:S56" si="6">VLOOKUP(R25,Department,2,FALSE)</f>
        <v>0</v>
      </c>
      <c r="T25" s="185" t="s">
        <v>45</v>
      </c>
      <c r="U25" s="185">
        <f t="shared" ref="U25:U56" si="7">VLOOKUP(T25,Urgency,2,FALSE)</f>
        <v>32</v>
      </c>
      <c r="V25" s="185" t="s">
        <v>34</v>
      </c>
      <c r="W25" s="185">
        <v>0</v>
      </c>
      <c r="X25" s="185">
        <v>0</v>
      </c>
      <c r="Y25" s="185">
        <v>0</v>
      </c>
      <c r="Z25" s="185">
        <v>0</v>
      </c>
      <c r="AA25" s="185">
        <v>0</v>
      </c>
      <c r="AB25" s="185">
        <v>0</v>
      </c>
      <c r="AC25" s="185">
        <v>0</v>
      </c>
      <c r="AD25" s="183" t="s">
        <v>35</v>
      </c>
      <c r="AE25" s="187">
        <f>VLOOKUP(Master2017[[#This Row],[Elevated Priority]],Epriority,2,)</f>
        <v>-25</v>
      </c>
      <c r="AF25" s="185">
        <f>IF(Master2017[[#This Row],[Status]]="Active",Master2017[[#This Row],[Status_Score]],IF(C25="","",Q25+G25+S25+U25+AE25-5))</f>
        <v>-100</v>
      </c>
      <c r="AG25" s="185"/>
      <c r="AH25" s="185">
        <v>2020</v>
      </c>
      <c r="AI25" s="185"/>
      <c r="AJ25" s="181"/>
    </row>
    <row r="26" spans="1:63" s="141" customFormat="1" ht="165" x14ac:dyDescent="0.25">
      <c r="A26" s="198">
        <f t="shared" si="4"/>
        <v>21</v>
      </c>
      <c r="B26" s="236" t="s">
        <v>159</v>
      </c>
      <c r="C26" s="236" t="s">
        <v>262</v>
      </c>
      <c r="D26" s="236" t="s">
        <v>884</v>
      </c>
      <c r="E26" s="236" t="s">
        <v>885</v>
      </c>
      <c r="F26" s="236" t="s">
        <v>29</v>
      </c>
      <c r="G26" s="236">
        <f t="shared" si="0"/>
        <v>0</v>
      </c>
      <c r="H26" s="249"/>
      <c r="I26" s="249"/>
      <c r="J26" s="249">
        <f>Master2017[[#This Row],[Initial Budget]]-Master2017[[#This Row],[Previously Committed Funds]]</f>
        <v>0</v>
      </c>
      <c r="K26" s="249"/>
      <c r="L26" s="249"/>
      <c r="M26" s="258">
        <f>Master2017[[#This Row],[Design $ (Add/Deduct)]]+Master2017[[#This Row],[Construction $ (Add/Ded)]]</f>
        <v>0</v>
      </c>
      <c r="N26" s="256">
        <v>500000</v>
      </c>
      <c r="O26" s="237">
        <v>2018</v>
      </c>
      <c r="P26" s="236" t="s">
        <v>830</v>
      </c>
      <c r="Q26" s="237">
        <f t="shared" si="5"/>
        <v>10</v>
      </c>
      <c r="R26" s="238">
        <v>3</v>
      </c>
      <c r="S26" s="235">
        <f t="shared" si="6"/>
        <v>9</v>
      </c>
      <c r="T26" s="238" t="s">
        <v>33</v>
      </c>
      <c r="U26" s="238">
        <f t="shared" si="7"/>
        <v>1</v>
      </c>
      <c r="V26" s="238" t="s">
        <v>30</v>
      </c>
      <c r="W26" s="151">
        <v>0</v>
      </c>
      <c r="X26" s="238">
        <v>0</v>
      </c>
      <c r="Y26" s="238">
        <v>0</v>
      </c>
      <c r="Z26" s="238">
        <v>0</v>
      </c>
      <c r="AA26" s="238">
        <v>0</v>
      </c>
      <c r="AB26" s="238">
        <v>0</v>
      </c>
      <c r="AC26" s="238">
        <v>0</v>
      </c>
      <c r="AD26" s="239" t="s">
        <v>29</v>
      </c>
      <c r="AE26" s="244">
        <f>VLOOKUP(Master2017[[#This Row],[Elevated Priority]],Epriority,2,)</f>
        <v>0</v>
      </c>
      <c r="AF26" s="238">
        <f>IF(Master2017[[#This Row],[Status]]="Active",Master2017[[#This Row],[Status_Score]],IF(C26="","",Q26+G26+S26+U26+AE26-5))</f>
        <v>15</v>
      </c>
      <c r="AG26" s="235"/>
      <c r="AH26" s="235">
        <v>2021</v>
      </c>
      <c r="AI26" s="235">
        <v>2022</v>
      </c>
      <c r="AJ26" s="243"/>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row>
    <row r="27" spans="1:63" ht="60" x14ac:dyDescent="0.25">
      <c r="A27" s="198">
        <f t="shared" si="4"/>
        <v>22</v>
      </c>
      <c r="B27" s="236" t="s">
        <v>91</v>
      </c>
      <c r="C27" s="236" t="s">
        <v>357</v>
      </c>
      <c r="D27" s="236" t="s">
        <v>358</v>
      </c>
      <c r="E27" s="236" t="s">
        <v>359</v>
      </c>
      <c r="F27" s="236" t="s">
        <v>29</v>
      </c>
      <c r="G27" s="236">
        <f t="shared" si="0"/>
        <v>0</v>
      </c>
      <c r="H27" s="249"/>
      <c r="I27" s="249"/>
      <c r="J27" s="249">
        <f>Master2017[[#This Row],[Initial Budget]]-Master2017[[#This Row],[Previously Committed Funds]]</f>
        <v>0</v>
      </c>
      <c r="K27" s="249"/>
      <c r="L27" s="249"/>
      <c r="M27" s="258">
        <f>Master2017[[#This Row],[Design $ (Add/Deduct)]]+Master2017[[#This Row],[Construction $ (Add/Ded)]]</f>
        <v>0</v>
      </c>
      <c r="N27" s="256">
        <v>250000</v>
      </c>
      <c r="O27" s="237">
        <v>2018</v>
      </c>
      <c r="P27" s="236" t="s">
        <v>688</v>
      </c>
      <c r="Q27" s="237">
        <f t="shared" si="5"/>
        <v>20</v>
      </c>
      <c r="R27" s="238">
        <v>7</v>
      </c>
      <c r="S27" s="235">
        <f t="shared" si="6"/>
        <v>20</v>
      </c>
      <c r="T27" s="238" t="s">
        <v>43</v>
      </c>
      <c r="U27" s="238">
        <f t="shared" si="7"/>
        <v>16</v>
      </c>
      <c r="V27" s="238" t="s">
        <v>30</v>
      </c>
      <c r="W27" s="238">
        <v>0</v>
      </c>
      <c r="X27" s="238">
        <v>0</v>
      </c>
      <c r="Y27" s="238">
        <v>0</v>
      </c>
      <c r="Z27" s="238">
        <v>0</v>
      </c>
      <c r="AA27" s="238">
        <v>0</v>
      </c>
      <c r="AB27" s="238">
        <v>0</v>
      </c>
      <c r="AC27" s="238">
        <v>0</v>
      </c>
      <c r="AD27" s="239" t="s">
        <v>39</v>
      </c>
      <c r="AE27" s="244">
        <f>VLOOKUP(Master2017[[#This Row],[Elevated Priority]],Epriority,2,)</f>
        <v>-30</v>
      </c>
      <c r="AF27" s="238">
        <f>IF(Master2017[[#This Row],[Status]]="Active",Master2017[[#This Row],[Status_Score]],IF(C27="","",Q27+G27+S27+U27+AE27-5))</f>
        <v>21</v>
      </c>
      <c r="AG27" s="235"/>
      <c r="AH27" s="235">
        <v>2021</v>
      </c>
      <c r="AI27" s="235">
        <v>2022</v>
      </c>
      <c r="AJ27" s="243"/>
    </row>
    <row r="28" spans="1:63" s="141" customFormat="1" ht="30" x14ac:dyDescent="0.25">
      <c r="A28" s="198">
        <f t="shared" si="4"/>
        <v>23</v>
      </c>
      <c r="B28" s="222" t="s">
        <v>61</v>
      </c>
      <c r="C28" s="280" t="s">
        <v>829</v>
      </c>
      <c r="D28" s="251" t="s">
        <v>886</v>
      </c>
      <c r="E28" s="261" t="s">
        <v>809</v>
      </c>
      <c r="F28" s="236" t="s">
        <v>29</v>
      </c>
      <c r="G28" s="236">
        <f t="shared" si="0"/>
        <v>0</v>
      </c>
      <c r="H28" s="249"/>
      <c r="I28" s="249"/>
      <c r="J28" s="249">
        <f>Master2017[[#This Row],[Initial Budget]]-Master2017[[#This Row],[Previously Committed Funds]]</f>
        <v>0</v>
      </c>
      <c r="K28" s="249">
        <v>40000</v>
      </c>
      <c r="L28" s="249"/>
      <c r="M28" s="258">
        <f>Master2017[[#This Row],[Design $ (Add/Deduct)]]+Master2017[[#This Row],[Construction $ (Add/Ded)]]</f>
        <v>40000</v>
      </c>
      <c r="N28" s="256">
        <v>350000</v>
      </c>
      <c r="O28" s="237">
        <v>2020</v>
      </c>
      <c r="P28" s="236" t="s">
        <v>688</v>
      </c>
      <c r="Q28" s="237">
        <f t="shared" si="5"/>
        <v>20</v>
      </c>
      <c r="R28" s="238">
        <v>1</v>
      </c>
      <c r="S28" s="235">
        <f t="shared" si="6"/>
        <v>3</v>
      </c>
      <c r="T28" s="238" t="s">
        <v>41</v>
      </c>
      <c r="U28" s="238">
        <f t="shared" si="7"/>
        <v>4</v>
      </c>
      <c r="V28" s="238" t="s">
        <v>30</v>
      </c>
      <c r="W28" s="238">
        <v>0</v>
      </c>
      <c r="X28" s="238">
        <v>0</v>
      </c>
      <c r="Y28" s="238">
        <v>0</v>
      </c>
      <c r="Z28" s="238">
        <v>0</v>
      </c>
      <c r="AA28" s="238">
        <v>0</v>
      </c>
      <c r="AB28" s="238">
        <v>0</v>
      </c>
      <c r="AC28" s="238">
        <v>0</v>
      </c>
      <c r="AD28" s="239" t="s">
        <v>29</v>
      </c>
      <c r="AE28" s="244">
        <f>VLOOKUP(Master2017[[#This Row],[Elevated Priority]],Epriority,2,)</f>
        <v>0</v>
      </c>
      <c r="AF28" s="238">
        <f>IF(Master2017[[#This Row],[Status]]="Active",Master2017[[#This Row],[Status_Score]],IF(C28="","",Q28+G28+S28+U28+AE28-5))</f>
        <v>22</v>
      </c>
      <c r="AG28" s="235"/>
      <c r="AH28" s="235">
        <v>2020</v>
      </c>
      <c r="AI28" s="235">
        <v>2021</v>
      </c>
      <c r="AJ28" s="243" t="s">
        <v>975</v>
      </c>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row>
    <row r="29" spans="1:63" ht="255" x14ac:dyDescent="0.25">
      <c r="A29" s="198">
        <f t="shared" si="4"/>
        <v>24</v>
      </c>
      <c r="B29" s="236" t="s">
        <v>659</v>
      </c>
      <c r="C29" s="236" t="s">
        <v>211</v>
      </c>
      <c r="D29" s="236" t="s">
        <v>212</v>
      </c>
      <c r="E29" s="236" t="s">
        <v>887</v>
      </c>
      <c r="F29" s="236" t="s">
        <v>29</v>
      </c>
      <c r="G29" s="236">
        <f t="shared" si="0"/>
        <v>0</v>
      </c>
      <c r="H29" s="249"/>
      <c r="I29" s="249"/>
      <c r="J29" s="249">
        <f>Master2017[[#This Row],[Initial Budget]]-Master2017[[#This Row],[Previously Committed Funds]]</f>
        <v>0</v>
      </c>
      <c r="K29" s="249"/>
      <c r="L29" s="249"/>
      <c r="M29" s="258">
        <f>Master2017[[#This Row],[Design $ (Add/Deduct)]]+Master2017[[#This Row],[Construction $ (Add/Ded)]]</f>
        <v>0</v>
      </c>
      <c r="N29" s="256">
        <v>50000</v>
      </c>
      <c r="O29" s="237">
        <v>2018</v>
      </c>
      <c r="P29" s="236" t="s">
        <v>688</v>
      </c>
      <c r="Q29" s="237">
        <f t="shared" si="5"/>
        <v>20</v>
      </c>
      <c r="R29" s="238">
        <v>1</v>
      </c>
      <c r="S29" s="235">
        <f t="shared" si="6"/>
        <v>3</v>
      </c>
      <c r="T29" s="238" t="s">
        <v>41</v>
      </c>
      <c r="U29" s="238">
        <f t="shared" si="7"/>
        <v>4</v>
      </c>
      <c r="V29" s="238" t="s">
        <v>30</v>
      </c>
      <c r="W29" s="238">
        <v>0</v>
      </c>
      <c r="X29" s="238">
        <v>0</v>
      </c>
      <c r="Y29" s="238">
        <v>0</v>
      </c>
      <c r="Z29" s="238">
        <v>0</v>
      </c>
      <c r="AA29" s="238">
        <v>0</v>
      </c>
      <c r="AB29" s="238">
        <v>0</v>
      </c>
      <c r="AC29" s="238">
        <v>0</v>
      </c>
      <c r="AD29" s="239" t="s">
        <v>29</v>
      </c>
      <c r="AE29" s="244">
        <f>VLOOKUP(Master2017[[#This Row],[Elevated Priority]],Epriority,2,)</f>
        <v>0</v>
      </c>
      <c r="AF29" s="238">
        <f>IF(Master2017[[#This Row],[Status]]="Active",Master2017[[#This Row],[Status_Score]],IF(C29="","",Q29+G29+S29+U29+AE29-5))</f>
        <v>22</v>
      </c>
      <c r="AG29" s="235"/>
      <c r="AH29" s="235">
        <v>2021</v>
      </c>
      <c r="AI29" s="235">
        <v>2022</v>
      </c>
      <c r="AJ29" s="243"/>
    </row>
    <row r="30" spans="1:63" ht="45" x14ac:dyDescent="0.25">
      <c r="A30" s="198">
        <f t="shared" si="4"/>
        <v>25</v>
      </c>
      <c r="B30" s="279" t="s">
        <v>79</v>
      </c>
      <c r="C30" s="279" t="s">
        <v>837</v>
      </c>
      <c r="D30" s="243" t="s">
        <v>784</v>
      </c>
      <c r="E30" s="243" t="s">
        <v>805</v>
      </c>
      <c r="F30" s="236" t="s">
        <v>29</v>
      </c>
      <c r="G30" s="236">
        <f t="shared" si="0"/>
        <v>0</v>
      </c>
      <c r="H30" s="249"/>
      <c r="I30" s="249"/>
      <c r="J30" s="249">
        <f>Master2017[[#This Row],[Initial Budget]]-Master2017[[#This Row],[Previously Committed Funds]]</f>
        <v>0</v>
      </c>
      <c r="K30" s="249">
        <v>50000</v>
      </c>
      <c r="L30" s="249">
        <v>200000</v>
      </c>
      <c r="M30" s="258">
        <f>Master2017[[#This Row],[Design $ (Add/Deduct)]]+Master2017[[#This Row],[Construction $ (Add/Ded)]]</f>
        <v>250000</v>
      </c>
      <c r="N30" s="246">
        <v>250000</v>
      </c>
      <c r="O30" s="244">
        <v>2020</v>
      </c>
      <c r="P30" s="236" t="s">
        <v>688</v>
      </c>
      <c r="Q30" s="237">
        <f t="shared" si="5"/>
        <v>20</v>
      </c>
      <c r="R30" s="235">
        <v>2</v>
      </c>
      <c r="S30" s="235">
        <f t="shared" si="6"/>
        <v>6</v>
      </c>
      <c r="T30" s="235" t="s">
        <v>33</v>
      </c>
      <c r="U30" s="238">
        <f t="shared" si="7"/>
        <v>1</v>
      </c>
      <c r="V30" s="235" t="s">
        <v>30</v>
      </c>
      <c r="W30" s="238">
        <v>0</v>
      </c>
      <c r="X30" s="238">
        <v>0</v>
      </c>
      <c r="Y30" s="238">
        <v>0</v>
      </c>
      <c r="Z30" s="238">
        <v>0</v>
      </c>
      <c r="AA30" s="238">
        <v>0</v>
      </c>
      <c r="AB30" s="238">
        <v>0</v>
      </c>
      <c r="AC30" s="238">
        <v>0</v>
      </c>
      <c r="AD30" s="239" t="s">
        <v>29</v>
      </c>
      <c r="AE30" s="244">
        <f>VLOOKUP(Master2017[[#This Row],[Elevated Priority]],Epriority,2,)</f>
        <v>0</v>
      </c>
      <c r="AF30" s="238">
        <f>IF(Master2017[[#This Row],[Status]]="Active",Master2017[[#This Row],[Status_Score]],IF(C30="","",Q30+G30+S30+U30+AE30-5))</f>
        <v>22</v>
      </c>
      <c r="AG30" s="235"/>
      <c r="AH30" s="235">
        <v>2020</v>
      </c>
      <c r="AI30" s="235">
        <v>2021</v>
      </c>
      <c r="AJ30" s="243"/>
    </row>
    <row r="31" spans="1:63" ht="45" x14ac:dyDescent="0.25">
      <c r="A31" s="198">
        <f>A29+1</f>
        <v>25</v>
      </c>
      <c r="B31" s="236" t="s">
        <v>67</v>
      </c>
      <c r="C31" s="236" t="s">
        <v>428</v>
      </c>
      <c r="D31" s="236" t="s">
        <v>429</v>
      </c>
      <c r="E31" s="236" t="s">
        <v>430</v>
      </c>
      <c r="F31" s="236" t="s">
        <v>29</v>
      </c>
      <c r="G31" s="236">
        <f t="shared" si="0"/>
        <v>0</v>
      </c>
      <c r="H31" s="249"/>
      <c r="I31" s="249"/>
      <c r="J31" s="249">
        <f>Master2017[[#This Row],[Initial Budget]]-Master2017[[#This Row],[Previously Committed Funds]]</f>
        <v>0</v>
      </c>
      <c r="K31" s="249"/>
      <c r="L31" s="249"/>
      <c r="M31" s="258">
        <f>Master2017[[#This Row],[Design $ (Add/Deduct)]]+Master2017[[#This Row],[Construction $ (Add/Ded)]]</f>
        <v>0</v>
      </c>
      <c r="N31" s="256">
        <v>75000</v>
      </c>
      <c r="O31" s="237">
        <v>2018</v>
      </c>
      <c r="P31" s="236" t="s">
        <v>688</v>
      </c>
      <c r="Q31" s="237">
        <f t="shared" si="5"/>
        <v>20</v>
      </c>
      <c r="R31" s="238">
        <v>2</v>
      </c>
      <c r="S31" s="235">
        <f t="shared" si="6"/>
        <v>6</v>
      </c>
      <c r="T31" s="238" t="s">
        <v>41</v>
      </c>
      <c r="U31" s="238">
        <f t="shared" si="7"/>
        <v>4</v>
      </c>
      <c r="V31" s="238" t="s">
        <v>30</v>
      </c>
      <c r="W31" s="238">
        <v>0</v>
      </c>
      <c r="X31" s="238">
        <v>0</v>
      </c>
      <c r="Y31" s="238">
        <v>0</v>
      </c>
      <c r="Z31" s="238">
        <v>0</v>
      </c>
      <c r="AA31" s="238">
        <v>0</v>
      </c>
      <c r="AB31" s="238">
        <v>0</v>
      </c>
      <c r="AC31" s="238">
        <v>0</v>
      </c>
      <c r="AD31" s="239" t="s">
        <v>29</v>
      </c>
      <c r="AE31" s="244">
        <f>VLOOKUP(Master2017[[#This Row],[Elevated Priority]],Epriority,2,)</f>
        <v>0</v>
      </c>
      <c r="AF31" s="238">
        <f>IF(Master2017[[#This Row],[Status]]="Active",Master2017[[#This Row],[Status_Score]],IF(C31="","",Q31+G31+S31+U31+AE31-5))</f>
        <v>25</v>
      </c>
      <c r="AG31" s="235"/>
      <c r="AH31" s="235">
        <v>2021</v>
      </c>
      <c r="AI31" s="235">
        <v>2022</v>
      </c>
      <c r="AJ31" s="243"/>
    </row>
    <row r="32" spans="1:63" ht="30" x14ac:dyDescent="0.25">
      <c r="A32" s="198">
        <f>A30+1</f>
        <v>26</v>
      </c>
      <c r="B32" s="236" t="s">
        <v>72</v>
      </c>
      <c r="C32" s="243" t="s">
        <v>169</v>
      </c>
      <c r="D32" s="243" t="s">
        <v>889</v>
      </c>
      <c r="E32" s="243" t="s">
        <v>171</v>
      </c>
      <c r="F32" s="153" t="s">
        <v>29</v>
      </c>
      <c r="G32" s="251">
        <f t="shared" si="0"/>
        <v>0</v>
      </c>
      <c r="H32" s="261"/>
      <c r="I32" s="261"/>
      <c r="J32" s="261">
        <f>Master2017[[#This Row],[Initial Budget]]-Master2017[[#This Row],[Previously Committed Funds]]</f>
        <v>0</v>
      </c>
      <c r="K32" s="261"/>
      <c r="L32" s="261"/>
      <c r="M32" s="190">
        <f>Master2017[[#This Row],[Design $ (Add/Deduct)]]+Master2017[[#This Row],[Construction $ (Add/Ded)]]</f>
        <v>0</v>
      </c>
      <c r="N32" s="179">
        <v>500000</v>
      </c>
      <c r="O32" s="165">
        <v>2018</v>
      </c>
      <c r="P32" s="251" t="s">
        <v>688</v>
      </c>
      <c r="Q32" s="237">
        <f t="shared" si="5"/>
        <v>20</v>
      </c>
      <c r="R32" s="252">
        <v>2</v>
      </c>
      <c r="S32" s="235">
        <f t="shared" si="6"/>
        <v>6</v>
      </c>
      <c r="T32" s="252" t="s">
        <v>41</v>
      </c>
      <c r="U32" s="238">
        <f t="shared" si="7"/>
        <v>4</v>
      </c>
      <c r="V32" s="252" t="s">
        <v>30</v>
      </c>
      <c r="W32" s="238">
        <v>0</v>
      </c>
      <c r="X32" s="238">
        <v>0</v>
      </c>
      <c r="Y32" s="238">
        <v>0</v>
      </c>
      <c r="Z32" s="238">
        <v>0</v>
      </c>
      <c r="AA32" s="238">
        <v>0</v>
      </c>
      <c r="AB32" s="238">
        <v>0</v>
      </c>
      <c r="AC32" s="238">
        <v>0</v>
      </c>
      <c r="AD32" s="253" t="s">
        <v>29</v>
      </c>
      <c r="AE32" s="244">
        <f>VLOOKUP(Master2017[[#This Row],[Elevated Priority]],Epriority,2,)</f>
        <v>0</v>
      </c>
      <c r="AF32" s="238">
        <f>IF(Master2017[[#This Row],[Status]]="Active",Master2017[[#This Row],[Status_Score]],IF(C32="","",Q32+G32+S32+U32+AE32-5))</f>
        <v>25</v>
      </c>
      <c r="AG32" s="235"/>
      <c r="AH32" s="235"/>
      <c r="AI32" s="235"/>
      <c r="AJ32" s="243"/>
    </row>
    <row r="33" spans="1:63" s="141" customFormat="1" ht="60" x14ac:dyDescent="0.25">
      <c r="A33" s="198">
        <f t="shared" si="4"/>
        <v>27</v>
      </c>
      <c r="B33" s="236" t="s">
        <v>94</v>
      </c>
      <c r="C33" s="236" t="s">
        <v>588</v>
      </c>
      <c r="D33" s="236" t="s">
        <v>589</v>
      </c>
      <c r="E33" s="236"/>
      <c r="F33" s="236" t="s">
        <v>29</v>
      </c>
      <c r="G33" s="236">
        <f t="shared" si="0"/>
        <v>0</v>
      </c>
      <c r="H33" s="249"/>
      <c r="I33" s="249"/>
      <c r="J33" s="249">
        <f>Master2017[[#This Row],[Initial Budget]]-Master2017[[#This Row],[Previously Committed Funds]]</f>
        <v>0</v>
      </c>
      <c r="K33" s="249"/>
      <c r="L33" s="249"/>
      <c r="M33" s="258">
        <f>Master2017[[#This Row],[Design $ (Add/Deduct)]]+Master2017[[#This Row],[Construction $ (Add/Ded)]]</f>
        <v>0</v>
      </c>
      <c r="N33" s="256">
        <v>25000</v>
      </c>
      <c r="O33" s="239">
        <v>2019</v>
      </c>
      <c r="P33" s="236" t="s">
        <v>36</v>
      </c>
      <c r="Q33" s="237">
        <f t="shared" si="5"/>
        <v>10</v>
      </c>
      <c r="R33" s="238">
        <v>6</v>
      </c>
      <c r="S33" s="235">
        <f t="shared" si="6"/>
        <v>18</v>
      </c>
      <c r="T33" s="238" t="s">
        <v>41</v>
      </c>
      <c r="U33" s="238">
        <f t="shared" si="7"/>
        <v>4</v>
      </c>
      <c r="V33" s="238" t="s">
        <v>30</v>
      </c>
      <c r="W33" s="151">
        <v>0</v>
      </c>
      <c r="X33" s="151">
        <v>0</v>
      </c>
      <c r="Y33" s="151">
        <v>0</v>
      </c>
      <c r="Z33" s="151">
        <v>0</v>
      </c>
      <c r="AA33" s="151">
        <v>0</v>
      </c>
      <c r="AB33" s="151">
        <v>0</v>
      </c>
      <c r="AC33" s="151">
        <v>0</v>
      </c>
      <c r="AD33" s="239" t="s">
        <v>29</v>
      </c>
      <c r="AE33" s="244">
        <f>VLOOKUP(Master2017[[#This Row],[Elevated Priority]],Epriority,2,)</f>
        <v>0</v>
      </c>
      <c r="AF33" s="238">
        <f>IF(Master2017[[#This Row],[Status]]="Active",Master2017[[#This Row],[Status_Score]],IF(C33="","",Q33+G33+S33+U33+AE33-5))</f>
        <v>27</v>
      </c>
      <c r="AG33" s="276"/>
      <c r="AH33" s="276">
        <v>2021</v>
      </c>
      <c r="AI33" s="276">
        <v>2022</v>
      </c>
      <c r="AJ33" s="243"/>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row>
    <row r="34" spans="1:63" s="141" customFormat="1" ht="30" x14ac:dyDescent="0.25">
      <c r="A34" s="198">
        <f t="shared" si="4"/>
        <v>28</v>
      </c>
      <c r="B34" s="149" t="s">
        <v>79</v>
      </c>
      <c r="C34" s="236" t="s">
        <v>254</v>
      </c>
      <c r="D34" s="236" t="s">
        <v>255</v>
      </c>
      <c r="E34" s="236" t="s">
        <v>256</v>
      </c>
      <c r="F34" s="149" t="s">
        <v>29</v>
      </c>
      <c r="G34" s="149">
        <f t="shared" si="0"/>
        <v>0</v>
      </c>
      <c r="H34" s="162"/>
      <c r="I34" s="162"/>
      <c r="J34" s="162">
        <f>Master2017[[#This Row],[Initial Budget]]-Master2017[[#This Row],[Previously Committed Funds]]</f>
        <v>0</v>
      </c>
      <c r="K34" s="162"/>
      <c r="L34" s="162"/>
      <c r="M34" s="189">
        <f>Master2017[[#This Row],[Design $ (Add/Deduct)]]+Master2017[[#This Row],[Construction $ (Add/Ded)]]</f>
        <v>0</v>
      </c>
      <c r="N34" s="171">
        <v>50000</v>
      </c>
      <c r="O34" s="150">
        <v>2018</v>
      </c>
      <c r="P34" s="149" t="s">
        <v>688</v>
      </c>
      <c r="Q34" s="150">
        <f t="shared" si="5"/>
        <v>20</v>
      </c>
      <c r="R34" s="151">
        <v>3</v>
      </c>
      <c r="S34" s="148">
        <f t="shared" si="6"/>
        <v>9</v>
      </c>
      <c r="T34" s="151" t="s">
        <v>41</v>
      </c>
      <c r="U34" s="151">
        <f t="shared" si="7"/>
        <v>4</v>
      </c>
      <c r="V34" s="151" t="s">
        <v>30</v>
      </c>
      <c r="W34" s="151">
        <v>0</v>
      </c>
      <c r="X34" s="151">
        <v>0</v>
      </c>
      <c r="Y34" s="151">
        <v>0</v>
      </c>
      <c r="Z34" s="151">
        <v>0</v>
      </c>
      <c r="AA34" s="151">
        <v>0</v>
      </c>
      <c r="AB34" s="151">
        <v>0</v>
      </c>
      <c r="AC34" s="151">
        <v>0</v>
      </c>
      <c r="AD34" s="152" t="s">
        <v>29</v>
      </c>
      <c r="AE34" s="157">
        <f>VLOOKUP(Master2017[[#This Row],[Elevated Priority]],Epriority,2,)</f>
        <v>0</v>
      </c>
      <c r="AF34" s="151">
        <f>IF(Master2017[[#This Row],[Status]]="Active",Master2017[[#This Row],[Status_Score]],IF(C34="","",Q34+G34+S34+U34+AE34-5))</f>
        <v>28</v>
      </c>
      <c r="AG34" s="148"/>
      <c r="AH34" s="148">
        <v>2020</v>
      </c>
      <c r="AI34" s="148">
        <v>2021</v>
      </c>
      <c r="AJ34" s="156" t="s">
        <v>980</v>
      </c>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row>
    <row r="35" spans="1:63" s="141" customFormat="1" ht="30" x14ac:dyDescent="0.25">
      <c r="A35" s="198">
        <f t="shared" si="4"/>
        <v>29</v>
      </c>
      <c r="B35" s="149" t="s">
        <v>61</v>
      </c>
      <c r="C35" s="156" t="s">
        <v>935</v>
      </c>
      <c r="D35" s="156" t="s">
        <v>662</v>
      </c>
      <c r="E35" s="156" t="s">
        <v>266</v>
      </c>
      <c r="F35" s="149" t="s">
        <v>29</v>
      </c>
      <c r="G35" s="149">
        <f t="shared" si="0"/>
        <v>0</v>
      </c>
      <c r="H35" s="162"/>
      <c r="I35" s="162"/>
      <c r="J35" s="162">
        <f>Master2017[[#This Row],[Initial Budget]]-Master2017[[#This Row],[Previously Committed Funds]]</f>
        <v>0</v>
      </c>
      <c r="K35" s="162"/>
      <c r="L35" s="162"/>
      <c r="M35" s="189">
        <f>Master2017[[#This Row],[Design $ (Add/Deduct)]]+Master2017[[#This Row],[Construction $ (Add/Ded)]]</f>
        <v>0</v>
      </c>
      <c r="N35" s="256">
        <v>50000</v>
      </c>
      <c r="O35" s="237">
        <v>2018</v>
      </c>
      <c r="P35" s="236" t="s">
        <v>688</v>
      </c>
      <c r="Q35" s="150">
        <f t="shared" si="5"/>
        <v>20</v>
      </c>
      <c r="R35" s="238">
        <v>3</v>
      </c>
      <c r="S35" s="148">
        <f t="shared" si="6"/>
        <v>9</v>
      </c>
      <c r="T35" s="238" t="s">
        <v>41</v>
      </c>
      <c r="U35" s="151">
        <f t="shared" si="7"/>
        <v>4</v>
      </c>
      <c r="V35" s="238" t="s">
        <v>30</v>
      </c>
      <c r="W35" s="151">
        <v>0</v>
      </c>
      <c r="X35" s="151">
        <v>0</v>
      </c>
      <c r="Y35" s="151">
        <v>0</v>
      </c>
      <c r="Z35" s="151">
        <v>0</v>
      </c>
      <c r="AA35" s="151">
        <v>0</v>
      </c>
      <c r="AB35" s="151">
        <v>0</v>
      </c>
      <c r="AC35" s="151">
        <v>0</v>
      </c>
      <c r="AD35" s="152" t="s">
        <v>29</v>
      </c>
      <c r="AE35" s="157">
        <f>VLOOKUP(Master2017[[#This Row],[Elevated Priority]],Epriority,2,)</f>
        <v>0</v>
      </c>
      <c r="AF35" s="151">
        <f>IF(Master2017[[#This Row],[Status]]="Active",Master2017[[#This Row],[Status_Score]],IF(C35="","",Q35+G35+S35+U35+AE35-5))</f>
        <v>28</v>
      </c>
      <c r="AG35" s="148"/>
      <c r="AH35" s="148">
        <v>2021</v>
      </c>
      <c r="AI35" s="148">
        <v>2022</v>
      </c>
      <c r="AJ35" s="156"/>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row>
    <row r="36" spans="1:63" s="141" customFormat="1" ht="30" hidden="1" x14ac:dyDescent="0.25">
      <c r="A36" s="198">
        <f t="shared" si="4"/>
        <v>30</v>
      </c>
      <c r="B36" s="149" t="s">
        <v>72</v>
      </c>
      <c r="C36" s="156" t="s">
        <v>762</v>
      </c>
      <c r="D36" s="156" t="s">
        <v>770</v>
      </c>
      <c r="E36" s="202" t="s">
        <v>771</v>
      </c>
      <c r="F36" s="149" t="s">
        <v>29</v>
      </c>
      <c r="G36" s="149">
        <f t="shared" si="0"/>
        <v>0</v>
      </c>
      <c r="H36" s="162"/>
      <c r="I36" s="162"/>
      <c r="J36" s="162">
        <f>Master2017[[#This Row],[Initial Budget]]-Master2017[[#This Row],[Previously Committed Funds]]</f>
        <v>0</v>
      </c>
      <c r="K36" s="162"/>
      <c r="L36" s="162"/>
      <c r="M36" s="189">
        <f>Master2017[[#This Row],[Design $ (Add/Deduct)]]+Master2017[[#This Row],[Construction $ (Add/Ded)]]</f>
        <v>0</v>
      </c>
      <c r="N36" s="171">
        <v>800000</v>
      </c>
      <c r="O36" s="150">
        <v>2018</v>
      </c>
      <c r="P36" s="149" t="s">
        <v>32</v>
      </c>
      <c r="Q36" s="150">
        <f t="shared" si="5"/>
        <v>1</v>
      </c>
      <c r="R36" s="151">
        <v>3</v>
      </c>
      <c r="S36" s="148">
        <f t="shared" si="6"/>
        <v>9</v>
      </c>
      <c r="T36" s="151" t="s">
        <v>37</v>
      </c>
      <c r="U36" s="151">
        <f t="shared" si="7"/>
        <v>3</v>
      </c>
      <c r="V36" s="151" t="s">
        <v>34</v>
      </c>
      <c r="W36" s="185">
        <v>0</v>
      </c>
      <c r="X36" s="151">
        <v>0</v>
      </c>
      <c r="Y36" s="151">
        <v>0</v>
      </c>
      <c r="Z36" s="151">
        <v>-3</v>
      </c>
      <c r="AA36" s="151">
        <v>0</v>
      </c>
      <c r="AB36" s="151">
        <v>0</v>
      </c>
      <c r="AC36" s="151">
        <v>-3</v>
      </c>
      <c r="AD36" s="152" t="s">
        <v>29</v>
      </c>
      <c r="AE36" s="157">
        <f>VLOOKUP(Master2017[[#This Row],[Elevated Priority]],Epriority,2,)</f>
        <v>0</v>
      </c>
      <c r="AF36" s="151">
        <f>IF(Master2017[[#This Row],[Status]]="Active",Master2017[[#This Row],[Status_Score]],IF(C36="","",Q36+G36+S36+U36+AE36-5))</f>
        <v>8</v>
      </c>
      <c r="AG36" s="148"/>
      <c r="AH36" s="148">
        <v>2020</v>
      </c>
      <c r="AI36" s="148">
        <v>2022</v>
      </c>
      <c r="AJ36" s="156"/>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row>
    <row r="37" spans="1:63" ht="105" x14ac:dyDescent="0.25">
      <c r="A37" s="198">
        <f t="shared" si="4"/>
        <v>31</v>
      </c>
      <c r="B37" s="149" t="s">
        <v>152</v>
      </c>
      <c r="C37" s="243" t="s">
        <v>834</v>
      </c>
      <c r="D37" s="243" t="s">
        <v>835</v>
      </c>
      <c r="E37" s="243" t="s">
        <v>275</v>
      </c>
      <c r="F37" s="149" t="s">
        <v>29</v>
      </c>
      <c r="G37" s="149">
        <f t="shared" si="0"/>
        <v>0</v>
      </c>
      <c r="H37" s="162"/>
      <c r="I37" s="162"/>
      <c r="J37" s="162">
        <f>Master2017[[#This Row],[Initial Budget]]-Master2017[[#This Row],[Previously Committed Funds]]</f>
        <v>0</v>
      </c>
      <c r="K37" s="162"/>
      <c r="L37" s="162"/>
      <c r="M37" s="189">
        <f>Master2017[[#This Row],[Design $ (Add/Deduct)]]+Master2017[[#This Row],[Construction $ (Add/Ded)]]</f>
        <v>0</v>
      </c>
      <c r="N37" s="171">
        <v>200000</v>
      </c>
      <c r="O37" s="150">
        <v>2018</v>
      </c>
      <c r="P37" s="149" t="s">
        <v>688</v>
      </c>
      <c r="Q37" s="150">
        <f t="shared" si="5"/>
        <v>20</v>
      </c>
      <c r="R37" s="151">
        <v>3</v>
      </c>
      <c r="S37" s="148">
        <f t="shared" si="6"/>
        <v>9</v>
      </c>
      <c r="T37" s="151" t="s">
        <v>41</v>
      </c>
      <c r="U37" s="151">
        <f t="shared" si="7"/>
        <v>4</v>
      </c>
      <c r="V37" s="151" t="s">
        <v>30</v>
      </c>
      <c r="W37" s="151">
        <v>0</v>
      </c>
      <c r="X37" s="151">
        <v>0</v>
      </c>
      <c r="Y37" s="151">
        <v>0</v>
      </c>
      <c r="Z37" s="151">
        <v>0</v>
      </c>
      <c r="AA37" s="151">
        <v>0</v>
      </c>
      <c r="AB37" s="151">
        <v>0</v>
      </c>
      <c r="AC37" s="151">
        <v>0</v>
      </c>
      <c r="AD37" s="152" t="s">
        <v>29</v>
      </c>
      <c r="AE37" s="157">
        <f>VLOOKUP(Master2017[[#This Row],[Elevated Priority]],Epriority,2,)</f>
        <v>0</v>
      </c>
      <c r="AF37" s="151">
        <f>IF(Master2017[[#This Row],[Status]]="Active",Master2017[[#This Row],[Status_Score]],IF(C37="","",Q37+G37+S37+U37+AE37-5))</f>
        <v>28</v>
      </c>
      <c r="AG37" s="148"/>
      <c r="AH37" s="148">
        <v>2021</v>
      </c>
      <c r="AI37" s="148">
        <v>2022</v>
      </c>
      <c r="AJ37" s="156"/>
    </row>
    <row r="38" spans="1:63" ht="30" hidden="1" x14ac:dyDescent="0.25">
      <c r="A38" s="198">
        <f t="shared" si="4"/>
        <v>32</v>
      </c>
      <c r="B38" s="204" t="s">
        <v>61</v>
      </c>
      <c r="C38" s="207" t="s">
        <v>839</v>
      </c>
      <c r="D38" s="164" t="s">
        <v>812</v>
      </c>
      <c r="E38" s="180" t="s">
        <v>813</v>
      </c>
      <c r="F38" s="149" t="s">
        <v>29</v>
      </c>
      <c r="G38" s="149">
        <f t="shared" si="0"/>
        <v>0</v>
      </c>
      <c r="H38" s="162"/>
      <c r="I38" s="162"/>
      <c r="J38" s="162">
        <f>Master2017[[#This Row],[Initial Budget]]-Master2017[[#This Row],[Previously Committed Funds]]</f>
        <v>0</v>
      </c>
      <c r="K38" s="162"/>
      <c r="L38" s="162"/>
      <c r="M38" s="189">
        <f>Master2017[[#This Row],[Design $ (Add/Deduct)]]+Master2017[[#This Row],[Construction $ (Add/Ded)]]</f>
        <v>0</v>
      </c>
      <c r="N38" s="171">
        <v>2000000</v>
      </c>
      <c r="O38" s="150">
        <v>2020</v>
      </c>
      <c r="P38" s="149" t="s">
        <v>688</v>
      </c>
      <c r="Q38" s="150">
        <f t="shared" si="5"/>
        <v>20</v>
      </c>
      <c r="R38" s="151">
        <v>1</v>
      </c>
      <c r="S38" s="148">
        <f t="shared" si="6"/>
        <v>3</v>
      </c>
      <c r="T38" s="151" t="s">
        <v>41</v>
      </c>
      <c r="U38" s="151">
        <f t="shared" si="7"/>
        <v>4</v>
      </c>
      <c r="V38" s="151" t="s">
        <v>34</v>
      </c>
      <c r="W38" s="185">
        <v>0</v>
      </c>
      <c r="X38" s="151">
        <v>0</v>
      </c>
      <c r="Y38" s="151">
        <v>-3</v>
      </c>
      <c r="Z38" s="151">
        <v>-3</v>
      </c>
      <c r="AA38" s="151">
        <v>0</v>
      </c>
      <c r="AB38" s="151">
        <v>-5</v>
      </c>
      <c r="AC38" s="151">
        <v>-3</v>
      </c>
      <c r="AD38" s="152" t="s">
        <v>29</v>
      </c>
      <c r="AE38" s="157">
        <f>VLOOKUP(Master2017[[#This Row],[Elevated Priority]],Epriority,2,)</f>
        <v>0</v>
      </c>
      <c r="AF38" s="151">
        <f>IF(Master2017[[#This Row],[Status]]="Active",Master2017[[#This Row],[Status_Score]],IF(C38="","",Q38+G38+S38+U38+AE38-5))</f>
        <v>22</v>
      </c>
      <c r="AG38" s="148"/>
      <c r="AH38" s="148">
        <v>2021</v>
      </c>
      <c r="AI38" s="148">
        <v>2022</v>
      </c>
      <c r="AJ38" s="156" t="s">
        <v>975</v>
      </c>
    </row>
    <row r="39" spans="1:63" ht="90" hidden="1" x14ac:dyDescent="0.25">
      <c r="A39" s="198">
        <f t="shared" si="4"/>
        <v>33</v>
      </c>
      <c r="B39" s="149" t="s">
        <v>61</v>
      </c>
      <c r="C39" s="149" t="s">
        <v>313</v>
      </c>
      <c r="D39" s="149" t="s">
        <v>890</v>
      </c>
      <c r="E39" s="149" t="s">
        <v>315</v>
      </c>
      <c r="F39" s="149" t="s">
        <v>29</v>
      </c>
      <c r="G39" s="149">
        <f t="shared" si="0"/>
        <v>0</v>
      </c>
      <c r="H39" s="162"/>
      <c r="I39" s="162"/>
      <c r="J39" s="162">
        <f>Master2017[[#This Row],[Initial Budget]]-Master2017[[#This Row],[Previously Committed Funds]]</f>
        <v>0</v>
      </c>
      <c r="K39" s="162"/>
      <c r="L39" s="162"/>
      <c r="M39" s="189">
        <f>Master2017[[#This Row],[Design $ (Add/Deduct)]]+Master2017[[#This Row],[Construction $ (Add/Ded)]]</f>
        <v>0</v>
      </c>
      <c r="N39" s="171">
        <v>10000000</v>
      </c>
      <c r="O39" s="150">
        <v>2018</v>
      </c>
      <c r="P39" s="149" t="s">
        <v>687</v>
      </c>
      <c r="Q39" s="150">
        <f t="shared" si="5"/>
        <v>30</v>
      </c>
      <c r="R39" s="151">
        <v>1</v>
      </c>
      <c r="S39" s="148">
        <f t="shared" si="6"/>
        <v>3</v>
      </c>
      <c r="T39" s="151" t="s">
        <v>41</v>
      </c>
      <c r="U39" s="151">
        <f t="shared" si="7"/>
        <v>4</v>
      </c>
      <c r="V39" s="151" t="s">
        <v>34</v>
      </c>
      <c r="W39" s="185">
        <v>-5</v>
      </c>
      <c r="X39" s="151">
        <v>-3</v>
      </c>
      <c r="Y39" s="151">
        <v>-3</v>
      </c>
      <c r="Z39" s="151">
        <v>-3</v>
      </c>
      <c r="AA39" s="151">
        <v>0</v>
      </c>
      <c r="AB39" s="151">
        <v>-5</v>
      </c>
      <c r="AC39" s="151">
        <v>-3</v>
      </c>
      <c r="AD39" s="152" t="s">
        <v>29</v>
      </c>
      <c r="AE39" s="157">
        <f>VLOOKUP(Master2017[[#This Row],[Elevated Priority]],Epriority,2,)</f>
        <v>0</v>
      </c>
      <c r="AF39" s="151">
        <f>IF(Master2017[[#This Row],[Status]]="Active",Master2017[[#This Row],[Status_Score]],IF(C39="","",Q39+G39+S39+U39+AE39-5))</f>
        <v>32</v>
      </c>
      <c r="AG39" s="148"/>
      <c r="AH39" s="148">
        <v>2020</v>
      </c>
      <c r="AI39" s="148">
        <v>2023</v>
      </c>
      <c r="AJ39" s="156"/>
    </row>
    <row r="40" spans="1:63" ht="30" x14ac:dyDescent="0.25">
      <c r="A40" s="198">
        <f t="shared" si="4"/>
        <v>34</v>
      </c>
      <c r="B40" s="149" t="s">
        <v>94</v>
      </c>
      <c r="C40" s="241" t="s">
        <v>267</v>
      </c>
      <c r="D40" s="236" t="s">
        <v>268</v>
      </c>
      <c r="E40" s="236" t="s">
        <v>269</v>
      </c>
      <c r="F40" s="149" t="s">
        <v>29</v>
      </c>
      <c r="G40" s="149">
        <f t="shared" si="0"/>
        <v>0</v>
      </c>
      <c r="H40" s="162"/>
      <c r="I40" s="162"/>
      <c r="J40" s="162">
        <f>Master2017[[#This Row],[Initial Budget]]-Master2017[[#This Row],[Previously Committed Funds]]</f>
        <v>0</v>
      </c>
      <c r="K40" s="162"/>
      <c r="L40" s="162"/>
      <c r="M40" s="189">
        <f>Master2017[[#This Row],[Design $ (Add/Deduct)]]+Master2017[[#This Row],[Construction $ (Add/Ded)]]</f>
        <v>0</v>
      </c>
      <c r="N40" s="171">
        <v>850000</v>
      </c>
      <c r="O40" s="150">
        <v>2018</v>
      </c>
      <c r="P40" s="149" t="s">
        <v>36</v>
      </c>
      <c r="Q40" s="150">
        <f t="shared" si="5"/>
        <v>10</v>
      </c>
      <c r="R40" s="151">
        <v>14</v>
      </c>
      <c r="S40" s="148">
        <f t="shared" si="6"/>
        <v>23</v>
      </c>
      <c r="T40" s="151" t="s">
        <v>41</v>
      </c>
      <c r="U40" s="151">
        <f t="shared" si="7"/>
        <v>4</v>
      </c>
      <c r="V40" s="151" t="s">
        <v>30</v>
      </c>
      <c r="W40" s="151">
        <v>0</v>
      </c>
      <c r="X40" s="151">
        <v>0</v>
      </c>
      <c r="Y40" s="151">
        <v>0</v>
      </c>
      <c r="Z40" s="151">
        <v>0</v>
      </c>
      <c r="AA40" s="151">
        <v>0</v>
      </c>
      <c r="AB40" s="151">
        <v>0</v>
      </c>
      <c r="AC40" s="151">
        <v>0</v>
      </c>
      <c r="AD40" s="152" t="s">
        <v>29</v>
      </c>
      <c r="AE40" s="157">
        <f>VLOOKUP(Master2017[[#This Row],[Elevated Priority]],Epriority,2,)</f>
        <v>0</v>
      </c>
      <c r="AF40" s="151">
        <f>IF(Master2017[[#This Row],[Status]]="Active",Master2017[[#This Row],[Status_Score]],IF(C40="","",Q40+G40+S40+U40+AE40-5))</f>
        <v>32</v>
      </c>
      <c r="AG40" s="148"/>
      <c r="AH40" s="148">
        <v>2021</v>
      </c>
      <c r="AI40" s="148">
        <v>2022</v>
      </c>
      <c r="AJ40" s="156"/>
    </row>
    <row r="41" spans="1:63" ht="45" x14ac:dyDescent="0.25">
      <c r="A41" s="198">
        <f t="shared" si="4"/>
        <v>35</v>
      </c>
      <c r="B41" s="149" t="s">
        <v>91</v>
      </c>
      <c r="C41" s="149" t="s">
        <v>242</v>
      </c>
      <c r="D41" s="241" t="s">
        <v>243</v>
      </c>
      <c r="E41" s="241" t="s">
        <v>244</v>
      </c>
      <c r="F41" s="149" t="s">
        <v>29</v>
      </c>
      <c r="G41" s="149">
        <f t="shared" si="0"/>
        <v>0</v>
      </c>
      <c r="H41" s="162"/>
      <c r="I41" s="162"/>
      <c r="J41" s="162">
        <f>Master2017[[#This Row],[Initial Budget]]-Master2017[[#This Row],[Previously Committed Funds]]</f>
        <v>0</v>
      </c>
      <c r="K41" s="162"/>
      <c r="L41" s="162"/>
      <c r="M41" s="189">
        <f>Master2017[[#This Row],[Design $ (Add/Deduct)]]+Master2017[[#This Row],[Construction $ (Add/Ded)]]</f>
        <v>0</v>
      </c>
      <c r="N41" s="171">
        <v>350000</v>
      </c>
      <c r="O41" s="150">
        <v>2018</v>
      </c>
      <c r="P41" s="149" t="s">
        <v>36</v>
      </c>
      <c r="Q41" s="150">
        <f t="shared" si="5"/>
        <v>10</v>
      </c>
      <c r="R41" s="151">
        <v>4</v>
      </c>
      <c r="S41" s="148">
        <f t="shared" si="6"/>
        <v>12</v>
      </c>
      <c r="T41" s="151" t="s">
        <v>43</v>
      </c>
      <c r="U41" s="151">
        <f t="shared" si="7"/>
        <v>16</v>
      </c>
      <c r="V41" s="151" t="s">
        <v>30</v>
      </c>
      <c r="W41" s="151">
        <v>0</v>
      </c>
      <c r="X41" s="151">
        <v>0</v>
      </c>
      <c r="Y41" s="151">
        <v>0</v>
      </c>
      <c r="Z41" s="151">
        <v>0</v>
      </c>
      <c r="AA41" s="151">
        <v>0</v>
      </c>
      <c r="AB41" s="151">
        <v>0</v>
      </c>
      <c r="AC41" s="151">
        <v>0</v>
      </c>
      <c r="AD41" s="152" t="s">
        <v>29</v>
      </c>
      <c r="AE41" s="157">
        <f>VLOOKUP(Master2017[[#This Row],[Elevated Priority]],Epriority,2,)</f>
        <v>0</v>
      </c>
      <c r="AF41" s="151">
        <f>IF(Master2017[[#This Row],[Status]]="Active",Master2017[[#This Row],[Status_Score]],IF(C41="","",Q41+G41+S41+U41+AE41-5))</f>
        <v>33</v>
      </c>
      <c r="AG41" s="238"/>
      <c r="AH41" s="238">
        <v>2022</v>
      </c>
      <c r="AI41" s="238">
        <v>2023</v>
      </c>
      <c r="AJ41" s="236"/>
    </row>
    <row r="42" spans="1:63" ht="210" x14ac:dyDescent="0.25">
      <c r="A42" s="198">
        <f t="shared" si="4"/>
        <v>36</v>
      </c>
      <c r="B42" s="149" t="s">
        <v>73</v>
      </c>
      <c r="C42" s="149" t="s">
        <v>354</v>
      </c>
      <c r="D42" s="149" t="s">
        <v>819</v>
      </c>
      <c r="E42" s="149" t="s">
        <v>818</v>
      </c>
      <c r="F42" s="149" t="s">
        <v>29</v>
      </c>
      <c r="G42" s="149">
        <f t="shared" si="0"/>
        <v>0</v>
      </c>
      <c r="H42" s="162"/>
      <c r="I42" s="162"/>
      <c r="J42" s="162">
        <f>Master2017[[#This Row],[Initial Budget]]-Master2017[[#This Row],[Previously Committed Funds]]</f>
        <v>0</v>
      </c>
      <c r="K42" s="162"/>
      <c r="L42" s="162"/>
      <c r="M42" s="189">
        <f>Master2017[[#This Row],[Design $ (Add/Deduct)]]+Master2017[[#This Row],[Construction $ (Add/Ded)]]</f>
        <v>0</v>
      </c>
      <c r="N42" s="171">
        <v>300000</v>
      </c>
      <c r="O42" s="150">
        <v>2018</v>
      </c>
      <c r="P42" s="149" t="s">
        <v>688</v>
      </c>
      <c r="Q42" s="150">
        <f t="shared" si="5"/>
        <v>20</v>
      </c>
      <c r="R42" s="151">
        <v>1</v>
      </c>
      <c r="S42" s="148">
        <f t="shared" si="6"/>
        <v>3</v>
      </c>
      <c r="T42" s="151" t="s">
        <v>43</v>
      </c>
      <c r="U42" s="151">
        <f t="shared" si="7"/>
        <v>16</v>
      </c>
      <c r="V42" s="151" t="s">
        <v>30</v>
      </c>
      <c r="W42" s="151">
        <v>0</v>
      </c>
      <c r="X42" s="151">
        <v>0</v>
      </c>
      <c r="Y42" s="151">
        <v>0</v>
      </c>
      <c r="Z42" s="151">
        <v>0</v>
      </c>
      <c r="AA42" s="151">
        <v>0</v>
      </c>
      <c r="AB42" s="151">
        <v>0</v>
      </c>
      <c r="AC42" s="151">
        <v>0</v>
      </c>
      <c r="AD42" s="152" t="s">
        <v>29</v>
      </c>
      <c r="AE42" s="157">
        <f>VLOOKUP(Master2017[[#This Row],[Elevated Priority]],Epriority,2,)</f>
        <v>0</v>
      </c>
      <c r="AF42" s="151">
        <f>IF(Master2017[[#This Row],[Status]]="Active",Master2017[[#This Row],[Status_Score]],IF(C42="","",Q42+G42+S42+U42+AE42-5))</f>
        <v>34</v>
      </c>
      <c r="AG42" s="148"/>
      <c r="AH42" s="148">
        <v>2020</v>
      </c>
      <c r="AI42" s="148">
        <v>2021</v>
      </c>
      <c r="AJ42" s="156" t="s">
        <v>934</v>
      </c>
    </row>
    <row r="43" spans="1:63" ht="30" hidden="1" x14ac:dyDescent="0.25">
      <c r="A43" s="198">
        <f t="shared" si="4"/>
        <v>37</v>
      </c>
      <c r="B43" s="149" t="s">
        <v>777</v>
      </c>
      <c r="C43" s="156" t="s">
        <v>799</v>
      </c>
      <c r="D43" s="156" t="s">
        <v>776</v>
      </c>
      <c r="E43" s="156" t="s">
        <v>800</v>
      </c>
      <c r="F43" s="149" t="s">
        <v>29</v>
      </c>
      <c r="G43" s="149">
        <f t="shared" si="0"/>
        <v>0</v>
      </c>
      <c r="H43" s="162"/>
      <c r="I43" s="162"/>
      <c r="J43" s="162">
        <f>Master2017[[#This Row],[Initial Budget]]-Master2017[[#This Row],[Previously Committed Funds]]</f>
        <v>0</v>
      </c>
      <c r="K43" s="162"/>
      <c r="L43" s="162"/>
      <c r="M43" s="189">
        <f>Master2017[[#This Row],[Design $ (Add/Deduct)]]+Master2017[[#This Row],[Construction $ (Add/Ded)]]</f>
        <v>0</v>
      </c>
      <c r="N43" s="159">
        <v>175000</v>
      </c>
      <c r="O43" s="157">
        <v>2020</v>
      </c>
      <c r="P43" s="149" t="s">
        <v>688</v>
      </c>
      <c r="Q43" s="150">
        <f t="shared" si="5"/>
        <v>20</v>
      </c>
      <c r="R43" s="148">
        <v>1</v>
      </c>
      <c r="S43" s="148">
        <f t="shared" si="6"/>
        <v>3</v>
      </c>
      <c r="T43" s="148" t="s">
        <v>37</v>
      </c>
      <c r="U43" s="151">
        <f t="shared" si="7"/>
        <v>3</v>
      </c>
      <c r="V43" s="148" t="s">
        <v>34</v>
      </c>
      <c r="W43" s="185">
        <v>0</v>
      </c>
      <c r="X43" s="151">
        <v>0</v>
      </c>
      <c r="Y43" s="151">
        <v>-3</v>
      </c>
      <c r="Z43" s="151">
        <v>0</v>
      </c>
      <c r="AA43" s="151">
        <v>0</v>
      </c>
      <c r="AB43" s="151">
        <v>0</v>
      </c>
      <c r="AC43" s="151">
        <v>-3</v>
      </c>
      <c r="AD43" s="152" t="s">
        <v>29</v>
      </c>
      <c r="AE43" s="157">
        <f>VLOOKUP(Master2017[[#This Row],[Elevated Priority]],Epriority,2,)</f>
        <v>0</v>
      </c>
      <c r="AF43" s="151">
        <f>IF(Master2017[[#This Row],[Status]]="Active",Master2017[[#This Row],[Status_Score]],IF(C43="","",Q43+G43+S43+U43+AE43-5))</f>
        <v>21</v>
      </c>
      <c r="AG43" s="148"/>
      <c r="AH43" s="148">
        <v>2020</v>
      </c>
      <c r="AI43" s="148">
        <v>2021</v>
      </c>
      <c r="AJ43" s="156" t="s">
        <v>978</v>
      </c>
    </row>
    <row r="44" spans="1:63" ht="30" hidden="1" x14ac:dyDescent="0.25">
      <c r="A44" s="198">
        <f t="shared" si="4"/>
        <v>38</v>
      </c>
      <c r="B44" s="149" t="s">
        <v>61</v>
      </c>
      <c r="C44" s="156" t="s">
        <v>217</v>
      </c>
      <c r="D44" s="156" t="s">
        <v>218</v>
      </c>
      <c r="E44" s="156" t="s">
        <v>219</v>
      </c>
      <c r="F44" s="149" t="s">
        <v>29</v>
      </c>
      <c r="G44" s="149">
        <f t="shared" si="0"/>
        <v>0</v>
      </c>
      <c r="H44" s="162"/>
      <c r="I44" s="162"/>
      <c r="J44" s="162">
        <f>Master2017[[#This Row],[Initial Budget]]-Master2017[[#This Row],[Previously Committed Funds]]</f>
        <v>0</v>
      </c>
      <c r="K44" s="162"/>
      <c r="L44" s="162"/>
      <c r="M44" s="189">
        <f>Master2017[[#This Row],[Design $ (Add/Deduct)]]+Master2017[[#This Row],[Construction $ (Add/Ded)]]</f>
        <v>0</v>
      </c>
      <c r="N44" s="171">
        <v>1500000</v>
      </c>
      <c r="O44" s="150">
        <v>2018</v>
      </c>
      <c r="P44" s="149" t="s">
        <v>36</v>
      </c>
      <c r="Q44" s="150">
        <f t="shared" si="5"/>
        <v>10</v>
      </c>
      <c r="R44" s="151">
        <v>2</v>
      </c>
      <c r="S44" s="148">
        <f t="shared" si="6"/>
        <v>6</v>
      </c>
      <c r="T44" s="151" t="s">
        <v>43</v>
      </c>
      <c r="U44" s="151">
        <f t="shared" si="7"/>
        <v>16</v>
      </c>
      <c r="V44" s="151" t="s">
        <v>34</v>
      </c>
      <c r="W44" s="185">
        <v>-2</v>
      </c>
      <c r="X44" s="151">
        <v>-5</v>
      </c>
      <c r="Y44" s="151">
        <v>0</v>
      </c>
      <c r="Z44" s="151">
        <v>0</v>
      </c>
      <c r="AA44" s="151">
        <v>0</v>
      </c>
      <c r="AB44" s="151">
        <v>-3</v>
      </c>
      <c r="AC44" s="151">
        <v>-1</v>
      </c>
      <c r="AD44" s="152" t="s">
        <v>29</v>
      </c>
      <c r="AE44" s="157">
        <f>VLOOKUP(Master2017[[#This Row],[Elevated Priority]],Epriority,2,)</f>
        <v>0</v>
      </c>
      <c r="AF44" s="151">
        <f>IF(Master2017[[#This Row],[Status]]="Active",Master2017[[#This Row],[Status_Score]],IF(C44="","",Q44+G44+S44+U44+AE44-5))</f>
        <v>27</v>
      </c>
      <c r="AG44" s="151"/>
      <c r="AH44" s="151">
        <v>2021</v>
      </c>
      <c r="AI44" s="151">
        <v>2022</v>
      </c>
      <c r="AJ44" s="156"/>
    </row>
    <row r="45" spans="1:63" ht="30" x14ac:dyDescent="0.25">
      <c r="A45" s="198">
        <f t="shared" si="4"/>
        <v>39</v>
      </c>
      <c r="B45" s="236" t="s">
        <v>732</v>
      </c>
      <c r="C45" s="149" t="s">
        <v>969</v>
      </c>
      <c r="D45" s="149" t="s">
        <v>970</v>
      </c>
      <c r="E45" s="149" t="s">
        <v>971</v>
      </c>
      <c r="F45" s="149" t="s">
        <v>29</v>
      </c>
      <c r="G45" s="260">
        <f t="shared" si="0"/>
        <v>0</v>
      </c>
      <c r="H45" s="162"/>
      <c r="I45" s="162"/>
      <c r="J45" s="162">
        <f>Master2017[[#This Row],[Initial Budget]]-Master2017[[#This Row],[Previously Committed Funds]]</f>
        <v>0</v>
      </c>
      <c r="K45" s="162"/>
      <c r="L45" s="162"/>
      <c r="M45" s="189"/>
      <c r="N45" s="171">
        <v>75000</v>
      </c>
      <c r="O45" s="150">
        <v>2018</v>
      </c>
      <c r="P45" s="149" t="s">
        <v>688</v>
      </c>
      <c r="Q45" s="150">
        <f t="shared" si="5"/>
        <v>20</v>
      </c>
      <c r="R45" s="151">
        <v>5</v>
      </c>
      <c r="S45" s="148">
        <f t="shared" si="6"/>
        <v>15</v>
      </c>
      <c r="T45" s="151" t="s">
        <v>41</v>
      </c>
      <c r="U45" s="151">
        <f t="shared" si="7"/>
        <v>4</v>
      </c>
      <c r="V45" s="151" t="s">
        <v>30</v>
      </c>
      <c r="W45" s="151">
        <v>0</v>
      </c>
      <c r="X45" s="151">
        <v>0</v>
      </c>
      <c r="Y45" s="151">
        <v>0</v>
      </c>
      <c r="Z45" s="151">
        <v>0</v>
      </c>
      <c r="AA45" s="151">
        <v>0</v>
      </c>
      <c r="AB45" s="151">
        <v>0</v>
      </c>
      <c r="AC45" s="151">
        <v>0</v>
      </c>
      <c r="AD45" s="152" t="s">
        <v>29</v>
      </c>
      <c r="AE45" s="157">
        <f>VLOOKUP(Master2017[[#This Row],[Elevated Priority]],Epriority,2,)</f>
        <v>0</v>
      </c>
      <c r="AF45" s="237">
        <f>IF(Master2017[[#This Row],[Status]]="Active",Master2017[[#This Row],[Status_Score]],IF(C45="","",Q45+G45+S45+U45+AE45-5))</f>
        <v>34</v>
      </c>
      <c r="AG45" s="148"/>
      <c r="AH45" s="148">
        <v>2020</v>
      </c>
      <c r="AI45" s="148">
        <v>2021</v>
      </c>
      <c r="AJ45" s="156"/>
    </row>
    <row r="46" spans="1:63" ht="45" x14ac:dyDescent="0.25">
      <c r="A46" s="198">
        <f t="shared" si="4"/>
        <v>40</v>
      </c>
      <c r="B46" s="149" t="s">
        <v>143</v>
      </c>
      <c r="C46" s="243" t="s">
        <v>163</v>
      </c>
      <c r="D46" s="243" t="s">
        <v>164</v>
      </c>
      <c r="E46" s="243" t="s">
        <v>165</v>
      </c>
      <c r="F46" s="149" t="s">
        <v>29</v>
      </c>
      <c r="G46" s="149">
        <f t="shared" si="0"/>
        <v>0</v>
      </c>
      <c r="H46" s="162"/>
      <c r="I46" s="162"/>
      <c r="J46" s="162">
        <f>Master2017[[#This Row],[Initial Budget]]-Master2017[[#This Row],[Previously Committed Funds]]</f>
        <v>0</v>
      </c>
      <c r="K46" s="162"/>
      <c r="L46" s="162"/>
      <c r="M46" s="189">
        <f>Master2017[[#This Row],[Design $ (Add/Deduct)]]+Master2017[[#This Row],[Construction $ (Add/Ded)]]</f>
        <v>0</v>
      </c>
      <c r="N46" s="249">
        <v>40000</v>
      </c>
      <c r="O46" s="150">
        <v>2018</v>
      </c>
      <c r="P46" s="149" t="s">
        <v>687</v>
      </c>
      <c r="Q46" s="150">
        <f t="shared" si="5"/>
        <v>30</v>
      </c>
      <c r="R46" s="239">
        <v>2</v>
      </c>
      <c r="S46" s="148">
        <f t="shared" si="6"/>
        <v>6</v>
      </c>
      <c r="T46" s="239" t="s">
        <v>41</v>
      </c>
      <c r="U46" s="151">
        <f t="shared" si="7"/>
        <v>4</v>
      </c>
      <c r="V46" s="151" t="s">
        <v>30</v>
      </c>
      <c r="W46" s="151">
        <v>0</v>
      </c>
      <c r="X46" s="151">
        <v>0</v>
      </c>
      <c r="Y46" s="151">
        <v>0</v>
      </c>
      <c r="Z46" s="151">
        <v>0</v>
      </c>
      <c r="AA46" s="151">
        <v>0</v>
      </c>
      <c r="AB46" s="151">
        <v>0</v>
      </c>
      <c r="AC46" s="151">
        <v>0</v>
      </c>
      <c r="AD46" s="152" t="s">
        <v>29</v>
      </c>
      <c r="AE46" s="157">
        <f>VLOOKUP(Master2017[[#This Row],[Elevated Priority]],Epriority,2,)</f>
        <v>0</v>
      </c>
      <c r="AF46" s="151">
        <f>IF(Master2017[[#This Row],[Status]]="Active",Master2017[[#This Row],[Status_Score]],IF(C46="","",Q46+G46+S46+U46+AE46-5))</f>
        <v>35</v>
      </c>
      <c r="AG46" s="235"/>
      <c r="AH46" s="235">
        <v>2022</v>
      </c>
      <c r="AI46" s="235">
        <v>2023</v>
      </c>
      <c r="AJ46" s="243"/>
    </row>
    <row r="47" spans="1:63" x14ac:dyDescent="0.25">
      <c r="A47" s="198">
        <f t="shared" si="4"/>
        <v>41</v>
      </c>
      <c r="B47" s="149" t="s">
        <v>94</v>
      </c>
      <c r="C47" s="149" t="s">
        <v>604</v>
      </c>
      <c r="D47" s="149" t="s">
        <v>605</v>
      </c>
      <c r="E47" s="249" t="s">
        <v>606</v>
      </c>
      <c r="F47" s="149" t="s">
        <v>29</v>
      </c>
      <c r="G47" s="149">
        <f t="shared" si="0"/>
        <v>0</v>
      </c>
      <c r="H47" s="162"/>
      <c r="I47" s="162"/>
      <c r="J47" s="162">
        <f>Master2017[[#This Row],[Initial Budget]]-Master2017[[#This Row],[Previously Committed Funds]]</f>
        <v>0</v>
      </c>
      <c r="K47" s="162"/>
      <c r="L47" s="162"/>
      <c r="M47" s="189">
        <f>Master2017[[#This Row],[Design $ (Add/Deduct)]]+Master2017[[#This Row],[Construction $ (Add/Ded)]]</f>
        <v>0</v>
      </c>
      <c r="N47" s="171">
        <v>500000</v>
      </c>
      <c r="O47" s="239">
        <v>2019</v>
      </c>
      <c r="P47" s="149" t="s">
        <v>830</v>
      </c>
      <c r="Q47" s="150">
        <f t="shared" si="5"/>
        <v>10</v>
      </c>
      <c r="R47" s="237">
        <v>18</v>
      </c>
      <c r="S47" s="148">
        <f t="shared" si="6"/>
        <v>25</v>
      </c>
      <c r="T47" s="237" t="s">
        <v>33</v>
      </c>
      <c r="U47" s="151">
        <f t="shared" si="7"/>
        <v>1</v>
      </c>
      <c r="V47" s="237" t="s">
        <v>30</v>
      </c>
      <c r="W47" s="151">
        <v>0</v>
      </c>
      <c r="X47" s="151">
        <v>0</v>
      </c>
      <c r="Y47" s="151">
        <v>0</v>
      </c>
      <c r="Z47" s="151">
        <v>0</v>
      </c>
      <c r="AA47" s="151">
        <v>0</v>
      </c>
      <c r="AB47" s="151">
        <v>0</v>
      </c>
      <c r="AC47" s="151">
        <v>0</v>
      </c>
      <c r="AD47" s="237" t="s">
        <v>29</v>
      </c>
      <c r="AE47" s="157">
        <f>VLOOKUP(Master2017[[#This Row],[Elevated Priority]],Epriority,2,)</f>
        <v>0</v>
      </c>
      <c r="AF47" s="151">
        <f>IF(Master2017[[#This Row],[Status]]="Active",Master2017[[#This Row],[Status_Score]],IF(C47="","",Q47+G47+S47+U47+AE47-5))</f>
        <v>31</v>
      </c>
      <c r="AG47" s="238"/>
      <c r="AH47" s="238">
        <v>2022</v>
      </c>
      <c r="AI47" s="238">
        <v>2023</v>
      </c>
      <c r="AJ47" s="156"/>
    </row>
    <row r="48" spans="1:63" ht="30" x14ac:dyDescent="0.25">
      <c r="A48" s="198">
        <f t="shared" si="4"/>
        <v>42</v>
      </c>
      <c r="B48" s="149" t="s">
        <v>70</v>
      </c>
      <c r="C48" s="243" t="s">
        <v>276</v>
      </c>
      <c r="D48" s="243" t="s">
        <v>951</v>
      </c>
      <c r="E48" s="243" t="s">
        <v>278</v>
      </c>
      <c r="F48" s="149" t="s">
        <v>29</v>
      </c>
      <c r="G48" s="149">
        <f t="shared" si="0"/>
        <v>0</v>
      </c>
      <c r="H48" s="162"/>
      <c r="I48" s="162"/>
      <c r="J48" s="162">
        <f>Master2017[[#This Row],[Initial Budget]]-Master2017[[#This Row],[Previously Committed Funds]]</f>
        <v>0</v>
      </c>
      <c r="K48" s="162"/>
      <c r="L48" s="162"/>
      <c r="M48" s="189">
        <f>Master2017[[#This Row],[Design $ (Add/Deduct)]]+Master2017[[#This Row],[Construction $ (Add/Ded)]]</f>
        <v>0</v>
      </c>
      <c r="N48" s="171">
        <v>10000</v>
      </c>
      <c r="O48" s="150">
        <v>2018</v>
      </c>
      <c r="P48" s="149" t="s">
        <v>687</v>
      </c>
      <c r="Q48" s="150">
        <f t="shared" si="5"/>
        <v>30</v>
      </c>
      <c r="R48" s="151">
        <v>3</v>
      </c>
      <c r="S48" s="148">
        <f t="shared" si="6"/>
        <v>9</v>
      </c>
      <c r="T48" s="151" t="s">
        <v>41</v>
      </c>
      <c r="U48" s="151">
        <f t="shared" si="7"/>
        <v>4</v>
      </c>
      <c r="V48" s="151" t="s">
        <v>30</v>
      </c>
      <c r="W48" s="151">
        <v>0</v>
      </c>
      <c r="X48" s="151">
        <v>0</v>
      </c>
      <c r="Y48" s="151">
        <v>0</v>
      </c>
      <c r="Z48" s="151">
        <v>0</v>
      </c>
      <c r="AA48" s="151">
        <v>0</v>
      </c>
      <c r="AB48" s="151">
        <v>0</v>
      </c>
      <c r="AC48" s="151">
        <v>0</v>
      </c>
      <c r="AD48" s="152" t="s">
        <v>29</v>
      </c>
      <c r="AE48" s="157">
        <f>VLOOKUP(Master2017[[#This Row],[Elevated Priority]],Epriority,2,)</f>
        <v>0</v>
      </c>
      <c r="AF48" s="151">
        <f>IF(Master2017[[#This Row],[Status]]="Active",Master2017[[#This Row],[Status_Score]],IF(C48="","",Q48+G48+S48+U48+AE48-5))</f>
        <v>38</v>
      </c>
      <c r="AG48" s="148"/>
      <c r="AH48" s="148">
        <v>2020</v>
      </c>
      <c r="AI48" s="148">
        <v>2021</v>
      </c>
      <c r="AJ48" s="156" t="s">
        <v>978</v>
      </c>
    </row>
    <row r="49" spans="1:36" ht="60" x14ac:dyDescent="0.25">
      <c r="A49" s="198">
        <f t="shared" si="4"/>
        <v>43</v>
      </c>
      <c r="B49" s="236" t="s">
        <v>61</v>
      </c>
      <c r="C49" s="236" t="s">
        <v>348</v>
      </c>
      <c r="D49" s="236" t="s">
        <v>349</v>
      </c>
      <c r="E49" s="236" t="s">
        <v>350</v>
      </c>
      <c r="F49" s="149" t="s">
        <v>29</v>
      </c>
      <c r="G49" s="149">
        <f t="shared" si="0"/>
        <v>0</v>
      </c>
      <c r="H49" s="162"/>
      <c r="I49" s="162"/>
      <c r="J49" s="162">
        <f>Master2017[[#This Row],[Initial Budget]]-Master2017[[#This Row],[Previously Committed Funds]]</f>
        <v>0</v>
      </c>
      <c r="K49" s="162"/>
      <c r="L49" s="162"/>
      <c r="M49" s="189">
        <f>Master2017[[#This Row],[Design $ (Add/Deduct)]]+Master2017[[#This Row],[Construction $ (Add/Ded)]]</f>
        <v>0</v>
      </c>
      <c r="N49" s="171">
        <v>125000</v>
      </c>
      <c r="O49" s="150">
        <v>2018</v>
      </c>
      <c r="P49" s="149" t="s">
        <v>687</v>
      </c>
      <c r="Q49" s="150">
        <f t="shared" si="5"/>
        <v>30</v>
      </c>
      <c r="R49" s="151">
        <v>3</v>
      </c>
      <c r="S49" s="148">
        <f t="shared" si="6"/>
        <v>9</v>
      </c>
      <c r="T49" s="151" t="s">
        <v>41</v>
      </c>
      <c r="U49" s="151">
        <f t="shared" si="7"/>
        <v>4</v>
      </c>
      <c r="V49" s="151" t="s">
        <v>30</v>
      </c>
      <c r="W49" s="151">
        <v>0</v>
      </c>
      <c r="X49" s="151">
        <v>0</v>
      </c>
      <c r="Y49" s="151">
        <v>0</v>
      </c>
      <c r="Z49" s="151">
        <v>0</v>
      </c>
      <c r="AA49" s="151">
        <v>0</v>
      </c>
      <c r="AB49" s="151">
        <v>0</v>
      </c>
      <c r="AC49" s="151">
        <v>0</v>
      </c>
      <c r="AD49" s="152" t="s">
        <v>29</v>
      </c>
      <c r="AE49" s="157">
        <f>VLOOKUP(Master2017[[#This Row],[Elevated Priority]],Epriority,2,)</f>
        <v>0</v>
      </c>
      <c r="AF49" s="151">
        <f>IF(Master2017[[#This Row],[Status]]="Active",Master2017[[#This Row],[Status_Score]],IF(C49="","",Q49+G49+S49+U49+AE49-5))</f>
        <v>38</v>
      </c>
      <c r="AG49" s="148"/>
      <c r="AH49" s="148">
        <v>2021</v>
      </c>
      <c r="AI49" s="148">
        <v>2022</v>
      </c>
      <c r="AJ49" s="156"/>
    </row>
    <row r="50" spans="1:36" ht="30" x14ac:dyDescent="0.25">
      <c r="A50" s="198">
        <f t="shared" si="4"/>
        <v>44</v>
      </c>
      <c r="B50" s="149" t="s">
        <v>70</v>
      </c>
      <c r="C50" s="149" t="s">
        <v>282</v>
      </c>
      <c r="D50" s="149" t="s">
        <v>283</v>
      </c>
      <c r="E50" s="149" t="s">
        <v>892</v>
      </c>
      <c r="F50" s="149" t="s">
        <v>29</v>
      </c>
      <c r="G50" s="149">
        <f t="shared" si="0"/>
        <v>0</v>
      </c>
      <c r="H50" s="162"/>
      <c r="I50" s="162"/>
      <c r="J50" s="162">
        <f>Master2017[[#This Row],[Initial Budget]]-Master2017[[#This Row],[Previously Committed Funds]]</f>
        <v>0</v>
      </c>
      <c r="K50" s="162"/>
      <c r="L50" s="162"/>
      <c r="M50" s="189">
        <f>Master2017[[#This Row],[Design $ (Add/Deduct)]]+Master2017[[#This Row],[Construction $ (Add/Ded)]]</f>
        <v>0</v>
      </c>
      <c r="N50" s="171">
        <v>60000</v>
      </c>
      <c r="O50" s="150">
        <v>2018</v>
      </c>
      <c r="P50" s="149" t="s">
        <v>687</v>
      </c>
      <c r="Q50" s="150">
        <f t="shared" si="5"/>
        <v>30</v>
      </c>
      <c r="R50" s="151">
        <v>3</v>
      </c>
      <c r="S50" s="148">
        <f t="shared" si="6"/>
        <v>9</v>
      </c>
      <c r="T50" s="151" t="s">
        <v>41</v>
      </c>
      <c r="U50" s="151">
        <f t="shared" si="7"/>
        <v>4</v>
      </c>
      <c r="V50" s="151" t="s">
        <v>30</v>
      </c>
      <c r="W50" s="151">
        <v>0</v>
      </c>
      <c r="X50" s="151">
        <v>0</v>
      </c>
      <c r="Y50" s="151">
        <v>0</v>
      </c>
      <c r="Z50" s="151">
        <v>0</v>
      </c>
      <c r="AA50" s="151">
        <v>0</v>
      </c>
      <c r="AB50" s="151">
        <v>0</v>
      </c>
      <c r="AC50" s="151">
        <v>0</v>
      </c>
      <c r="AD50" s="152" t="s">
        <v>29</v>
      </c>
      <c r="AE50" s="157">
        <f>VLOOKUP(Master2017[[#This Row],[Elevated Priority]],Epriority,2,)</f>
        <v>0</v>
      </c>
      <c r="AF50" s="151">
        <f>IF(Master2017[[#This Row],[Status]]="Active",Master2017[[#This Row],[Status_Score]],IF(C50="","",Q50+G50+S50+U50+AE50-5))</f>
        <v>38</v>
      </c>
      <c r="AG50" s="148"/>
      <c r="AH50" s="148">
        <v>2022</v>
      </c>
      <c r="AI50" s="148">
        <v>2023</v>
      </c>
      <c r="AJ50" s="156"/>
    </row>
    <row r="51" spans="1:36" ht="42" customHeight="1" x14ac:dyDescent="0.25">
      <c r="A51" s="198">
        <f t="shared" si="4"/>
        <v>45</v>
      </c>
      <c r="B51" s="236" t="s">
        <v>94</v>
      </c>
      <c r="C51" s="236" t="s">
        <v>583</v>
      </c>
      <c r="D51" s="236" t="s">
        <v>609</v>
      </c>
      <c r="E51" s="236" t="s">
        <v>879</v>
      </c>
      <c r="F51" s="149" t="s">
        <v>29</v>
      </c>
      <c r="G51" s="149">
        <f t="shared" si="0"/>
        <v>0</v>
      </c>
      <c r="H51" s="162"/>
      <c r="I51" s="162"/>
      <c r="J51" s="162">
        <f>Master2017[[#This Row],[Initial Budget]]-Master2017[[#This Row],[Previously Committed Funds]]</f>
        <v>0</v>
      </c>
      <c r="K51" s="162"/>
      <c r="L51" s="162"/>
      <c r="M51" s="189">
        <f>Master2017[[#This Row],[Design $ (Add/Deduct)]]+Master2017[[#This Row],[Construction $ (Add/Ded)]]</f>
        <v>0</v>
      </c>
      <c r="N51" s="256">
        <v>1500000</v>
      </c>
      <c r="O51" s="239">
        <v>2019</v>
      </c>
      <c r="P51" s="149" t="s">
        <v>688</v>
      </c>
      <c r="Q51" s="150">
        <f t="shared" si="5"/>
        <v>20</v>
      </c>
      <c r="R51" s="238">
        <v>9</v>
      </c>
      <c r="S51" s="148">
        <f t="shared" si="6"/>
        <v>21</v>
      </c>
      <c r="T51" s="238" t="s">
        <v>37</v>
      </c>
      <c r="U51" s="151">
        <f t="shared" si="7"/>
        <v>3</v>
      </c>
      <c r="V51" s="238" t="s">
        <v>30</v>
      </c>
      <c r="W51" s="151">
        <v>0</v>
      </c>
      <c r="X51" s="151">
        <v>0</v>
      </c>
      <c r="Y51" s="151">
        <v>0</v>
      </c>
      <c r="Z51" s="151">
        <v>0</v>
      </c>
      <c r="AA51" s="151">
        <v>0</v>
      </c>
      <c r="AB51" s="151">
        <v>0</v>
      </c>
      <c r="AC51" s="151">
        <v>0</v>
      </c>
      <c r="AD51" s="152" t="s">
        <v>29</v>
      </c>
      <c r="AE51" s="157">
        <f>VLOOKUP(Master2017[[#This Row],[Elevated Priority]],Epriority,2,)</f>
        <v>0</v>
      </c>
      <c r="AF51" s="151">
        <f>IF(Master2017[[#This Row],[Status]]="Active",Master2017[[#This Row],[Status_Score]],IF(C51="","",Q51+G51+S51+U51+AE51-5))</f>
        <v>39</v>
      </c>
      <c r="AG51" s="238"/>
      <c r="AH51" s="238">
        <v>2022</v>
      </c>
      <c r="AI51" s="238">
        <v>2023</v>
      </c>
      <c r="AJ51" s="236" t="s">
        <v>656</v>
      </c>
    </row>
    <row r="52" spans="1:36" ht="30" x14ac:dyDescent="0.25">
      <c r="A52" s="198">
        <f t="shared" si="4"/>
        <v>46</v>
      </c>
      <c r="B52" s="149" t="s">
        <v>94</v>
      </c>
      <c r="C52" s="149" t="s">
        <v>232</v>
      </c>
      <c r="D52" s="149" t="s">
        <v>233</v>
      </c>
      <c r="E52" s="149" t="s">
        <v>879</v>
      </c>
      <c r="F52" s="149" t="s">
        <v>29</v>
      </c>
      <c r="G52" s="149">
        <f t="shared" si="0"/>
        <v>0</v>
      </c>
      <c r="H52" s="162"/>
      <c r="I52" s="162"/>
      <c r="J52" s="162">
        <f>Master2017[[#This Row],[Initial Budget]]-Master2017[[#This Row],[Previously Committed Funds]]</f>
        <v>0</v>
      </c>
      <c r="K52" s="162"/>
      <c r="L52" s="162"/>
      <c r="M52" s="189">
        <f>Master2017[[#This Row],[Design $ (Add/Deduct)]]+Master2017[[#This Row],[Construction $ (Add/Ded)]]</f>
        <v>0</v>
      </c>
      <c r="N52" s="171">
        <v>1500000</v>
      </c>
      <c r="O52" s="150">
        <v>2018</v>
      </c>
      <c r="P52" s="149" t="s">
        <v>688</v>
      </c>
      <c r="Q52" s="150">
        <f t="shared" si="5"/>
        <v>20</v>
      </c>
      <c r="R52" s="151">
        <v>7</v>
      </c>
      <c r="S52" s="148">
        <f t="shared" si="6"/>
        <v>20</v>
      </c>
      <c r="T52" s="151" t="s">
        <v>41</v>
      </c>
      <c r="U52" s="151">
        <f t="shared" si="7"/>
        <v>4</v>
      </c>
      <c r="V52" s="151" t="s">
        <v>30</v>
      </c>
      <c r="W52" s="151">
        <v>0</v>
      </c>
      <c r="X52" s="151">
        <v>0</v>
      </c>
      <c r="Y52" s="151">
        <v>0</v>
      </c>
      <c r="Z52" s="151">
        <v>0</v>
      </c>
      <c r="AA52" s="151">
        <v>0</v>
      </c>
      <c r="AB52" s="151">
        <v>0</v>
      </c>
      <c r="AC52" s="151">
        <v>0</v>
      </c>
      <c r="AD52" s="152" t="s">
        <v>29</v>
      </c>
      <c r="AE52" s="157">
        <f>VLOOKUP(Master2017[[#This Row],[Elevated Priority]],Epriority,2,)</f>
        <v>0</v>
      </c>
      <c r="AF52" s="151">
        <f>IF(Master2017[[#This Row],[Status]]="Active",Master2017[[#This Row],[Status_Score]],IF(C52="","",Q52+G52+S52+U52+AE52-5))</f>
        <v>39</v>
      </c>
      <c r="AG52" s="148"/>
      <c r="AH52" s="148">
        <v>2022</v>
      </c>
      <c r="AI52" s="148">
        <v>2023</v>
      </c>
      <c r="AJ52" s="156"/>
    </row>
    <row r="53" spans="1:36" ht="30" x14ac:dyDescent="0.25">
      <c r="A53" s="198">
        <f t="shared" si="4"/>
        <v>47</v>
      </c>
      <c r="B53" s="149" t="s">
        <v>94</v>
      </c>
      <c r="C53" s="236" t="s">
        <v>234</v>
      </c>
      <c r="D53" s="236" t="s">
        <v>233</v>
      </c>
      <c r="E53" s="236" t="s">
        <v>879</v>
      </c>
      <c r="F53" s="236" t="s">
        <v>29</v>
      </c>
      <c r="G53" s="236">
        <f t="shared" si="0"/>
        <v>0</v>
      </c>
      <c r="H53" s="249"/>
      <c r="I53" s="249"/>
      <c r="J53" s="249">
        <f>Master2017[[#This Row],[Initial Budget]]-Master2017[[#This Row],[Previously Committed Funds]]</f>
        <v>0</v>
      </c>
      <c r="K53" s="249"/>
      <c r="L53" s="249"/>
      <c r="M53" s="258">
        <f>Master2017[[#This Row],[Design $ (Add/Deduct)]]+Master2017[[#This Row],[Construction $ (Add/Ded)]]</f>
        <v>0</v>
      </c>
      <c r="N53" s="256">
        <v>1500000</v>
      </c>
      <c r="O53" s="237">
        <v>2018</v>
      </c>
      <c r="P53" s="236" t="s">
        <v>688</v>
      </c>
      <c r="Q53" s="150">
        <f t="shared" si="5"/>
        <v>20</v>
      </c>
      <c r="R53" s="238">
        <v>8</v>
      </c>
      <c r="S53" s="148">
        <f t="shared" si="6"/>
        <v>20</v>
      </c>
      <c r="T53" s="238" t="s">
        <v>41</v>
      </c>
      <c r="U53" s="151">
        <f t="shared" si="7"/>
        <v>4</v>
      </c>
      <c r="V53" s="238" t="s">
        <v>30</v>
      </c>
      <c r="W53" s="151">
        <v>0</v>
      </c>
      <c r="X53" s="151">
        <v>0</v>
      </c>
      <c r="Y53" s="151">
        <v>0</v>
      </c>
      <c r="Z53" s="151">
        <v>0</v>
      </c>
      <c r="AA53" s="151">
        <v>0</v>
      </c>
      <c r="AB53" s="151">
        <v>0</v>
      </c>
      <c r="AC53" s="151">
        <v>0</v>
      </c>
      <c r="AD53" s="239" t="s">
        <v>29</v>
      </c>
      <c r="AE53" s="157">
        <f>VLOOKUP(Master2017[[#This Row],[Elevated Priority]],Epriority,2,)</f>
        <v>0</v>
      </c>
      <c r="AF53" s="151">
        <f>IF(Master2017[[#This Row],[Status]]="Active",Master2017[[#This Row],[Status_Score]],IF(C53="","",Q53+G53+S53+U53+AE53-5))</f>
        <v>39</v>
      </c>
      <c r="AG53" s="148"/>
      <c r="AH53" s="148">
        <v>2022</v>
      </c>
      <c r="AI53" s="148">
        <v>2023</v>
      </c>
      <c r="AJ53" s="156"/>
    </row>
    <row r="54" spans="1:36" ht="60" x14ac:dyDescent="0.25">
      <c r="A54" s="198">
        <f t="shared" si="4"/>
        <v>48</v>
      </c>
      <c r="B54" s="149" t="s">
        <v>299</v>
      </c>
      <c r="C54" s="149" t="s">
        <v>300</v>
      </c>
      <c r="D54" s="149" t="s">
        <v>301</v>
      </c>
      <c r="E54" s="149" t="s">
        <v>302</v>
      </c>
      <c r="F54" s="149" t="s">
        <v>29</v>
      </c>
      <c r="G54" s="149">
        <f t="shared" si="0"/>
        <v>0</v>
      </c>
      <c r="H54" s="162"/>
      <c r="I54" s="162"/>
      <c r="J54" s="162">
        <f>Master2017[[#This Row],[Initial Budget]]-Master2017[[#This Row],[Previously Committed Funds]]</f>
        <v>0</v>
      </c>
      <c r="K54" s="162"/>
      <c r="L54" s="162"/>
      <c r="M54" s="189">
        <f>Master2017[[#This Row],[Design $ (Add/Deduct)]]+Master2017[[#This Row],[Construction $ (Add/Ded)]]</f>
        <v>0</v>
      </c>
      <c r="N54" s="249">
        <v>135000</v>
      </c>
      <c r="O54" s="237">
        <v>2018</v>
      </c>
      <c r="P54" s="149" t="s">
        <v>688</v>
      </c>
      <c r="Q54" s="150">
        <f t="shared" si="5"/>
        <v>20</v>
      </c>
      <c r="R54" s="239">
        <v>2</v>
      </c>
      <c r="S54" s="148">
        <f t="shared" si="6"/>
        <v>6</v>
      </c>
      <c r="T54" s="239" t="s">
        <v>41</v>
      </c>
      <c r="U54" s="151">
        <f t="shared" si="7"/>
        <v>4</v>
      </c>
      <c r="V54" s="151" t="s">
        <v>30</v>
      </c>
      <c r="W54" s="151">
        <v>0</v>
      </c>
      <c r="X54" s="151">
        <v>0</v>
      </c>
      <c r="Y54" s="151">
        <v>0</v>
      </c>
      <c r="Z54" s="151">
        <v>0</v>
      </c>
      <c r="AA54" s="151">
        <v>0</v>
      </c>
      <c r="AB54" s="151">
        <v>0</v>
      </c>
      <c r="AC54" s="151">
        <v>0</v>
      </c>
      <c r="AD54" s="152" t="s">
        <v>833</v>
      </c>
      <c r="AE54" s="157">
        <f>VLOOKUP(Master2017[[#This Row],[Elevated Priority]],Epriority,2,)</f>
        <v>15</v>
      </c>
      <c r="AF54" s="151">
        <f>IF(Master2017[[#This Row],[Status]]="Active",Master2017[[#This Row],[Status_Score]],IF(C54="","",Q54+G54+S54+U54+AE54-5))</f>
        <v>40</v>
      </c>
      <c r="AG54" s="235"/>
      <c r="AH54" s="235">
        <v>2022</v>
      </c>
      <c r="AI54" s="235">
        <v>2023</v>
      </c>
      <c r="AJ54" s="156"/>
    </row>
    <row r="55" spans="1:36" ht="30" x14ac:dyDescent="0.25">
      <c r="A55" s="198">
        <f t="shared" si="4"/>
        <v>49</v>
      </c>
      <c r="B55" s="243" t="s">
        <v>94</v>
      </c>
      <c r="C55" s="243" t="s">
        <v>634</v>
      </c>
      <c r="D55" s="243" t="s">
        <v>172</v>
      </c>
      <c r="E55" s="243" t="s">
        <v>635</v>
      </c>
      <c r="F55" s="149" t="s">
        <v>29</v>
      </c>
      <c r="G55" s="149">
        <f t="shared" si="0"/>
        <v>0</v>
      </c>
      <c r="H55" s="162"/>
      <c r="I55" s="162"/>
      <c r="J55" s="162">
        <f>Master2017[[#This Row],[Initial Budget]]-Master2017[[#This Row],[Previously Committed Funds]]</f>
        <v>0</v>
      </c>
      <c r="K55" s="162"/>
      <c r="L55" s="162"/>
      <c r="M55" s="189">
        <f>Master2017[[#This Row],[Design $ (Add/Deduct)]]+Master2017[[#This Row],[Construction $ (Add/Ded)]]</f>
        <v>0</v>
      </c>
      <c r="N55" s="171">
        <v>50000</v>
      </c>
      <c r="O55" s="150">
        <v>2018</v>
      </c>
      <c r="P55" s="149" t="s">
        <v>688</v>
      </c>
      <c r="Q55" s="150">
        <f t="shared" si="5"/>
        <v>20</v>
      </c>
      <c r="R55" s="151">
        <v>12</v>
      </c>
      <c r="S55" s="148">
        <f t="shared" si="6"/>
        <v>22</v>
      </c>
      <c r="T55" s="151" t="s">
        <v>37</v>
      </c>
      <c r="U55" s="151">
        <f t="shared" si="7"/>
        <v>3</v>
      </c>
      <c r="V55" s="151" t="s">
        <v>30</v>
      </c>
      <c r="W55" s="151">
        <v>0</v>
      </c>
      <c r="X55" s="151">
        <v>0</v>
      </c>
      <c r="Y55" s="151">
        <v>0</v>
      </c>
      <c r="Z55" s="151">
        <v>0</v>
      </c>
      <c r="AA55" s="151">
        <v>0</v>
      </c>
      <c r="AB55" s="151">
        <v>0</v>
      </c>
      <c r="AC55" s="151">
        <v>0</v>
      </c>
      <c r="AD55" s="152" t="s">
        <v>29</v>
      </c>
      <c r="AE55" s="157">
        <f>VLOOKUP(Master2017[[#This Row],[Elevated Priority]],Epriority,2,)</f>
        <v>0</v>
      </c>
      <c r="AF55" s="151">
        <f>IF(Master2017[[#This Row],[Status]]="Active",Master2017[[#This Row],[Status_Score]],IF(C55="","",Q55+G55+S55+U55+AE55-5))</f>
        <v>40</v>
      </c>
      <c r="AG55" s="148"/>
      <c r="AH55" s="148">
        <v>2022</v>
      </c>
      <c r="AI55" s="148">
        <v>2023</v>
      </c>
      <c r="AJ55" s="156" t="s">
        <v>936</v>
      </c>
    </row>
    <row r="56" spans="1:36" ht="30" x14ac:dyDescent="0.25">
      <c r="A56" s="198">
        <f t="shared" si="4"/>
        <v>50</v>
      </c>
      <c r="B56" s="149" t="s">
        <v>79</v>
      </c>
      <c r="C56" s="236" t="s">
        <v>325</v>
      </c>
      <c r="D56" s="236" t="s">
        <v>326</v>
      </c>
      <c r="E56" s="236" t="s">
        <v>663</v>
      </c>
      <c r="F56" s="149" t="s">
        <v>29</v>
      </c>
      <c r="G56" s="149">
        <f t="shared" si="0"/>
        <v>0</v>
      </c>
      <c r="H56" s="162"/>
      <c r="I56" s="162"/>
      <c r="J56" s="162">
        <f>Master2017[[#This Row],[Initial Budget]]-Master2017[[#This Row],[Previously Committed Funds]]</f>
        <v>0</v>
      </c>
      <c r="K56" s="162"/>
      <c r="L56" s="162"/>
      <c r="M56" s="189">
        <f>Master2017[[#This Row],[Design $ (Add/Deduct)]]+Master2017[[#This Row],[Construction $ (Add/Ded)]]</f>
        <v>0</v>
      </c>
      <c r="N56" s="171">
        <v>500000</v>
      </c>
      <c r="O56" s="150">
        <v>2018</v>
      </c>
      <c r="P56" s="149" t="s">
        <v>36</v>
      </c>
      <c r="Q56" s="150">
        <f t="shared" si="5"/>
        <v>10</v>
      </c>
      <c r="R56" s="151">
        <v>8</v>
      </c>
      <c r="S56" s="148">
        <f t="shared" si="6"/>
        <v>20</v>
      </c>
      <c r="T56" s="151" t="s">
        <v>43</v>
      </c>
      <c r="U56" s="151">
        <f t="shared" si="7"/>
        <v>16</v>
      </c>
      <c r="V56" s="151" t="s">
        <v>30</v>
      </c>
      <c r="W56" s="151">
        <v>0</v>
      </c>
      <c r="X56" s="151">
        <v>0</v>
      </c>
      <c r="Y56" s="151">
        <v>0</v>
      </c>
      <c r="Z56" s="151">
        <v>0</v>
      </c>
      <c r="AA56" s="151">
        <v>0</v>
      </c>
      <c r="AB56" s="151">
        <v>0</v>
      </c>
      <c r="AC56" s="151">
        <v>0</v>
      </c>
      <c r="AD56" s="152" t="s">
        <v>29</v>
      </c>
      <c r="AE56" s="157">
        <f>VLOOKUP(Master2017[[#This Row],[Elevated Priority]],Epriority,2,)</f>
        <v>0</v>
      </c>
      <c r="AF56" s="151">
        <f>IF(Master2017[[#This Row],[Status]]="Active",Master2017[[#This Row],[Status_Score]],IF(C56="","",Q56+G56+S56+U56+AE56-5))</f>
        <v>41</v>
      </c>
      <c r="AG56" s="238"/>
      <c r="AH56" s="238">
        <v>2022</v>
      </c>
      <c r="AI56" s="238">
        <v>2023</v>
      </c>
      <c r="AJ56" s="236"/>
    </row>
    <row r="57" spans="1:36" ht="30" x14ac:dyDescent="0.25">
      <c r="A57" s="198">
        <f t="shared" si="4"/>
        <v>51</v>
      </c>
      <c r="B57" s="149" t="s">
        <v>79</v>
      </c>
      <c r="C57" s="236" t="s">
        <v>245</v>
      </c>
      <c r="D57" s="236" t="s">
        <v>246</v>
      </c>
      <c r="E57" s="236" t="s">
        <v>247</v>
      </c>
      <c r="F57" s="149" t="s">
        <v>29</v>
      </c>
      <c r="G57" s="149">
        <f t="shared" si="0"/>
        <v>0</v>
      </c>
      <c r="H57" s="162"/>
      <c r="I57" s="162"/>
      <c r="J57" s="162">
        <f>Master2017[[#This Row],[Initial Budget]]-Master2017[[#This Row],[Previously Committed Funds]]</f>
        <v>0</v>
      </c>
      <c r="K57" s="162"/>
      <c r="L57" s="162"/>
      <c r="M57" s="189">
        <f>Master2017[[#This Row],[Design $ (Add/Deduct)]]+Master2017[[#This Row],[Construction $ (Add/Ded)]]</f>
        <v>0</v>
      </c>
      <c r="N57" s="171">
        <v>20000</v>
      </c>
      <c r="O57" s="150">
        <v>2018</v>
      </c>
      <c r="P57" s="149" t="s">
        <v>687</v>
      </c>
      <c r="Q57" s="150">
        <f t="shared" ref="Q57:Q88" si="8">VLOOKUP(P57,Importance,2,FALSE)</f>
        <v>30</v>
      </c>
      <c r="R57" s="151">
        <v>4</v>
      </c>
      <c r="S57" s="148">
        <f t="shared" ref="S57:S88" si="9">VLOOKUP(R57,Department,2,FALSE)</f>
        <v>12</v>
      </c>
      <c r="T57" s="151" t="s">
        <v>41</v>
      </c>
      <c r="U57" s="151">
        <f t="shared" ref="U57:U88" si="10">VLOOKUP(T57,Urgency,2,FALSE)</f>
        <v>4</v>
      </c>
      <c r="V57" s="151" t="s">
        <v>30</v>
      </c>
      <c r="W57" s="151">
        <v>0</v>
      </c>
      <c r="X57" s="151">
        <v>0</v>
      </c>
      <c r="Y57" s="151">
        <v>0</v>
      </c>
      <c r="Z57" s="151">
        <v>0</v>
      </c>
      <c r="AA57" s="151">
        <v>0</v>
      </c>
      <c r="AB57" s="151">
        <v>0</v>
      </c>
      <c r="AC57" s="151">
        <v>0</v>
      </c>
      <c r="AD57" s="152" t="s">
        <v>29</v>
      </c>
      <c r="AE57" s="157">
        <f>VLOOKUP(Master2017[[#This Row],[Elevated Priority]],Epriority,2,)</f>
        <v>0</v>
      </c>
      <c r="AF57" s="151">
        <f>IF(Master2017[[#This Row],[Status]]="Active",Master2017[[#This Row],[Status_Score]],IF(C57="","",Q57+G57+S57+U57+AE57-5))</f>
        <v>41</v>
      </c>
      <c r="AG57" s="148"/>
      <c r="AH57" s="148">
        <v>2022</v>
      </c>
      <c r="AI57" s="148">
        <v>2023</v>
      </c>
      <c r="AJ57" s="156"/>
    </row>
    <row r="58" spans="1:36" x14ac:dyDescent="0.25">
      <c r="A58" s="198">
        <f t="shared" si="4"/>
        <v>52</v>
      </c>
      <c r="B58" s="149" t="s">
        <v>70</v>
      </c>
      <c r="C58" s="149" t="s">
        <v>291</v>
      </c>
      <c r="D58" s="149" t="s">
        <v>893</v>
      </c>
      <c r="E58" s="149" t="s">
        <v>293</v>
      </c>
      <c r="F58" s="149" t="s">
        <v>29</v>
      </c>
      <c r="G58" s="149">
        <f t="shared" si="0"/>
        <v>0</v>
      </c>
      <c r="H58" s="162"/>
      <c r="I58" s="162"/>
      <c r="J58" s="162">
        <f>Master2017[[#This Row],[Initial Budget]]-Master2017[[#This Row],[Previously Committed Funds]]</f>
        <v>0</v>
      </c>
      <c r="K58" s="162"/>
      <c r="L58" s="162"/>
      <c r="M58" s="189">
        <f>Master2017[[#This Row],[Design $ (Add/Deduct)]]+Master2017[[#This Row],[Construction $ (Add/Ded)]]</f>
        <v>0</v>
      </c>
      <c r="N58" s="171">
        <v>5000</v>
      </c>
      <c r="O58" s="150">
        <v>2018</v>
      </c>
      <c r="P58" s="149" t="s">
        <v>687</v>
      </c>
      <c r="Q58" s="150">
        <f t="shared" si="8"/>
        <v>30</v>
      </c>
      <c r="R58" s="151">
        <v>4</v>
      </c>
      <c r="S58" s="148">
        <f t="shared" si="9"/>
        <v>12</v>
      </c>
      <c r="T58" s="151" t="s">
        <v>41</v>
      </c>
      <c r="U58" s="151">
        <f t="shared" si="10"/>
        <v>4</v>
      </c>
      <c r="V58" s="151" t="s">
        <v>30</v>
      </c>
      <c r="W58" s="151">
        <v>0</v>
      </c>
      <c r="X58" s="151">
        <v>0</v>
      </c>
      <c r="Y58" s="151">
        <v>0</v>
      </c>
      <c r="Z58" s="151">
        <v>0</v>
      </c>
      <c r="AA58" s="151">
        <v>0</v>
      </c>
      <c r="AB58" s="151">
        <v>0</v>
      </c>
      <c r="AC58" s="151">
        <v>0</v>
      </c>
      <c r="AD58" s="152" t="s">
        <v>29</v>
      </c>
      <c r="AE58" s="157">
        <f>VLOOKUP(Master2017[[#This Row],[Elevated Priority]],Epriority,2,)</f>
        <v>0</v>
      </c>
      <c r="AF58" s="151">
        <f>IF(Master2017[[#This Row],[Status]]="Active",Master2017[[#This Row],[Status_Score]],IF(C58="","",Q58+G58+S58+U58+AE58-5))</f>
        <v>41</v>
      </c>
      <c r="AG58" s="148"/>
      <c r="AH58" s="148">
        <v>2022</v>
      </c>
      <c r="AI58" s="148">
        <v>2023</v>
      </c>
      <c r="AJ58" s="156"/>
    </row>
    <row r="59" spans="1:36" ht="75" hidden="1" x14ac:dyDescent="0.25">
      <c r="A59" s="198">
        <f t="shared" si="4"/>
        <v>53</v>
      </c>
      <c r="B59" s="149" t="s">
        <v>65</v>
      </c>
      <c r="C59" s="149" t="s">
        <v>191</v>
      </c>
      <c r="D59" s="149" t="s">
        <v>192</v>
      </c>
      <c r="E59" s="149" t="s">
        <v>193</v>
      </c>
      <c r="F59" s="149" t="s">
        <v>29</v>
      </c>
      <c r="G59" s="149">
        <f t="shared" si="0"/>
        <v>0</v>
      </c>
      <c r="H59" s="162"/>
      <c r="I59" s="162"/>
      <c r="J59" s="162">
        <f>Master2017[[#This Row],[Initial Budget]]-Master2017[[#This Row],[Previously Committed Funds]]</f>
        <v>0</v>
      </c>
      <c r="K59" s="162"/>
      <c r="L59" s="162"/>
      <c r="M59" s="189">
        <f>Master2017[[#This Row],[Design $ (Add/Deduct)]]+Master2017[[#This Row],[Construction $ (Add/Ded)]]</f>
        <v>0</v>
      </c>
      <c r="N59" s="171">
        <v>800000</v>
      </c>
      <c r="O59" s="150">
        <v>2018</v>
      </c>
      <c r="P59" s="149" t="s">
        <v>36</v>
      </c>
      <c r="Q59" s="150">
        <f t="shared" si="8"/>
        <v>10</v>
      </c>
      <c r="R59" s="151">
        <v>4</v>
      </c>
      <c r="S59" s="148">
        <f t="shared" si="9"/>
        <v>12</v>
      </c>
      <c r="T59" s="151" t="s">
        <v>43</v>
      </c>
      <c r="U59" s="151">
        <f t="shared" si="10"/>
        <v>16</v>
      </c>
      <c r="V59" s="151" t="s">
        <v>34</v>
      </c>
      <c r="W59" s="185">
        <v>0</v>
      </c>
      <c r="X59" s="151">
        <v>0</v>
      </c>
      <c r="Y59" s="151">
        <v>0</v>
      </c>
      <c r="Z59" s="151">
        <v>0</v>
      </c>
      <c r="AA59" s="151">
        <v>0</v>
      </c>
      <c r="AB59" s="151">
        <v>0</v>
      </c>
      <c r="AC59" s="151">
        <v>-1</v>
      </c>
      <c r="AD59" s="152" t="s">
        <v>29</v>
      </c>
      <c r="AE59" s="157">
        <f>VLOOKUP(Master2017[[#This Row],[Elevated Priority]],Epriority,2,)</f>
        <v>0</v>
      </c>
      <c r="AF59" s="151">
        <f>IF(Master2017[[#This Row],[Status]]="Active",Master2017[[#This Row],[Status_Score]],IF(C59="","",Q59+G59+S59+U59+AE59-5))</f>
        <v>33</v>
      </c>
      <c r="AG59" s="148"/>
      <c r="AH59" s="148"/>
      <c r="AI59" s="148"/>
      <c r="AJ59" s="156"/>
    </row>
    <row r="60" spans="1:36" ht="45" hidden="1" x14ac:dyDescent="0.25">
      <c r="A60" s="198">
        <f t="shared" si="4"/>
        <v>54</v>
      </c>
      <c r="B60" s="149" t="s">
        <v>79</v>
      </c>
      <c r="C60" s="156" t="s">
        <v>780</v>
      </c>
      <c r="D60" s="149" t="s">
        <v>311</v>
      </c>
      <c r="E60" s="149" t="s">
        <v>312</v>
      </c>
      <c r="F60" s="149" t="s">
        <v>29</v>
      </c>
      <c r="G60" s="149">
        <f t="shared" si="0"/>
        <v>0</v>
      </c>
      <c r="H60" s="162"/>
      <c r="I60" s="162"/>
      <c r="J60" s="162">
        <f>Master2017[[#This Row],[Initial Budget]]-Master2017[[#This Row],[Previously Committed Funds]]</f>
        <v>0</v>
      </c>
      <c r="K60" s="162"/>
      <c r="L60" s="162"/>
      <c r="M60" s="189">
        <f>Master2017[[#This Row],[Design $ (Add/Deduct)]]+Master2017[[#This Row],[Construction $ (Add/Ded)]]</f>
        <v>0</v>
      </c>
      <c r="N60" s="171">
        <v>250000</v>
      </c>
      <c r="O60" s="150">
        <v>2018</v>
      </c>
      <c r="P60" s="149" t="s">
        <v>36</v>
      </c>
      <c r="Q60" s="150">
        <f t="shared" si="8"/>
        <v>10</v>
      </c>
      <c r="R60" s="151">
        <v>5</v>
      </c>
      <c r="S60" s="148">
        <f t="shared" si="9"/>
        <v>15</v>
      </c>
      <c r="T60" s="151" t="s">
        <v>43</v>
      </c>
      <c r="U60" s="151">
        <f t="shared" si="10"/>
        <v>16</v>
      </c>
      <c r="V60" s="151" t="s">
        <v>34</v>
      </c>
      <c r="W60" s="185">
        <v>0</v>
      </c>
      <c r="X60" s="151">
        <v>0</v>
      </c>
      <c r="Y60" s="151">
        <v>0</v>
      </c>
      <c r="Z60" s="151">
        <v>0</v>
      </c>
      <c r="AA60" s="151">
        <v>0</v>
      </c>
      <c r="AB60" s="151">
        <v>0</v>
      </c>
      <c r="AC60" s="151">
        <v>-3</v>
      </c>
      <c r="AD60" s="152" t="s">
        <v>29</v>
      </c>
      <c r="AE60" s="157">
        <f>VLOOKUP(Master2017[[#This Row],[Elevated Priority]],Epriority,2,)</f>
        <v>0</v>
      </c>
      <c r="AF60" s="151">
        <f>IF(Master2017[[#This Row],[Status]]="Active",Master2017[[#This Row],[Status_Score]],IF(C60="","",Q60+G60+S60+U60+AE60-5))</f>
        <v>36</v>
      </c>
      <c r="AG60" s="148"/>
      <c r="AH60" s="148">
        <v>2022</v>
      </c>
      <c r="AI60" s="148">
        <v>2023</v>
      </c>
      <c r="AJ60" s="156"/>
    </row>
    <row r="61" spans="1:36" ht="30" x14ac:dyDescent="0.25">
      <c r="A61" s="198">
        <f t="shared" si="4"/>
        <v>55</v>
      </c>
      <c r="B61" s="149" t="s">
        <v>94</v>
      </c>
      <c r="C61" s="149" t="s">
        <v>897</v>
      </c>
      <c r="D61" s="149" t="s">
        <v>608</v>
      </c>
      <c r="E61" s="149" t="s">
        <v>879</v>
      </c>
      <c r="F61" s="149" t="s">
        <v>29</v>
      </c>
      <c r="G61" s="149">
        <f t="shared" si="0"/>
        <v>0</v>
      </c>
      <c r="H61" s="162"/>
      <c r="I61" s="162"/>
      <c r="J61" s="162">
        <f>Master2017[[#This Row],[Initial Budget]]-Master2017[[#This Row],[Previously Committed Funds]]</f>
        <v>0</v>
      </c>
      <c r="K61" s="162"/>
      <c r="L61" s="162"/>
      <c r="M61" s="189">
        <f>Master2017[[#This Row],[Design $ (Add/Deduct)]]+Master2017[[#This Row],[Construction $ (Add/Ded)]]</f>
        <v>0</v>
      </c>
      <c r="N61" s="171">
        <v>250000</v>
      </c>
      <c r="O61" s="239">
        <v>2019</v>
      </c>
      <c r="P61" s="149" t="s">
        <v>688</v>
      </c>
      <c r="Q61" s="150">
        <f t="shared" si="8"/>
        <v>20</v>
      </c>
      <c r="R61" s="237">
        <v>22</v>
      </c>
      <c r="S61" s="148">
        <f t="shared" si="9"/>
        <v>27</v>
      </c>
      <c r="T61" s="237" t="s">
        <v>33</v>
      </c>
      <c r="U61" s="151">
        <f t="shared" si="10"/>
        <v>1</v>
      </c>
      <c r="V61" s="237" t="s">
        <v>30</v>
      </c>
      <c r="W61" s="151">
        <v>0</v>
      </c>
      <c r="X61" s="151">
        <v>0</v>
      </c>
      <c r="Y61" s="151">
        <v>0</v>
      </c>
      <c r="Z61" s="151">
        <v>0</v>
      </c>
      <c r="AA61" s="151">
        <v>0</v>
      </c>
      <c r="AB61" s="151">
        <v>0</v>
      </c>
      <c r="AC61" s="151">
        <v>0</v>
      </c>
      <c r="AD61" s="237" t="s">
        <v>29</v>
      </c>
      <c r="AE61" s="157">
        <f>VLOOKUP(Master2017[[#This Row],[Elevated Priority]],Epriority,2,)</f>
        <v>0</v>
      </c>
      <c r="AF61" s="151">
        <f>IF(Master2017[[#This Row],[Status]]="Active",Master2017[[#This Row],[Status_Score]],IF(C61="","",Q61+G61+S61+U61+AE61-5))</f>
        <v>43</v>
      </c>
      <c r="AG61" s="151"/>
      <c r="AH61" s="151">
        <v>2022</v>
      </c>
      <c r="AI61" s="151">
        <v>2022</v>
      </c>
      <c r="AJ61" s="243"/>
    </row>
    <row r="62" spans="1:36" ht="45" hidden="1" x14ac:dyDescent="0.25">
      <c r="A62" s="198">
        <f t="shared" si="4"/>
        <v>56</v>
      </c>
      <c r="B62" s="149" t="s">
        <v>70</v>
      </c>
      <c r="C62" s="149" t="s">
        <v>821</v>
      </c>
      <c r="D62" s="149" t="s">
        <v>822</v>
      </c>
      <c r="E62" s="149" t="s">
        <v>823</v>
      </c>
      <c r="F62" s="149" t="s">
        <v>29</v>
      </c>
      <c r="G62" s="149">
        <f t="shared" si="0"/>
        <v>0</v>
      </c>
      <c r="H62" s="162"/>
      <c r="I62" s="162"/>
      <c r="J62" s="162">
        <f>Master2017[[#This Row],[Initial Budget]]-Master2017[[#This Row],[Previously Committed Funds]]</f>
        <v>0</v>
      </c>
      <c r="K62" s="162"/>
      <c r="L62" s="162"/>
      <c r="M62" s="189">
        <f>Master2017[[#This Row],[Design $ (Add/Deduct)]]+Master2017[[#This Row],[Construction $ (Add/Ded)]]</f>
        <v>0</v>
      </c>
      <c r="N62" s="171">
        <v>200000</v>
      </c>
      <c r="O62" s="150">
        <v>2018</v>
      </c>
      <c r="P62" s="149" t="s">
        <v>688</v>
      </c>
      <c r="Q62" s="150">
        <f t="shared" si="8"/>
        <v>20</v>
      </c>
      <c r="R62" s="151">
        <v>3</v>
      </c>
      <c r="S62" s="148">
        <f t="shared" si="9"/>
        <v>9</v>
      </c>
      <c r="T62" s="151" t="s">
        <v>43</v>
      </c>
      <c r="U62" s="151">
        <f t="shared" si="10"/>
        <v>16</v>
      </c>
      <c r="V62" s="151" t="s">
        <v>34</v>
      </c>
      <c r="W62" s="185">
        <v>0</v>
      </c>
      <c r="X62" s="151">
        <v>0</v>
      </c>
      <c r="Y62" s="151">
        <v>-3</v>
      </c>
      <c r="Z62" s="151">
        <v>0</v>
      </c>
      <c r="AA62" s="151">
        <v>0</v>
      </c>
      <c r="AB62" s="151">
        <v>0</v>
      </c>
      <c r="AC62" s="151">
        <v>-3</v>
      </c>
      <c r="AD62" s="152" t="s">
        <v>29</v>
      </c>
      <c r="AE62" s="157">
        <f>VLOOKUP(Master2017[[#This Row],[Elevated Priority]],Epriority,2,)</f>
        <v>0</v>
      </c>
      <c r="AF62" s="151">
        <f>IF(Master2017[[#This Row],[Status]]="Active",Master2017[[#This Row],[Status_Score]],IF(C62="","",Q62+G62+S62+U62+AE62-5))</f>
        <v>40</v>
      </c>
      <c r="AG62" s="148"/>
      <c r="AH62" s="148">
        <v>2021</v>
      </c>
      <c r="AI62" s="148">
        <v>2022</v>
      </c>
      <c r="AJ62" s="156"/>
    </row>
    <row r="63" spans="1:36" ht="30" x14ac:dyDescent="0.25">
      <c r="A63" s="198">
        <f t="shared" si="4"/>
        <v>57</v>
      </c>
      <c r="B63" s="149" t="s">
        <v>79</v>
      </c>
      <c r="C63" s="149" t="s">
        <v>981</v>
      </c>
      <c r="D63" s="149" t="s">
        <v>471</v>
      </c>
      <c r="E63" s="149" t="s">
        <v>472</v>
      </c>
      <c r="F63" s="149" t="s">
        <v>29</v>
      </c>
      <c r="G63" s="149">
        <f t="shared" si="0"/>
        <v>0</v>
      </c>
      <c r="H63" s="162"/>
      <c r="I63" s="162"/>
      <c r="J63" s="162">
        <f>Master2017[[#This Row],[Initial Budget]]-Master2017[[#This Row],[Previously Committed Funds]]</f>
        <v>0</v>
      </c>
      <c r="K63" s="162"/>
      <c r="L63" s="162"/>
      <c r="M63" s="189">
        <f>Master2017[[#This Row],[Design $ (Add/Deduct)]]+Master2017[[#This Row],[Construction $ (Add/Ded)]]</f>
        <v>0</v>
      </c>
      <c r="N63" s="171">
        <v>150000</v>
      </c>
      <c r="O63" s="150">
        <v>2018</v>
      </c>
      <c r="P63" s="149" t="s">
        <v>36</v>
      </c>
      <c r="Q63" s="150">
        <f t="shared" si="8"/>
        <v>10</v>
      </c>
      <c r="R63" s="151">
        <v>12</v>
      </c>
      <c r="S63" s="148">
        <f t="shared" si="9"/>
        <v>22</v>
      </c>
      <c r="T63" s="151" t="s">
        <v>43</v>
      </c>
      <c r="U63" s="151">
        <f t="shared" si="10"/>
        <v>16</v>
      </c>
      <c r="V63" s="151" t="s">
        <v>30</v>
      </c>
      <c r="W63" s="151">
        <v>0</v>
      </c>
      <c r="X63" s="151">
        <v>0</v>
      </c>
      <c r="Y63" s="151">
        <v>0</v>
      </c>
      <c r="Z63" s="151">
        <v>0</v>
      </c>
      <c r="AA63" s="151">
        <v>0</v>
      </c>
      <c r="AB63" s="151">
        <v>0</v>
      </c>
      <c r="AC63" s="151">
        <v>0</v>
      </c>
      <c r="AD63" s="152" t="s">
        <v>29</v>
      </c>
      <c r="AE63" s="157">
        <f>VLOOKUP(Master2017[[#This Row],[Elevated Priority]],Epriority,2,)</f>
        <v>0</v>
      </c>
      <c r="AF63" s="151">
        <f>IF(Master2017[[#This Row],[Status]]="Active",Master2017[[#This Row],[Status_Score]],IF(C63="","",Q63+G63+S63+U63+AE63-5))</f>
        <v>43</v>
      </c>
      <c r="AG63" s="148"/>
      <c r="AH63" s="148">
        <v>2020</v>
      </c>
      <c r="AI63" s="148">
        <v>2021</v>
      </c>
      <c r="AJ63" s="156"/>
    </row>
    <row r="64" spans="1:36" ht="45" x14ac:dyDescent="0.25">
      <c r="A64" s="198">
        <f t="shared" si="4"/>
        <v>58</v>
      </c>
      <c r="B64" s="149" t="s">
        <v>61</v>
      </c>
      <c r="C64" s="149" t="s">
        <v>895</v>
      </c>
      <c r="D64" s="149" t="s">
        <v>896</v>
      </c>
      <c r="E64" s="149" t="s">
        <v>371</v>
      </c>
      <c r="F64" s="149" t="s">
        <v>29</v>
      </c>
      <c r="G64" s="236">
        <f t="shared" si="0"/>
        <v>0</v>
      </c>
      <c r="H64" s="162"/>
      <c r="I64" s="162"/>
      <c r="J64" s="162">
        <f>Master2017[[#This Row],[Initial Budget]]-Master2017[[#This Row],[Previously Committed Funds]]</f>
        <v>0</v>
      </c>
      <c r="K64" s="162"/>
      <c r="L64" s="162"/>
      <c r="M64" s="189">
        <f>Master2017[[#This Row],[Design $ (Add/Deduct)]]+Master2017[[#This Row],[Construction $ (Add/Ded)]]</f>
        <v>0</v>
      </c>
      <c r="N64" s="171">
        <v>250000</v>
      </c>
      <c r="O64" s="150">
        <v>2018</v>
      </c>
      <c r="P64" s="149" t="s">
        <v>687</v>
      </c>
      <c r="Q64" s="150">
        <f t="shared" si="8"/>
        <v>30</v>
      </c>
      <c r="R64" s="151">
        <v>1</v>
      </c>
      <c r="S64" s="148">
        <f t="shared" si="9"/>
        <v>3</v>
      </c>
      <c r="T64" s="151" t="s">
        <v>43</v>
      </c>
      <c r="U64" s="151">
        <f t="shared" si="10"/>
        <v>16</v>
      </c>
      <c r="V64" s="151" t="s">
        <v>30</v>
      </c>
      <c r="W64" s="151">
        <v>0</v>
      </c>
      <c r="X64" s="151">
        <v>0</v>
      </c>
      <c r="Y64" s="151">
        <v>0</v>
      </c>
      <c r="Z64" s="151">
        <v>0</v>
      </c>
      <c r="AA64" s="151">
        <v>0</v>
      </c>
      <c r="AB64" s="151">
        <v>0</v>
      </c>
      <c r="AC64" s="151">
        <v>0</v>
      </c>
      <c r="AD64" s="152" t="s">
        <v>29</v>
      </c>
      <c r="AE64" s="157">
        <f>VLOOKUP(Master2017[[#This Row],[Elevated Priority]],Epriority,2,)</f>
        <v>0</v>
      </c>
      <c r="AF64" s="238">
        <f>IF(Master2017[[#This Row],[Status]]="Active",Master2017[[#This Row],[Status_Score]],IF(C64="","",Q64+G64+S64+U64+AE64-5))</f>
        <v>44</v>
      </c>
      <c r="AG64" s="238"/>
      <c r="AH64" s="238">
        <v>2023</v>
      </c>
      <c r="AI64" s="238">
        <v>2024</v>
      </c>
      <c r="AJ64" s="156"/>
    </row>
    <row r="65" spans="1:36" ht="30" hidden="1" x14ac:dyDescent="0.25">
      <c r="A65" s="198">
        <f t="shared" si="4"/>
        <v>59</v>
      </c>
      <c r="B65" s="149" t="s">
        <v>67</v>
      </c>
      <c r="C65" s="149" t="s">
        <v>205</v>
      </c>
      <c r="D65" s="149" t="s">
        <v>206</v>
      </c>
      <c r="E65" s="149" t="s">
        <v>207</v>
      </c>
      <c r="F65" s="149" t="s">
        <v>29</v>
      </c>
      <c r="G65" s="149">
        <f t="shared" si="0"/>
        <v>0</v>
      </c>
      <c r="H65" s="162"/>
      <c r="I65" s="162"/>
      <c r="J65" s="162">
        <f>Master2017[[#This Row],[Initial Budget]]-Master2017[[#This Row],[Previously Committed Funds]]</f>
        <v>0</v>
      </c>
      <c r="K65" s="162"/>
      <c r="L65" s="162"/>
      <c r="M65" s="189">
        <f>Master2017[[#This Row],[Design $ (Add/Deduct)]]+Master2017[[#This Row],[Construction $ (Add/Ded)]]</f>
        <v>0</v>
      </c>
      <c r="N65" s="171">
        <v>2000000</v>
      </c>
      <c r="O65" s="150">
        <v>2018</v>
      </c>
      <c r="P65" s="149" t="s">
        <v>687</v>
      </c>
      <c r="Q65" s="150">
        <f t="shared" si="8"/>
        <v>30</v>
      </c>
      <c r="R65" s="151">
        <v>2</v>
      </c>
      <c r="S65" s="148">
        <f t="shared" si="9"/>
        <v>6</v>
      </c>
      <c r="T65" s="151" t="s">
        <v>41</v>
      </c>
      <c r="U65" s="151">
        <f t="shared" si="10"/>
        <v>4</v>
      </c>
      <c r="V65" s="151" t="s">
        <v>34</v>
      </c>
      <c r="W65" s="185">
        <v>0</v>
      </c>
      <c r="X65" s="151">
        <v>0</v>
      </c>
      <c r="Y65" s="151">
        <v>0</v>
      </c>
      <c r="Z65" s="151">
        <v>0</v>
      </c>
      <c r="AA65" s="151">
        <v>0</v>
      </c>
      <c r="AB65" s="151">
        <v>0</v>
      </c>
      <c r="AC65" s="151">
        <v>0</v>
      </c>
      <c r="AD65" s="152" t="s">
        <v>29</v>
      </c>
      <c r="AE65" s="157">
        <f>VLOOKUP(Master2017[[#This Row],[Elevated Priority]],Epriority,2,)</f>
        <v>0</v>
      </c>
      <c r="AF65" s="151">
        <f>IF(Master2017[[#This Row],[Status]]="Active",Master2017[[#This Row],[Status_Score]],IF(C65="","",Q65+G65+S65+U65+AE65-5))</f>
        <v>35</v>
      </c>
      <c r="AG65" s="151"/>
      <c r="AH65" s="151">
        <v>2021</v>
      </c>
      <c r="AI65" s="151">
        <v>2022</v>
      </c>
      <c r="AJ65" s="156"/>
    </row>
    <row r="66" spans="1:36" ht="45" x14ac:dyDescent="0.25">
      <c r="A66" s="198">
        <f t="shared" si="4"/>
        <v>60</v>
      </c>
      <c r="B66" s="149" t="s">
        <v>65</v>
      </c>
      <c r="C66" s="236" t="s">
        <v>966</v>
      </c>
      <c r="D66" s="236" t="s">
        <v>967</v>
      </c>
      <c r="E66" s="236" t="s">
        <v>968</v>
      </c>
      <c r="F66" s="149" t="s">
        <v>29</v>
      </c>
      <c r="G66" s="260">
        <f t="shared" ref="G66:G129" si="11">VLOOKUP(F66,Status_Score,2,FALSE)</f>
        <v>0</v>
      </c>
      <c r="H66" s="162"/>
      <c r="I66" s="162"/>
      <c r="J66" s="162">
        <f>Master2017[[#This Row],[Initial Budget]]-Master2017[[#This Row],[Previously Committed Funds]]</f>
        <v>0</v>
      </c>
      <c r="K66" s="162"/>
      <c r="L66" s="162"/>
      <c r="M66" s="189">
        <f>Master2017[[#This Row],[Design $ (Add/Deduct)]]+Master2017[[#This Row],[Construction $ (Add/Ded)]]</f>
        <v>0</v>
      </c>
      <c r="N66" s="284">
        <v>350000</v>
      </c>
      <c r="O66" s="150">
        <v>2020</v>
      </c>
      <c r="P66" s="149" t="s">
        <v>688</v>
      </c>
      <c r="Q66" s="150">
        <f t="shared" si="8"/>
        <v>20</v>
      </c>
      <c r="R66" s="238">
        <v>5</v>
      </c>
      <c r="S66" s="148">
        <f t="shared" si="9"/>
        <v>15</v>
      </c>
      <c r="T66" s="152" t="s">
        <v>43</v>
      </c>
      <c r="U66" s="151">
        <f t="shared" si="10"/>
        <v>16</v>
      </c>
      <c r="V66" s="151" t="s">
        <v>30</v>
      </c>
      <c r="W66" s="151">
        <v>0</v>
      </c>
      <c r="X66" s="151">
        <v>0</v>
      </c>
      <c r="Y66" s="151">
        <v>0</v>
      </c>
      <c r="Z66" s="151">
        <v>0</v>
      </c>
      <c r="AA66" s="151">
        <v>0</v>
      </c>
      <c r="AB66" s="151">
        <v>0</v>
      </c>
      <c r="AC66" s="151">
        <v>0</v>
      </c>
      <c r="AD66" s="245" t="s">
        <v>29</v>
      </c>
      <c r="AE66" s="157">
        <f>VLOOKUP(Master2017[[#This Row],[Elevated Priority]],Epriority,2,)</f>
        <v>0</v>
      </c>
      <c r="AF66" s="237">
        <f>IF(Master2017[[#This Row],[Status]]="Active",Master2017[[#This Row],[Status_Score]],IF(C66="","",Q66+G66+S66+U66+AE66-5))</f>
        <v>46</v>
      </c>
      <c r="AG66" s="148"/>
      <c r="AH66" s="148"/>
      <c r="AI66" s="148"/>
      <c r="AJ66" s="156"/>
    </row>
    <row r="67" spans="1:36" ht="60" x14ac:dyDescent="0.25">
      <c r="A67" s="198">
        <f t="shared" si="4"/>
        <v>61</v>
      </c>
      <c r="B67" s="149" t="s">
        <v>67</v>
      </c>
      <c r="C67" s="149" t="s">
        <v>434</v>
      </c>
      <c r="D67" s="149" t="s">
        <v>435</v>
      </c>
      <c r="E67" s="236" t="s">
        <v>436</v>
      </c>
      <c r="F67" s="149" t="s">
        <v>29</v>
      </c>
      <c r="G67" s="149">
        <f t="shared" si="11"/>
        <v>0</v>
      </c>
      <c r="H67" s="162"/>
      <c r="I67" s="162"/>
      <c r="J67" s="162">
        <f>Master2017[[#This Row],[Initial Budget]]-Master2017[[#This Row],[Previously Committed Funds]]</f>
        <v>0</v>
      </c>
      <c r="K67" s="162"/>
      <c r="L67" s="162"/>
      <c r="M67" s="189">
        <f>Master2017[[#This Row],[Design $ (Add/Deduct)]]+Master2017[[#This Row],[Construction $ (Add/Ded)]]</f>
        <v>0</v>
      </c>
      <c r="N67" s="171">
        <v>65000</v>
      </c>
      <c r="O67" s="237">
        <v>2018</v>
      </c>
      <c r="P67" s="149" t="s">
        <v>687</v>
      </c>
      <c r="Q67" s="150">
        <f t="shared" si="8"/>
        <v>30</v>
      </c>
      <c r="R67" s="238">
        <v>2</v>
      </c>
      <c r="S67" s="148">
        <f t="shared" si="9"/>
        <v>6</v>
      </c>
      <c r="T67" s="238" t="s">
        <v>43</v>
      </c>
      <c r="U67" s="151">
        <f t="shared" si="10"/>
        <v>16</v>
      </c>
      <c r="V67" s="238" t="s">
        <v>30</v>
      </c>
      <c r="W67" s="151">
        <v>0</v>
      </c>
      <c r="X67" s="151">
        <v>0</v>
      </c>
      <c r="Y67" s="151">
        <v>0</v>
      </c>
      <c r="Z67" s="151">
        <v>0</v>
      </c>
      <c r="AA67" s="151">
        <v>0</v>
      </c>
      <c r="AB67" s="151">
        <v>0</v>
      </c>
      <c r="AC67" s="151">
        <v>0</v>
      </c>
      <c r="AD67" s="239" t="s">
        <v>29</v>
      </c>
      <c r="AE67" s="157">
        <f>VLOOKUP(Master2017[[#This Row],[Elevated Priority]],Epriority,2,)</f>
        <v>0</v>
      </c>
      <c r="AF67" s="151">
        <f>IF(Master2017[[#This Row],[Status]]="Active",Master2017[[#This Row],[Status_Score]],IF(C67="","",Q67+G67+S67+U67+AE67-5))</f>
        <v>47</v>
      </c>
      <c r="AG67" s="235"/>
      <c r="AH67" s="235"/>
      <c r="AI67" s="235"/>
      <c r="AJ67" s="156"/>
    </row>
    <row r="68" spans="1:36" ht="75" hidden="1" x14ac:dyDescent="0.25">
      <c r="A68" s="198">
        <f t="shared" si="4"/>
        <v>62</v>
      </c>
      <c r="B68" s="207" t="s">
        <v>67</v>
      </c>
      <c r="C68" s="156" t="s">
        <v>865</v>
      </c>
      <c r="D68" s="156" t="s">
        <v>866</v>
      </c>
      <c r="E68" s="156" t="s">
        <v>867</v>
      </c>
      <c r="F68" s="149" t="s">
        <v>29</v>
      </c>
      <c r="G68" s="149">
        <f t="shared" si="11"/>
        <v>0</v>
      </c>
      <c r="H68" s="162"/>
      <c r="I68" s="162"/>
      <c r="J68" s="162">
        <f>Master2017[[#This Row],[Initial Budget]]-Master2017[[#This Row],[Previously Committed Funds]]</f>
        <v>0</v>
      </c>
      <c r="K68" s="162"/>
      <c r="L68" s="162"/>
      <c r="M68" s="189">
        <f>Master2017[[#This Row],[Design $ (Add/Deduct)]]+Master2017[[#This Row],[Construction $ (Add/Ded)]]</f>
        <v>0</v>
      </c>
      <c r="N68" s="171">
        <v>200000</v>
      </c>
      <c r="O68" s="150">
        <v>2020</v>
      </c>
      <c r="P68" s="149" t="s">
        <v>46</v>
      </c>
      <c r="Q68" s="150">
        <f t="shared" si="8"/>
        <v>50</v>
      </c>
      <c r="R68" s="151">
        <v>2</v>
      </c>
      <c r="S68" s="148">
        <f t="shared" si="9"/>
        <v>6</v>
      </c>
      <c r="T68" s="151" t="s">
        <v>37</v>
      </c>
      <c r="U68" s="151">
        <f t="shared" si="10"/>
        <v>3</v>
      </c>
      <c r="V68" s="151" t="s">
        <v>34</v>
      </c>
      <c r="W68" s="185">
        <v>0</v>
      </c>
      <c r="X68" s="151">
        <v>0</v>
      </c>
      <c r="Y68" s="151">
        <v>0</v>
      </c>
      <c r="Z68" s="151">
        <v>0</v>
      </c>
      <c r="AA68" s="151">
        <v>0</v>
      </c>
      <c r="AB68" s="151">
        <v>-1</v>
      </c>
      <c r="AC68" s="151">
        <v>0</v>
      </c>
      <c r="AD68" s="152" t="s">
        <v>35</v>
      </c>
      <c r="AE68" s="157">
        <f>VLOOKUP(Master2017[[#This Row],[Elevated Priority]],Epriority,2,)</f>
        <v>-25</v>
      </c>
      <c r="AF68" s="151">
        <f>IF(Master2017[[#This Row],[Status]]="Active",Master2017[[#This Row],[Status_Score]],IF(C68="","",Q68+G68+S68+U68+AE68-5))</f>
        <v>29</v>
      </c>
      <c r="AG68" s="148"/>
      <c r="AH68" s="148">
        <v>2020</v>
      </c>
      <c r="AI68" s="148">
        <v>2023</v>
      </c>
      <c r="AJ68" s="156"/>
    </row>
    <row r="69" spans="1:36" x14ac:dyDescent="0.25">
      <c r="A69" s="198">
        <f t="shared" si="4"/>
        <v>63</v>
      </c>
      <c r="B69" s="149" t="s">
        <v>94</v>
      </c>
      <c r="C69" s="236" t="s">
        <v>610</v>
      </c>
      <c r="D69" s="236"/>
      <c r="E69" s="236" t="s">
        <v>879</v>
      </c>
      <c r="F69" s="149" t="s">
        <v>29</v>
      </c>
      <c r="G69" s="149">
        <f t="shared" si="11"/>
        <v>0</v>
      </c>
      <c r="H69" s="162"/>
      <c r="I69" s="162"/>
      <c r="J69" s="162">
        <f>Master2017[[#This Row],[Initial Budget]]-Master2017[[#This Row],[Previously Committed Funds]]</f>
        <v>0</v>
      </c>
      <c r="K69" s="162"/>
      <c r="L69" s="162"/>
      <c r="M69" s="189">
        <f>Master2017[[#This Row],[Design $ (Add/Deduct)]]+Master2017[[#This Row],[Construction $ (Add/Ded)]]</f>
        <v>0</v>
      </c>
      <c r="N69" s="171">
        <v>20000</v>
      </c>
      <c r="O69" s="239">
        <v>2019</v>
      </c>
      <c r="P69" s="149" t="s">
        <v>688</v>
      </c>
      <c r="Q69" s="150">
        <f t="shared" si="8"/>
        <v>20</v>
      </c>
      <c r="R69" s="151">
        <v>26</v>
      </c>
      <c r="S69" s="148">
        <f t="shared" si="9"/>
        <v>29</v>
      </c>
      <c r="T69" s="151" t="s">
        <v>41</v>
      </c>
      <c r="U69" s="151">
        <f t="shared" si="10"/>
        <v>4</v>
      </c>
      <c r="V69" s="151" t="s">
        <v>30</v>
      </c>
      <c r="W69" s="151">
        <v>0</v>
      </c>
      <c r="X69" s="151">
        <v>0</v>
      </c>
      <c r="Y69" s="151">
        <v>0</v>
      </c>
      <c r="Z69" s="151">
        <v>0</v>
      </c>
      <c r="AA69" s="151">
        <v>0</v>
      </c>
      <c r="AB69" s="151">
        <v>0</v>
      </c>
      <c r="AC69" s="151">
        <v>0</v>
      </c>
      <c r="AD69" s="152" t="s">
        <v>29</v>
      </c>
      <c r="AE69" s="157">
        <f>VLOOKUP(Master2017[[#This Row],[Elevated Priority]],Epriority,2,)</f>
        <v>0</v>
      </c>
      <c r="AF69" s="151">
        <f>IF(Master2017[[#This Row],[Status]]="Active",Master2017[[#This Row],[Status_Score]],IF(C69="","",Q69+G69+S69+U69+AE69-5))</f>
        <v>48</v>
      </c>
      <c r="AG69" s="238"/>
      <c r="AH69" s="238"/>
      <c r="AI69" s="238"/>
      <c r="AJ69" s="156"/>
    </row>
    <row r="70" spans="1:36" ht="30" x14ac:dyDescent="0.25">
      <c r="A70" s="198">
        <f t="shared" si="4"/>
        <v>64</v>
      </c>
      <c r="B70" s="149" t="s">
        <v>94</v>
      </c>
      <c r="C70" s="149" t="s">
        <v>235</v>
      </c>
      <c r="D70" s="149" t="s">
        <v>236</v>
      </c>
      <c r="E70" s="149" t="s">
        <v>879</v>
      </c>
      <c r="F70" s="149" t="s">
        <v>29</v>
      </c>
      <c r="G70" s="149">
        <f t="shared" si="11"/>
        <v>0</v>
      </c>
      <c r="H70" s="162"/>
      <c r="I70" s="162"/>
      <c r="J70" s="162">
        <f>Master2017[[#This Row],[Initial Budget]]-Master2017[[#This Row],[Previously Committed Funds]]</f>
        <v>0</v>
      </c>
      <c r="K70" s="162"/>
      <c r="L70" s="162"/>
      <c r="M70" s="189">
        <f>Master2017[[#This Row],[Design $ (Add/Deduct)]]+Master2017[[#This Row],[Construction $ (Add/Ded)]]</f>
        <v>0</v>
      </c>
      <c r="N70" s="171">
        <v>150000</v>
      </c>
      <c r="O70" s="150">
        <v>2018</v>
      </c>
      <c r="P70" s="149" t="s">
        <v>688</v>
      </c>
      <c r="Q70" s="150">
        <f t="shared" si="8"/>
        <v>20</v>
      </c>
      <c r="R70" s="151">
        <v>25</v>
      </c>
      <c r="S70" s="148">
        <f t="shared" si="9"/>
        <v>29</v>
      </c>
      <c r="T70" s="151" t="s">
        <v>41</v>
      </c>
      <c r="U70" s="151">
        <f t="shared" si="10"/>
        <v>4</v>
      </c>
      <c r="V70" s="151" t="s">
        <v>30</v>
      </c>
      <c r="W70" s="151">
        <v>0</v>
      </c>
      <c r="X70" s="151">
        <v>0</v>
      </c>
      <c r="Y70" s="151">
        <v>0</v>
      </c>
      <c r="Z70" s="151">
        <v>0</v>
      </c>
      <c r="AA70" s="151">
        <v>0</v>
      </c>
      <c r="AB70" s="151">
        <v>0</v>
      </c>
      <c r="AC70" s="151">
        <v>0</v>
      </c>
      <c r="AD70" s="152" t="s">
        <v>29</v>
      </c>
      <c r="AE70" s="157">
        <f>VLOOKUP(Master2017[[#This Row],[Elevated Priority]],Epriority,2,)</f>
        <v>0</v>
      </c>
      <c r="AF70" s="151">
        <f>IF(Master2017[[#This Row],[Status]]="Active",Master2017[[#This Row],[Status_Score]],IF(C70="","",Q70+G70+S70+U70+AE70-5))</f>
        <v>48</v>
      </c>
      <c r="AG70" s="238"/>
      <c r="AH70" s="238">
        <v>2021</v>
      </c>
      <c r="AI70" s="238">
        <v>2022</v>
      </c>
      <c r="AJ70" s="156"/>
    </row>
    <row r="71" spans="1:36" ht="30" x14ac:dyDescent="0.25">
      <c r="A71" s="198">
        <f t="shared" si="4"/>
        <v>65</v>
      </c>
      <c r="B71" s="251" t="s">
        <v>94</v>
      </c>
      <c r="C71" s="251" t="s">
        <v>611</v>
      </c>
      <c r="D71" s="251" t="s">
        <v>612</v>
      </c>
      <c r="E71" s="251" t="s">
        <v>879</v>
      </c>
      <c r="F71" s="149" t="s">
        <v>29</v>
      </c>
      <c r="G71" s="149">
        <f t="shared" si="11"/>
        <v>0</v>
      </c>
      <c r="H71" s="162"/>
      <c r="I71" s="162"/>
      <c r="J71" s="162">
        <f>Master2017[[#This Row],[Initial Budget]]-Master2017[[#This Row],[Previously Committed Funds]]</f>
        <v>0</v>
      </c>
      <c r="K71" s="162"/>
      <c r="L71" s="162"/>
      <c r="M71" s="189">
        <f>Master2017[[#This Row],[Design $ (Add/Deduct)]]+Master2017[[#This Row],[Construction $ (Add/Ded)]]</f>
        <v>0</v>
      </c>
      <c r="N71" s="171">
        <v>250000</v>
      </c>
      <c r="O71" s="239">
        <v>2019</v>
      </c>
      <c r="P71" s="149" t="s">
        <v>688</v>
      </c>
      <c r="Q71" s="150">
        <f t="shared" si="8"/>
        <v>20</v>
      </c>
      <c r="R71" s="237">
        <v>27</v>
      </c>
      <c r="S71" s="148">
        <f t="shared" si="9"/>
        <v>30</v>
      </c>
      <c r="T71" s="237" t="s">
        <v>41</v>
      </c>
      <c r="U71" s="151">
        <f t="shared" si="10"/>
        <v>4</v>
      </c>
      <c r="V71" s="237" t="s">
        <v>30</v>
      </c>
      <c r="W71" s="151">
        <v>0</v>
      </c>
      <c r="X71" s="151">
        <v>0</v>
      </c>
      <c r="Y71" s="151">
        <v>0</v>
      </c>
      <c r="Z71" s="151">
        <v>0</v>
      </c>
      <c r="AA71" s="151">
        <v>0</v>
      </c>
      <c r="AB71" s="151">
        <v>0</v>
      </c>
      <c r="AC71" s="151">
        <v>0</v>
      </c>
      <c r="AD71" s="237" t="s">
        <v>29</v>
      </c>
      <c r="AE71" s="157">
        <f>VLOOKUP(Master2017[[#This Row],[Elevated Priority]],Epriority,2,)</f>
        <v>0</v>
      </c>
      <c r="AF71" s="151">
        <f>IF(Master2017[[#This Row],[Status]]="Active",Master2017[[#This Row],[Status_Score]],IF(C71="","",Q71+G71+S71+U71+AE71-5))</f>
        <v>49</v>
      </c>
      <c r="AG71" s="238"/>
      <c r="AH71" s="238"/>
      <c r="AI71" s="238"/>
      <c r="AJ71" s="156"/>
    </row>
    <row r="72" spans="1:36" ht="45" x14ac:dyDescent="0.25">
      <c r="A72" s="198">
        <f t="shared" si="4"/>
        <v>66</v>
      </c>
      <c r="B72" s="149" t="s">
        <v>94</v>
      </c>
      <c r="C72" s="149" t="s">
        <v>613</v>
      </c>
      <c r="D72" s="149" t="s">
        <v>898</v>
      </c>
      <c r="E72" s="149" t="s">
        <v>879</v>
      </c>
      <c r="F72" s="149" t="s">
        <v>29</v>
      </c>
      <c r="G72" s="149">
        <f t="shared" si="11"/>
        <v>0</v>
      </c>
      <c r="H72" s="162"/>
      <c r="I72" s="162"/>
      <c r="J72" s="162">
        <f>Master2017[[#This Row],[Initial Budget]]-Master2017[[#This Row],[Previously Committed Funds]]</f>
        <v>0</v>
      </c>
      <c r="K72" s="162"/>
      <c r="L72" s="162"/>
      <c r="M72" s="189">
        <f>Master2017[[#This Row],[Design $ (Add/Deduct)]]+Master2017[[#This Row],[Construction $ (Add/Ded)]]</f>
        <v>0</v>
      </c>
      <c r="N72" s="171">
        <v>500000</v>
      </c>
      <c r="O72" s="152">
        <v>2019</v>
      </c>
      <c r="P72" s="149" t="s">
        <v>688</v>
      </c>
      <c r="Q72" s="150">
        <f t="shared" si="8"/>
        <v>20</v>
      </c>
      <c r="R72" s="237">
        <v>28</v>
      </c>
      <c r="S72" s="148">
        <f t="shared" si="9"/>
        <v>30</v>
      </c>
      <c r="T72" s="237" t="s">
        <v>41</v>
      </c>
      <c r="U72" s="151">
        <f t="shared" si="10"/>
        <v>4</v>
      </c>
      <c r="V72" s="237" t="s">
        <v>30</v>
      </c>
      <c r="W72" s="151">
        <v>0</v>
      </c>
      <c r="X72" s="151">
        <v>0</v>
      </c>
      <c r="Y72" s="151">
        <v>0</v>
      </c>
      <c r="Z72" s="151">
        <v>0</v>
      </c>
      <c r="AA72" s="151">
        <v>0</v>
      </c>
      <c r="AB72" s="151">
        <v>0</v>
      </c>
      <c r="AC72" s="151">
        <v>0</v>
      </c>
      <c r="AD72" s="237" t="s">
        <v>29</v>
      </c>
      <c r="AE72" s="157">
        <f>VLOOKUP(Master2017[[#This Row],[Elevated Priority]],Epriority,2,)</f>
        <v>0</v>
      </c>
      <c r="AF72" s="151">
        <f>IF(Master2017[[#This Row],[Status]]="Active",Master2017[[#This Row],[Status_Score]],IF(C72="","",Q72+G72+S72+U72+AE72-5))</f>
        <v>49</v>
      </c>
      <c r="AG72" s="151"/>
      <c r="AH72" s="151">
        <v>2022</v>
      </c>
      <c r="AI72" s="151">
        <v>2023</v>
      </c>
      <c r="AJ72" s="243"/>
    </row>
    <row r="73" spans="1:36" ht="60" x14ac:dyDescent="0.25">
      <c r="A73" s="198">
        <f t="shared" si="4"/>
        <v>67</v>
      </c>
      <c r="B73" s="149" t="s">
        <v>91</v>
      </c>
      <c r="C73" s="149" t="s">
        <v>384</v>
      </c>
      <c r="D73" s="149" t="s">
        <v>899</v>
      </c>
      <c r="E73" s="149" t="s">
        <v>386</v>
      </c>
      <c r="F73" s="149" t="s">
        <v>29</v>
      </c>
      <c r="G73" s="149">
        <f t="shared" si="11"/>
        <v>0</v>
      </c>
      <c r="H73" s="162"/>
      <c r="I73" s="162"/>
      <c r="J73" s="162">
        <f>Master2017[[#This Row],[Initial Budget]]-Master2017[[#This Row],[Previously Committed Funds]]</f>
        <v>0</v>
      </c>
      <c r="K73" s="162"/>
      <c r="L73" s="162"/>
      <c r="M73" s="189">
        <f>Master2017[[#This Row],[Design $ (Add/Deduct)]]+Master2017[[#This Row],[Construction $ (Add/Ded)]]</f>
        <v>0</v>
      </c>
      <c r="N73" s="171">
        <v>150000</v>
      </c>
      <c r="O73" s="150">
        <v>2018</v>
      </c>
      <c r="P73" s="149" t="s">
        <v>687</v>
      </c>
      <c r="Q73" s="150">
        <f t="shared" si="8"/>
        <v>30</v>
      </c>
      <c r="R73" s="151">
        <v>3</v>
      </c>
      <c r="S73" s="148">
        <f t="shared" si="9"/>
        <v>9</v>
      </c>
      <c r="T73" s="151" t="s">
        <v>43</v>
      </c>
      <c r="U73" s="151">
        <f t="shared" si="10"/>
        <v>16</v>
      </c>
      <c r="V73" s="151" t="s">
        <v>30</v>
      </c>
      <c r="W73" s="151">
        <v>0</v>
      </c>
      <c r="X73" s="151">
        <v>0</v>
      </c>
      <c r="Y73" s="151">
        <v>0</v>
      </c>
      <c r="Z73" s="151">
        <v>0</v>
      </c>
      <c r="AA73" s="151">
        <v>0</v>
      </c>
      <c r="AB73" s="151">
        <v>0</v>
      </c>
      <c r="AC73" s="151">
        <v>0</v>
      </c>
      <c r="AD73" s="152" t="s">
        <v>29</v>
      </c>
      <c r="AE73" s="157">
        <f>VLOOKUP(Master2017[[#This Row],[Elevated Priority]],Epriority,2,)</f>
        <v>0</v>
      </c>
      <c r="AF73" s="151">
        <f>IF(Master2017[[#This Row],[Status]]="Active",Master2017[[#This Row],[Status_Score]],IF(C73="","",Q73+G73+S73+U73+AE73-5))</f>
        <v>50</v>
      </c>
      <c r="AG73" s="148"/>
      <c r="AH73" s="148">
        <v>2021</v>
      </c>
      <c r="AI73" s="148">
        <v>2022</v>
      </c>
      <c r="AJ73" s="156"/>
    </row>
    <row r="74" spans="1:36" ht="45" x14ac:dyDescent="0.25">
      <c r="A74" s="198">
        <f t="shared" si="4"/>
        <v>68</v>
      </c>
      <c r="B74" s="149" t="s">
        <v>91</v>
      </c>
      <c r="C74" s="149" t="s">
        <v>393</v>
      </c>
      <c r="D74" s="149" t="s">
        <v>394</v>
      </c>
      <c r="E74" s="149" t="s">
        <v>395</v>
      </c>
      <c r="F74" s="149" t="s">
        <v>29</v>
      </c>
      <c r="G74" s="149">
        <f t="shared" si="11"/>
        <v>0</v>
      </c>
      <c r="H74" s="162"/>
      <c r="I74" s="162"/>
      <c r="J74" s="162">
        <f>Master2017[[#This Row],[Initial Budget]]-Master2017[[#This Row],[Previously Committed Funds]]</f>
        <v>0</v>
      </c>
      <c r="K74" s="162"/>
      <c r="L74" s="162"/>
      <c r="M74" s="189">
        <f>Master2017[[#This Row],[Design $ (Add/Deduct)]]+Master2017[[#This Row],[Construction $ (Add/Ded)]]</f>
        <v>0</v>
      </c>
      <c r="N74" s="171">
        <v>85000</v>
      </c>
      <c r="O74" s="150">
        <v>2018</v>
      </c>
      <c r="P74" s="149" t="s">
        <v>688</v>
      </c>
      <c r="Q74" s="150">
        <f t="shared" si="8"/>
        <v>20</v>
      </c>
      <c r="R74" s="151">
        <v>7</v>
      </c>
      <c r="S74" s="148">
        <f t="shared" si="9"/>
        <v>20</v>
      </c>
      <c r="T74" s="151" t="s">
        <v>43</v>
      </c>
      <c r="U74" s="151">
        <f t="shared" si="10"/>
        <v>16</v>
      </c>
      <c r="V74" s="151" t="s">
        <v>30</v>
      </c>
      <c r="W74" s="151">
        <v>0</v>
      </c>
      <c r="X74" s="151">
        <v>0</v>
      </c>
      <c r="Y74" s="151">
        <v>0</v>
      </c>
      <c r="Z74" s="151">
        <v>0</v>
      </c>
      <c r="AA74" s="151">
        <v>0</v>
      </c>
      <c r="AB74" s="151">
        <v>0</v>
      </c>
      <c r="AC74" s="151">
        <v>0</v>
      </c>
      <c r="AD74" s="152" t="s">
        <v>29</v>
      </c>
      <c r="AE74" s="157">
        <f>VLOOKUP(Master2017[[#This Row],[Elevated Priority]],Epriority,2,)</f>
        <v>0</v>
      </c>
      <c r="AF74" s="151">
        <f>IF(Master2017[[#This Row],[Status]]="Active",Master2017[[#This Row],[Status_Score]],IF(C74="","",Q74+G74+S74+U74+AE74-5))</f>
        <v>51</v>
      </c>
      <c r="AG74" s="238"/>
      <c r="AH74" s="238">
        <v>2023</v>
      </c>
      <c r="AI74" s="238">
        <v>2024</v>
      </c>
      <c r="AJ74" s="156"/>
    </row>
    <row r="75" spans="1:36" ht="120" x14ac:dyDescent="0.25">
      <c r="A75" s="198">
        <f t="shared" si="4"/>
        <v>69</v>
      </c>
      <c r="B75" s="204" t="s">
        <v>67</v>
      </c>
      <c r="C75" s="251" t="s">
        <v>791</v>
      </c>
      <c r="D75" s="251" t="s">
        <v>792</v>
      </c>
      <c r="E75" s="251" t="s">
        <v>900</v>
      </c>
      <c r="F75" s="149" t="s">
        <v>29</v>
      </c>
      <c r="G75" s="149">
        <f t="shared" si="11"/>
        <v>0</v>
      </c>
      <c r="H75" s="162"/>
      <c r="I75" s="162"/>
      <c r="J75" s="162">
        <f>Master2017[[#This Row],[Initial Budget]]-Master2017[[#This Row],[Previously Committed Funds]]</f>
        <v>0</v>
      </c>
      <c r="K75" s="162">
        <v>45000</v>
      </c>
      <c r="L75" s="162"/>
      <c r="M75" s="189">
        <f>Master2017[[#This Row],[Design $ (Add/Deduct)]]+Master2017[[#This Row],[Construction $ (Add/Ded)]]</f>
        <v>45000</v>
      </c>
      <c r="N75" s="256">
        <v>235000</v>
      </c>
      <c r="O75" s="150">
        <v>2020</v>
      </c>
      <c r="P75" s="149" t="s">
        <v>688</v>
      </c>
      <c r="Q75" s="150">
        <f t="shared" si="8"/>
        <v>20</v>
      </c>
      <c r="R75" s="235">
        <v>10</v>
      </c>
      <c r="S75" s="148">
        <f t="shared" si="9"/>
        <v>21</v>
      </c>
      <c r="T75" s="235" t="s">
        <v>43</v>
      </c>
      <c r="U75" s="151">
        <f t="shared" si="10"/>
        <v>16</v>
      </c>
      <c r="V75" s="151" t="s">
        <v>30</v>
      </c>
      <c r="W75" s="151">
        <v>0</v>
      </c>
      <c r="X75" s="151">
        <v>0</v>
      </c>
      <c r="Y75" s="151">
        <v>0</v>
      </c>
      <c r="Z75" s="151">
        <v>0</v>
      </c>
      <c r="AA75" s="151">
        <v>0</v>
      </c>
      <c r="AB75" s="151">
        <v>0</v>
      </c>
      <c r="AC75" s="151">
        <v>0</v>
      </c>
      <c r="AD75" s="152" t="s">
        <v>29</v>
      </c>
      <c r="AE75" s="157">
        <f>VLOOKUP(Master2017[[#This Row],[Elevated Priority]],Epriority,2,)</f>
        <v>0</v>
      </c>
      <c r="AF75" s="151">
        <f>IF(Master2017[[#This Row],[Status]]="Active",Master2017[[#This Row],[Status_Score]],IF(C75="","",Q75+G75+S75+U75+AE75-5))</f>
        <v>52</v>
      </c>
      <c r="AG75" s="148"/>
      <c r="AH75" s="148"/>
      <c r="AI75" s="148"/>
      <c r="AJ75" s="156"/>
    </row>
    <row r="76" spans="1:36" ht="45" x14ac:dyDescent="0.25">
      <c r="A76" s="198">
        <f t="shared" si="4"/>
        <v>70</v>
      </c>
      <c r="B76" s="204" t="s">
        <v>67</v>
      </c>
      <c r="C76" s="156" t="s">
        <v>778</v>
      </c>
      <c r="D76" s="156" t="s">
        <v>801</v>
      </c>
      <c r="E76" s="236" t="s">
        <v>901</v>
      </c>
      <c r="F76" s="149" t="s">
        <v>29</v>
      </c>
      <c r="G76" s="149">
        <f t="shared" si="11"/>
        <v>0</v>
      </c>
      <c r="H76" s="162"/>
      <c r="I76" s="162"/>
      <c r="J76" s="162">
        <f>Master2017[[#This Row],[Initial Budget]]-Master2017[[#This Row],[Previously Committed Funds]]</f>
        <v>0</v>
      </c>
      <c r="K76" s="162"/>
      <c r="L76" s="162"/>
      <c r="M76" s="189"/>
      <c r="N76" s="246">
        <v>100000</v>
      </c>
      <c r="O76" s="244">
        <v>2020</v>
      </c>
      <c r="P76" s="149" t="s">
        <v>688</v>
      </c>
      <c r="Q76" s="150">
        <f t="shared" si="8"/>
        <v>20</v>
      </c>
      <c r="R76" s="235">
        <v>10</v>
      </c>
      <c r="S76" s="148">
        <f t="shared" si="9"/>
        <v>21</v>
      </c>
      <c r="T76" s="235" t="s">
        <v>43</v>
      </c>
      <c r="U76" s="151">
        <f t="shared" si="10"/>
        <v>16</v>
      </c>
      <c r="V76" s="235" t="s">
        <v>30</v>
      </c>
      <c r="W76" s="151">
        <v>0</v>
      </c>
      <c r="X76" s="151">
        <v>0</v>
      </c>
      <c r="Y76" s="151">
        <v>0</v>
      </c>
      <c r="Z76" s="151">
        <v>0</v>
      </c>
      <c r="AA76" s="151">
        <v>0</v>
      </c>
      <c r="AB76" s="151">
        <v>0</v>
      </c>
      <c r="AC76" s="151">
        <v>0</v>
      </c>
      <c r="AD76" s="152" t="s">
        <v>29</v>
      </c>
      <c r="AE76" s="157">
        <f>VLOOKUP(Master2017[[#This Row],[Elevated Priority]],Epriority,2,)</f>
        <v>0</v>
      </c>
      <c r="AF76" s="151">
        <f>IF(Master2017[[#This Row],[Status]]="Active",Master2017[[#This Row],[Status_Score]],IF(C76="","",Q76+G76+S76+U76+AE76-5))</f>
        <v>52</v>
      </c>
      <c r="AG76" s="148"/>
      <c r="AH76" s="148"/>
      <c r="AI76" s="148"/>
      <c r="AJ76" s="156"/>
    </row>
    <row r="77" spans="1:36" ht="90" hidden="1" x14ac:dyDescent="0.25">
      <c r="A77" s="198">
        <f t="shared" si="4"/>
        <v>71</v>
      </c>
      <c r="B77" s="149" t="s">
        <v>61</v>
      </c>
      <c r="C77" s="149" t="s">
        <v>316</v>
      </c>
      <c r="D77" s="149" t="s">
        <v>891</v>
      </c>
      <c r="E77" s="149" t="s">
        <v>318</v>
      </c>
      <c r="F77" s="149" t="s">
        <v>29</v>
      </c>
      <c r="G77" s="149">
        <f t="shared" si="11"/>
        <v>0</v>
      </c>
      <c r="H77" s="162"/>
      <c r="I77" s="162"/>
      <c r="J77" s="162">
        <f>Master2017[[#This Row],[Initial Budget]]-Master2017[[#This Row],[Previously Committed Funds]]</f>
        <v>0</v>
      </c>
      <c r="K77" s="162"/>
      <c r="L77" s="162"/>
      <c r="M77" s="189">
        <f>Master2017[[#This Row],[Design $ (Add/Deduct)]]+Master2017[[#This Row],[Construction $ (Add/Ded)]]</f>
        <v>0</v>
      </c>
      <c r="N77" s="171">
        <v>3000000</v>
      </c>
      <c r="O77" s="150">
        <v>2018</v>
      </c>
      <c r="P77" s="149" t="s">
        <v>687</v>
      </c>
      <c r="Q77" s="150">
        <f t="shared" si="8"/>
        <v>30</v>
      </c>
      <c r="R77" s="151">
        <v>2</v>
      </c>
      <c r="S77" s="148">
        <f t="shared" si="9"/>
        <v>6</v>
      </c>
      <c r="T77" s="151" t="s">
        <v>43</v>
      </c>
      <c r="U77" s="151">
        <f t="shared" si="10"/>
        <v>16</v>
      </c>
      <c r="V77" s="151" t="s">
        <v>34</v>
      </c>
      <c r="W77" s="185">
        <v>0</v>
      </c>
      <c r="X77" s="151">
        <v>0</v>
      </c>
      <c r="Y77" s="151">
        <v>-1</v>
      </c>
      <c r="Z77" s="151">
        <v>0</v>
      </c>
      <c r="AA77" s="151">
        <v>0</v>
      </c>
      <c r="AB77" s="151">
        <v>-5</v>
      </c>
      <c r="AC77" s="151">
        <v>0</v>
      </c>
      <c r="AD77" s="152" t="s">
        <v>29</v>
      </c>
      <c r="AE77" s="157">
        <f>VLOOKUP(Master2017[[#This Row],[Elevated Priority]],Epriority,2,)</f>
        <v>0</v>
      </c>
      <c r="AF77" s="151">
        <f>IF(Master2017[[#This Row],[Status]]="Active",Master2017[[#This Row],[Status_Score]],IF(C77="","",Q77+G77+S77+U77+AE77-5))</f>
        <v>47</v>
      </c>
      <c r="AG77" s="151"/>
      <c r="AH77" s="151">
        <v>2022</v>
      </c>
      <c r="AI77" s="151">
        <v>2024</v>
      </c>
      <c r="AJ77" s="149"/>
    </row>
    <row r="78" spans="1:36" ht="30" hidden="1" x14ac:dyDescent="0.25">
      <c r="A78" s="198">
        <f t="shared" si="4"/>
        <v>72</v>
      </c>
      <c r="B78" s="149" t="s">
        <v>220</v>
      </c>
      <c r="C78" s="149" t="s">
        <v>339</v>
      </c>
      <c r="D78" s="149" t="s">
        <v>340</v>
      </c>
      <c r="E78" s="149" t="s">
        <v>341</v>
      </c>
      <c r="F78" s="149" t="s">
        <v>29</v>
      </c>
      <c r="G78" s="149">
        <f t="shared" si="11"/>
        <v>0</v>
      </c>
      <c r="H78" s="162"/>
      <c r="I78" s="162"/>
      <c r="J78" s="162">
        <f>Master2017[[#This Row],[Initial Budget]]-Master2017[[#This Row],[Previously Committed Funds]]</f>
        <v>0</v>
      </c>
      <c r="K78" s="162"/>
      <c r="L78" s="162"/>
      <c r="M78" s="189">
        <f>Master2017[[#This Row],[Design $ (Add/Deduct)]]+Master2017[[#This Row],[Construction $ (Add/Ded)]]</f>
        <v>0</v>
      </c>
      <c r="N78" s="171" t="s">
        <v>224</v>
      </c>
      <c r="O78" s="150">
        <v>2018</v>
      </c>
      <c r="P78" s="149" t="s">
        <v>686</v>
      </c>
      <c r="Q78" s="150">
        <f t="shared" si="8"/>
        <v>60</v>
      </c>
      <c r="R78" s="151">
        <v>1</v>
      </c>
      <c r="S78" s="148">
        <f t="shared" si="9"/>
        <v>3</v>
      </c>
      <c r="T78" s="151" t="s">
        <v>37</v>
      </c>
      <c r="U78" s="151">
        <f t="shared" si="10"/>
        <v>3</v>
      </c>
      <c r="V78" s="151" t="s">
        <v>34</v>
      </c>
      <c r="W78" s="185">
        <v>0</v>
      </c>
      <c r="X78" s="151">
        <v>-5</v>
      </c>
      <c r="Y78" s="151">
        <v>-3</v>
      </c>
      <c r="Z78" s="151">
        <v>0</v>
      </c>
      <c r="AA78" s="151">
        <v>0</v>
      </c>
      <c r="AB78" s="151">
        <v>-1</v>
      </c>
      <c r="AC78" s="151">
        <v>-1</v>
      </c>
      <c r="AD78" s="152" t="s">
        <v>29</v>
      </c>
      <c r="AE78" s="157">
        <f>VLOOKUP(Master2017[[#This Row],[Elevated Priority]],Epriority,2,)</f>
        <v>0</v>
      </c>
      <c r="AF78" s="151">
        <f>IF(Master2017[[#This Row],[Status]]="Active",Master2017[[#This Row],[Status_Score]],IF(C78="","",Q78+G78+S78+U78+AE78-5))</f>
        <v>61</v>
      </c>
      <c r="AG78" s="148"/>
      <c r="AH78" s="148"/>
      <c r="AI78" s="148"/>
      <c r="AJ78" s="156"/>
    </row>
    <row r="79" spans="1:36" ht="30" x14ac:dyDescent="0.25">
      <c r="A79" s="198">
        <f t="shared" si="4"/>
        <v>73</v>
      </c>
      <c r="B79" s="149" t="s">
        <v>94</v>
      </c>
      <c r="C79" s="243" t="s">
        <v>270</v>
      </c>
      <c r="D79" s="243" t="s">
        <v>271</v>
      </c>
      <c r="E79" s="243" t="s">
        <v>902</v>
      </c>
      <c r="F79" s="149" t="s">
        <v>29</v>
      </c>
      <c r="G79" s="149">
        <f t="shared" si="11"/>
        <v>0</v>
      </c>
      <c r="H79" s="162"/>
      <c r="I79" s="162"/>
      <c r="J79" s="162">
        <f>Master2017[[#This Row],[Initial Budget]]-Master2017[[#This Row],[Previously Committed Funds]]</f>
        <v>0</v>
      </c>
      <c r="K79" s="162"/>
      <c r="L79" s="162"/>
      <c r="M79" s="189">
        <f>Master2017[[#This Row],[Design $ (Add/Deduct)]]+Master2017[[#This Row],[Construction $ (Add/Ded)]]</f>
        <v>0</v>
      </c>
      <c r="N79" s="171">
        <v>5000</v>
      </c>
      <c r="O79" s="150">
        <v>2018</v>
      </c>
      <c r="P79" s="149" t="s">
        <v>688</v>
      </c>
      <c r="Q79" s="150">
        <f t="shared" si="8"/>
        <v>20</v>
      </c>
      <c r="R79" s="151">
        <v>34</v>
      </c>
      <c r="S79" s="148">
        <f t="shared" si="9"/>
        <v>33</v>
      </c>
      <c r="T79" s="151" t="s">
        <v>41</v>
      </c>
      <c r="U79" s="151">
        <f t="shared" si="10"/>
        <v>4</v>
      </c>
      <c r="V79" s="151" t="s">
        <v>30</v>
      </c>
      <c r="W79" s="151">
        <v>0</v>
      </c>
      <c r="X79" s="151">
        <v>0</v>
      </c>
      <c r="Y79" s="151">
        <v>0</v>
      </c>
      <c r="Z79" s="151">
        <v>0</v>
      </c>
      <c r="AA79" s="151">
        <v>0</v>
      </c>
      <c r="AB79" s="151">
        <v>0</v>
      </c>
      <c r="AC79" s="151">
        <v>0</v>
      </c>
      <c r="AD79" s="152" t="s">
        <v>29</v>
      </c>
      <c r="AE79" s="157">
        <f>VLOOKUP(Master2017[[#This Row],[Elevated Priority]],Epriority,2,)</f>
        <v>0</v>
      </c>
      <c r="AF79" s="151">
        <f>IF(Master2017[[#This Row],[Status]]="Active",Master2017[[#This Row],[Status_Score]],IF(C79="","",Q79+G79+S79+U79+AE79-5))</f>
        <v>52</v>
      </c>
      <c r="AG79" s="235"/>
      <c r="AH79" s="235">
        <v>2023</v>
      </c>
      <c r="AI79" s="235">
        <v>2024</v>
      </c>
      <c r="AJ79" s="243"/>
    </row>
    <row r="80" spans="1:36" ht="45" x14ac:dyDescent="0.25">
      <c r="A80" s="198">
        <f t="shared" ref="A80:A143" si="12">A79+1</f>
        <v>74</v>
      </c>
      <c r="B80" s="149" t="s">
        <v>70</v>
      </c>
      <c r="C80" s="149" t="s">
        <v>840</v>
      </c>
      <c r="D80" s="149" t="s">
        <v>841</v>
      </c>
      <c r="E80" s="149" t="s">
        <v>903</v>
      </c>
      <c r="F80" s="149" t="s">
        <v>29</v>
      </c>
      <c r="G80" s="149">
        <f t="shared" si="11"/>
        <v>0</v>
      </c>
      <c r="H80" s="162"/>
      <c r="I80" s="162"/>
      <c r="J80" s="162">
        <f>Master2017[[#This Row],[Initial Budget]]-Master2017[[#This Row],[Previously Committed Funds]]</f>
        <v>0</v>
      </c>
      <c r="K80" s="162"/>
      <c r="L80" s="162"/>
      <c r="M80" s="189">
        <f>Master2017[[#This Row],[Design $ (Add/Deduct)]]+Master2017[[#This Row],[Construction $ (Add/Ded)]]</f>
        <v>0</v>
      </c>
      <c r="N80" s="171">
        <v>50000</v>
      </c>
      <c r="O80" s="150">
        <v>2018</v>
      </c>
      <c r="P80" s="149" t="s">
        <v>687</v>
      </c>
      <c r="Q80" s="150">
        <f t="shared" si="8"/>
        <v>30</v>
      </c>
      <c r="R80" s="151">
        <v>4</v>
      </c>
      <c r="S80" s="148">
        <f t="shared" si="9"/>
        <v>12</v>
      </c>
      <c r="T80" s="151" t="s">
        <v>43</v>
      </c>
      <c r="U80" s="151">
        <f t="shared" si="10"/>
        <v>16</v>
      </c>
      <c r="V80" s="151" t="s">
        <v>30</v>
      </c>
      <c r="W80" s="151">
        <v>0</v>
      </c>
      <c r="X80" s="151">
        <v>0</v>
      </c>
      <c r="Y80" s="151">
        <v>0</v>
      </c>
      <c r="Z80" s="151">
        <v>0</v>
      </c>
      <c r="AA80" s="151">
        <v>0</v>
      </c>
      <c r="AB80" s="151">
        <v>0</v>
      </c>
      <c r="AC80" s="151">
        <v>0</v>
      </c>
      <c r="AD80" s="152" t="s">
        <v>29</v>
      </c>
      <c r="AE80" s="157">
        <f>VLOOKUP(Master2017[[#This Row],[Elevated Priority]],Epriority,2,)</f>
        <v>0</v>
      </c>
      <c r="AF80" s="151">
        <f>IF(Master2017[[#This Row],[Status]]="Active",Master2017[[#This Row],[Status_Score]],IF(C80="","",Q80+G80+S80+U80+AE80-5))</f>
        <v>53</v>
      </c>
      <c r="AG80" s="238"/>
      <c r="AH80" s="238">
        <v>2021</v>
      </c>
      <c r="AI80" s="238">
        <v>2022</v>
      </c>
      <c r="AJ80" s="236"/>
    </row>
    <row r="81" spans="1:36" ht="210" x14ac:dyDescent="0.25">
      <c r="A81" s="198">
        <f t="shared" si="12"/>
        <v>75</v>
      </c>
      <c r="B81" s="149" t="s">
        <v>159</v>
      </c>
      <c r="C81" s="149" t="s">
        <v>416</v>
      </c>
      <c r="D81" s="149" t="s">
        <v>417</v>
      </c>
      <c r="E81" s="149" t="s">
        <v>418</v>
      </c>
      <c r="F81" s="149" t="s">
        <v>29</v>
      </c>
      <c r="G81" s="149">
        <f t="shared" si="11"/>
        <v>0</v>
      </c>
      <c r="H81" s="162"/>
      <c r="I81" s="162"/>
      <c r="J81" s="162">
        <f>Master2017[[#This Row],[Initial Budget]]-Master2017[[#This Row],[Previously Committed Funds]]</f>
        <v>0</v>
      </c>
      <c r="K81" s="162"/>
      <c r="L81" s="162"/>
      <c r="M81" s="189">
        <f>Master2017[[#This Row],[Design $ (Add/Deduct)]]+Master2017[[#This Row],[Construction $ (Add/Ded)]]</f>
        <v>0</v>
      </c>
      <c r="N81" s="171">
        <v>45000</v>
      </c>
      <c r="O81" s="150">
        <v>2018</v>
      </c>
      <c r="P81" s="149" t="s">
        <v>687</v>
      </c>
      <c r="Q81" s="150">
        <f t="shared" si="8"/>
        <v>30</v>
      </c>
      <c r="R81" s="151">
        <v>4</v>
      </c>
      <c r="S81" s="148">
        <f t="shared" si="9"/>
        <v>12</v>
      </c>
      <c r="T81" s="151" t="s">
        <v>43</v>
      </c>
      <c r="U81" s="151">
        <f t="shared" si="10"/>
        <v>16</v>
      </c>
      <c r="V81" s="151" t="s">
        <v>30</v>
      </c>
      <c r="W81" s="151">
        <v>0</v>
      </c>
      <c r="X81" s="151">
        <v>0</v>
      </c>
      <c r="Y81" s="151">
        <v>0</v>
      </c>
      <c r="Z81" s="151">
        <v>0</v>
      </c>
      <c r="AA81" s="151">
        <v>0</v>
      </c>
      <c r="AB81" s="151">
        <v>0</v>
      </c>
      <c r="AC81" s="151">
        <v>0</v>
      </c>
      <c r="AD81" s="152" t="s">
        <v>29</v>
      </c>
      <c r="AE81" s="157">
        <f>VLOOKUP(Master2017[[#This Row],[Elevated Priority]],Epriority,2,)</f>
        <v>0</v>
      </c>
      <c r="AF81" s="151">
        <f>IF(Master2017[[#This Row],[Status]]="Active",Master2017[[#This Row],[Status_Score]],IF(C81="","",Q81+G81+S81+U81+AE81-5))</f>
        <v>53</v>
      </c>
      <c r="AG81" s="148"/>
      <c r="AH81" s="148">
        <v>2021</v>
      </c>
      <c r="AI81" s="148">
        <v>2022</v>
      </c>
      <c r="AJ81" s="156"/>
    </row>
    <row r="82" spans="1:36" ht="30" hidden="1" x14ac:dyDescent="0.25">
      <c r="A82" s="198">
        <f t="shared" si="12"/>
        <v>76</v>
      </c>
      <c r="B82" s="149" t="s">
        <v>94</v>
      </c>
      <c r="C82" s="149" t="s">
        <v>668</v>
      </c>
      <c r="D82" s="149" t="s">
        <v>231</v>
      </c>
      <c r="E82" s="149"/>
      <c r="F82" s="149" t="s">
        <v>29</v>
      </c>
      <c r="G82" s="149">
        <f t="shared" si="11"/>
        <v>0</v>
      </c>
      <c r="H82" s="162"/>
      <c r="I82" s="162"/>
      <c r="J82" s="162">
        <f>Master2017[[#This Row],[Initial Budget]]-Master2017[[#This Row],[Previously Committed Funds]]</f>
        <v>0</v>
      </c>
      <c r="K82" s="162"/>
      <c r="L82" s="162"/>
      <c r="M82" s="189">
        <f>Master2017[[#This Row],[Design $ (Add/Deduct)]]+Master2017[[#This Row],[Construction $ (Add/Ded)]]</f>
        <v>0</v>
      </c>
      <c r="N82" s="171">
        <v>850000</v>
      </c>
      <c r="O82" s="150">
        <v>2018</v>
      </c>
      <c r="P82" s="149" t="s">
        <v>688</v>
      </c>
      <c r="Q82" s="150">
        <f t="shared" si="8"/>
        <v>20</v>
      </c>
      <c r="R82" s="151">
        <v>13</v>
      </c>
      <c r="S82" s="148">
        <f t="shared" si="9"/>
        <v>23</v>
      </c>
      <c r="T82" s="151" t="s">
        <v>41</v>
      </c>
      <c r="U82" s="151">
        <f t="shared" si="10"/>
        <v>4</v>
      </c>
      <c r="V82" s="151" t="s">
        <v>34</v>
      </c>
      <c r="W82" s="151">
        <v>0</v>
      </c>
      <c r="X82" s="151">
        <v>0</v>
      </c>
      <c r="Y82" s="151">
        <v>0</v>
      </c>
      <c r="Z82" s="151">
        <v>0</v>
      </c>
      <c r="AA82" s="151">
        <v>0</v>
      </c>
      <c r="AB82" s="151">
        <v>0</v>
      </c>
      <c r="AC82" s="151">
        <v>0</v>
      </c>
      <c r="AD82" s="152" t="s">
        <v>29</v>
      </c>
      <c r="AE82" s="157">
        <f>VLOOKUP(Master2017[[#This Row],[Elevated Priority]],Epriority,2,)</f>
        <v>0</v>
      </c>
      <c r="AF82" s="151">
        <f>IF(Master2017[[#This Row],[Status]]="Active",Master2017[[#This Row],[Status_Score]],IF(C82="","",Q82+G82+S82+U82+AE82-5))</f>
        <v>42</v>
      </c>
      <c r="AG82" s="148"/>
      <c r="AH82" s="148">
        <v>2022</v>
      </c>
      <c r="AI82" s="148">
        <v>2023</v>
      </c>
      <c r="AJ82" s="156"/>
    </row>
    <row r="83" spans="1:36" x14ac:dyDescent="0.25">
      <c r="A83" s="198">
        <f t="shared" si="12"/>
        <v>77</v>
      </c>
      <c r="B83" s="149" t="s">
        <v>61</v>
      </c>
      <c r="C83" s="149" t="s">
        <v>795</v>
      </c>
      <c r="D83" s="149" t="s">
        <v>442</v>
      </c>
      <c r="E83" s="149" t="s">
        <v>443</v>
      </c>
      <c r="F83" s="149" t="s">
        <v>29</v>
      </c>
      <c r="G83" s="149">
        <f t="shared" si="11"/>
        <v>0</v>
      </c>
      <c r="H83" s="162"/>
      <c r="I83" s="162"/>
      <c r="J83" s="162">
        <f>Master2017[[#This Row],[Initial Budget]]-Master2017[[#This Row],[Previously Committed Funds]]</f>
        <v>0</v>
      </c>
      <c r="K83" s="162"/>
      <c r="L83" s="162"/>
      <c r="M83" s="189">
        <f>Master2017[[#This Row],[Design $ (Add/Deduct)]]+Master2017[[#This Row],[Construction $ (Add/Ded)]]</f>
        <v>0</v>
      </c>
      <c r="N83" s="171">
        <v>100000</v>
      </c>
      <c r="O83" s="237">
        <v>2018</v>
      </c>
      <c r="P83" s="149" t="s">
        <v>687</v>
      </c>
      <c r="Q83" s="150">
        <f t="shared" si="8"/>
        <v>30</v>
      </c>
      <c r="R83" s="238">
        <v>5</v>
      </c>
      <c r="S83" s="148">
        <f t="shared" si="9"/>
        <v>15</v>
      </c>
      <c r="T83" s="238" t="s">
        <v>43</v>
      </c>
      <c r="U83" s="151">
        <f t="shared" si="10"/>
        <v>16</v>
      </c>
      <c r="V83" s="238" t="s">
        <v>30</v>
      </c>
      <c r="W83" s="151">
        <v>0</v>
      </c>
      <c r="X83" s="151">
        <v>0</v>
      </c>
      <c r="Y83" s="151">
        <v>0</v>
      </c>
      <c r="Z83" s="151">
        <v>0</v>
      </c>
      <c r="AA83" s="151">
        <v>0</v>
      </c>
      <c r="AB83" s="151">
        <v>0</v>
      </c>
      <c r="AC83" s="151">
        <v>0</v>
      </c>
      <c r="AD83" s="239" t="s">
        <v>29</v>
      </c>
      <c r="AE83" s="157">
        <f>VLOOKUP(Master2017[[#This Row],[Elevated Priority]],Epriority,2,)</f>
        <v>0</v>
      </c>
      <c r="AF83" s="151">
        <f>IF(Master2017[[#This Row],[Status]]="Active",Master2017[[#This Row],[Status_Score]],IF(C83="","",Q83+G83+S83+U83+AE83-5))</f>
        <v>56</v>
      </c>
      <c r="AG83" s="235"/>
      <c r="AH83" s="235"/>
      <c r="AI83" s="235"/>
      <c r="AJ83" s="156"/>
    </row>
    <row r="84" spans="1:36" ht="30" x14ac:dyDescent="0.25">
      <c r="A84" s="198">
        <f t="shared" si="12"/>
        <v>78</v>
      </c>
      <c r="B84" s="149" t="s">
        <v>70</v>
      </c>
      <c r="C84" s="149" t="s">
        <v>366</v>
      </c>
      <c r="D84" s="149" t="s">
        <v>367</v>
      </c>
      <c r="E84" s="149" t="s">
        <v>368</v>
      </c>
      <c r="F84" s="149" t="s">
        <v>29</v>
      </c>
      <c r="G84" s="149">
        <f t="shared" si="11"/>
        <v>0</v>
      </c>
      <c r="H84" s="162"/>
      <c r="I84" s="162"/>
      <c r="J84" s="162">
        <f>Master2017[[#This Row],[Initial Budget]]-Master2017[[#This Row],[Previously Committed Funds]]</f>
        <v>0</v>
      </c>
      <c r="K84" s="162"/>
      <c r="L84" s="162"/>
      <c r="M84" s="189">
        <f>Master2017[[#This Row],[Design $ (Add/Deduct)]]+Master2017[[#This Row],[Construction $ (Add/Ded)]]</f>
        <v>0</v>
      </c>
      <c r="N84" s="171">
        <v>5000</v>
      </c>
      <c r="O84" s="150">
        <v>2018</v>
      </c>
      <c r="P84" s="149" t="s">
        <v>686</v>
      </c>
      <c r="Q84" s="150">
        <f t="shared" si="8"/>
        <v>60</v>
      </c>
      <c r="R84" s="151">
        <v>3</v>
      </c>
      <c r="S84" s="148">
        <f t="shared" si="9"/>
        <v>9</v>
      </c>
      <c r="T84" s="151" t="s">
        <v>41</v>
      </c>
      <c r="U84" s="151">
        <f t="shared" si="10"/>
        <v>4</v>
      </c>
      <c r="V84" s="151" t="s">
        <v>30</v>
      </c>
      <c r="W84" s="151">
        <v>0</v>
      </c>
      <c r="X84" s="151">
        <v>0</v>
      </c>
      <c r="Y84" s="151">
        <v>0</v>
      </c>
      <c r="Z84" s="151">
        <v>0</v>
      </c>
      <c r="AA84" s="151">
        <v>0</v>
      </c>
      <c r="AB84" s="151">
        <v>0</v>
      </c>
      <c r="AC84" s="151">
        <v>0</v>
      </c>
      <c r="AD84" s="152" t="s">
        <v>29</v>
      </c>
      <c r="AE84" s="157">
        <f>VLOOKUP(Master2017[[#This Row],[Elevated Priority]],Epriority,2,)</f>
        <v>0</v>
      </c>
      <c r="AF84" s="151">
        <f>IF(Master2017[[#This Row],[Status]]="Active",Master2017[[#This Row],[Status_Score]],IF(C84="","",Q84+G84+S84+U84+AE84-5))</f>
        <v>68</v>
      </c>
      <c r="AG84" s="238"/>
      <c r="AH84" s="238">
        <v>2023</v>
      </c>
      <c r="AI84" s="238">
        <v>2024</v>
      </c>
      <c r="AJ84" s="156"/>
    </row>
    <row r="85" spans="1:36" ht="30" x14ac:dyDescent="0.25">
      <c r="A85" s="198">
        <f t="shared" si="12"/>
        <v>79</v>
      </c>
      <c r="B85" s="149" t="s">
        <v>214</v>
      </c>
      <c r="C85" s="149" t="s">
        <v>447</v>
      </c>
      <c r="D85" s="149" t="s">
        <v>448</v>
      </c>
      <c r="E85" s="149" t="s">
        <v>449</v>
      </c>
      <c r="F85" s="149" t="s">
        <v>29</v>
      </c>
      <c r="G85" s="149">
        <f t="shared" si="11"/>
        <v>0</v>
      </c>
      <c r="H85" s="162"/>
      <c r="I85" s="162"/>
      <c r="J85" s="162">
        <f>Master2017[[#This Row],[Initial Budget]]-Master2017[[#This Row],[Previously Committed Funds]]</f>
        <v>0</v>
      </c>
      <c r="K85" s="162"/>
      <c r="L85" s="162"/>
      <c r="M85" s="189">
        <f>Master2017[[#This Row],[Design $ (Add/Deduct)]]+Master2017[[#This Row],[Construction $ (Add/Ded)]]</f>
        <v>0</v>
      </c>
      <c r="N85" s="171">
        <v>200000</v>
      </c>
      <c r="O85" s="150">
        <v>2018</v>
      </c>
      <c r="P85" s="149" t="s">
        <v>687</v>
      </c>
      <c r="Q85" s="150">
        <f t="shared" si="8"/>
        <v>30</v>
      </c>
      <c r="R85" s="151">
        <v>6</v>
      </c>
      <c r="S85" s="148">
        <f t="shared" si="9"/>
        <v>18</v>
      </c>
      <c r="T85" s="151" t="s">
        <v>43</v>
      </c>
      <c r="U85" s="151">
        <f t="shared" si="10"/>
        <v>16</v>
      </c>
      <c r="V85" s="151" t="s">
        <v>30</v>
      </c>
      <c r="W85" s="151">
        <v>0</v>
      </c>
      <c r="X85" s="151">
        <v>0</v>
      </c>
      <c r="Y85" s="151">
        <v>0</v>
      </c>
      <c r="Z85" s="151">
        <v>0</v>
      </c>
      <c r="AA85" s="151">
        <v>0</v>
      </c>
      <c r="AB85" s="151">
        <v>0</v>
      </c>
      <c r="AC85" s="151">
        <v>0</v>
      </c>
      <c r="AD85" s="152" t="s">
        <v>29</v>
      </c>
      <c r="AE85" s="157">
        <f>VLOOKUP(Master2017[[#This Row],[Elevated Priority]],Epriority,2,)</f>
        <v>0</v>
      </c>
      <c r="AF85" s="151">
        <f>IF(Master2017[[#This Row],[Status]]="Active",Master2017[[#This Row],[Status_Score]],IF(C85="","",Q85+G85+S85+U85+AE85-5))</f>
        <v>59</v>
      </c>
      <c r="AG85" s="235"/>
      <c r="AH85" s="235"/>
      <c r="AI85" s="235"/>
      <c r="AJ85" s="156"/>
    </row>
    <row r="86" spans="1:36" ht="60" hidden="1" x14ac:dyDescent="0.25">
      <c r="A86" s="198">
        <f t="shared" si="12"/>
        <v>80</v>
      </c>
      <c r="B86" s="149" t="s">
        <v>94</v>
      </c>
      <c r="C86" s="149" t="s">
        <v>952</v>
      </c>
      <c r="D86" s="149" t="s">
        <v>953</v>
      </c>
      <c r="E86" s="149" t="s">
        <v>954</v>
      </c>
      <c r="F86" s="149" t="s">
        <v>29</v>
      </c>
      <c r="G86" s="174">
        <f t="shared" si="11"/>
        <v>0</v>
      </c>
      <c r="H86" s="162"/>
      <c r="I86" s="162"/>
      <c r="J86" s="162">
        <f>Master2017[[#This Row],[Initial Budget]]-Master2017[[#This Row],[Previously Committed Funds]]</f>
        <v>0</v>
      </c>
      <c r="K86" s="162"/>
      <c r="L86" s="162"/>
      <c r="M86" s="189">
        <f>Master2017[[#This Row],[Design $ (Add/Deduct)]]+Master2017[[#This Row],[Construction $ (Add/Ded)]]</f>
        <v>0</v>
      </c>
      <c r="N86" s="171">
        <v>20000000</v>
      </c>
      <c r="O86" s="150">
        <v>2020</v>
      </c>
      <c r="P86" s="149" t="s">
        <v>688</v>
      </c>
      <c r="Q86" s="150">
        <f t="shared" si="8"/>
        <v>20</v>
      </c>
      <c r="R86" s="151">
        <v>5</v>
      </c>
      <c r="S86" s="148">
        <f t="shared" si="9"/>
        <v>15</v>
      </c>
      <c r="T86" s="151" t="s">
        <v>43</v>
      </c>
      <c r="U86" s="151">
        <f t="shared" si="10"/>
        <v>16</v>
      </c>
      <c r="V86" s="151" t="s">
        <v>34</v>
      </c>
      <c r="W86" s="151">
        <v>0</v>
      </c>
      <c r="X86" s="151">
        <v>-1</v>
      </c>
      <c r="Y86" s="151">
        <v>-3</v>
      </c>
      <c r="Z86" s="151">
        <v>-3</v>
      </c>
      <c r="AA86" s="151">
        <v>-2</v>
      </c>
      <c r="AB86" s="151">
        <v>-3</v>
      </c>
      <c r="AC86" s="151">
        <v>0</v>
      </c>
      <c r="AD86" s="152" t="s">
        <v>29</v>
      </c>
      <c r="AE86" s="157">
        <f>VLOOKUP(Master2017[[#This Row],[Elevated Priority]],Epriority,2,)</f>
        <v>0</v>
      </c>
      <c r="AF86" s="150">
        <f>IF(Master2017[[#This Row],[Status]]="Active",Master2017[[#This Row],[Status_Score]],IF(C86="","",Q86+G86+S86+U86+AE86-5))</f>
        <v>46</v>
      </c>
      <c r="AG86" s="148"/>
      <c r="AH86" s="148">
        <v>2021</v>
      </c>
      <c r="AI86" s="148">
        <v>2024</v>
      </c>
      <c r="AJ86" s="156"/>
    </row>
    <row r="87" spans="1:36" ht="30" x14ac:dyDescent="0.25">
      <c r="A87" s="198">
        <f t="shared" si="12"/>
        <v>81</v>
      </c>
      <c r="B87" s="149" t="s">
        <v>91</v>
      </c>
      <c r="C87" s="236" t="s">
        <v>453</v>
      </c>
      <c r="D87" s="149" t="s">
        <v>454</v>
      </c>
      <c r="E87" s="149"/>
      <c r="F87" s="149" t="s">
        <v>29</v>
      </c>
      <c r="G87" s="236">
        <f t="shared" si="11"/>
        <v>0</v>
      </c>
      <c r="H87" s="162"/>
      <c r="I87" s="162"/>
      <c r="J87" s="162">
        <f>Master2017[[#This Row],[Initial Budget]]-Master2017[[#This Row],[Previously Committed Funds]]</f>
        <v>0</v>
      </c>
      <c r="K87" s="162"/>
      <c r="L87" s="162"/>
      <c r="M87" s="189">
        <f>Master2017[[#This Row],[Design $ (Add/Deduct)]]+Master2017[[#This Row],[Construction $ (Add/Ded)]]</f>
        <v>0</v>
      </c>
      <c r="N87" s="256">
        <v>60000</v>
      </c>
      <c r="O87" s="150">
        <v>2018</v>
      </c>
      <c r="P87" s="149" t="s">
        <v>687</v>
      </c>
      <c r="Q87" s="150">
        <f t="shared" si="8"/>
        <v>30</v>
      </c>
      <c r="R87" s="151">
        <v>8</v>
      </c>
      <c r="S87" s="148">
        <f t="shared" si="9"/>
        <v>20</v>
      </c>
      <c r="T87" s="238" t="s">
        <v>43</v>
      </c>
      <c r="U87" s="151">
        <f t="shared" si="10"/>
        <v>16</v>
      </c>
      <c r="V87" s="151" t="s">
        <v>30</v>
      </c>
      <c r="W87" s="151">
        <v>0</v>
      </c>
      <c r="X87" s="151">
        <v>0</v>
      </c>
      <c r="Y87" s="151">
        <v>0</v>
      </c>
      <c r="Z87" s="151">
        <v>0</v>
      </c>
      <c r="AA87" s="151">
        <v>0</v>
      </c>
      <c r="AB87" s="151">
        <v>0</v>
      </c>
      <c r="AC87" s="151">
        <v>0</v>
      </c>
      <c r="AD87" s="239" t="s">
        <v>29</v>
      </c>
      <c r="AE87" s="157">
        <f>VLOOKUP(Master2017[[#This Row],[Elevated Priority]],Epriority,2,)</f>
        <v>0</v>
      </c>
      <c r="AF87" s="238">
        <f>IF(Master2017[[#This Row],[Status]]="Active",Master2017[[#This Row],[Status_Score]],IF(C87="","",Q87+G87+S87+U87+AE87-5))</f>
        <v>61</v>
      </c>
      <c r="AG87" s="148"/>
      <c r="AH87" s="148">
        <v>2023</v>
      </c>
      <c r="AI87" s="148">
        <v>2024</v>
      </c>
      <c r="AJ87" s="156"/>
    </row>
    <row r="88" spans="1:36" ht="90" x14ac:dyDescent="0.25">
      <c r="A88" s="198">
        <f t="shared" si="12"/>
        <v>82</v>
      </c>
      <c r="B88" s="204" t="s">
        <v>91</v>
      </c>
      <c r="C88" s="251" t="s">
        <v>806</v>
      </c>
      <c r="D88" s="251" t="s">
        <v>793</v>
      </c>
      <c r="E88" s="251" t="s">
        <v>807</v>
      </c>
      <c r="F88" s="149" t="s">
        <v>29</v>
      </c>
      <c r="G88" s="149">
        <f t="shared" si="11"/>
        <v>0</v>
      </c>
      <c r="H88" s="162"/>
      <c r="I88" s="162"/>
      <c r="J88" s="162">
        <f>Master2017[[#This Row],[Initial Budget]]-Master2017[[#This Row],[Previously Committed Funds]]</f>
        <v>0</v>
      </c>
      <c r="K88" s="162">
        <v>40000</v>
      </c>
      <c r="L88" s="162"/>
      <c r="M88" s="189">
        <f>Master2017[[#This Row],[Design $ (Add/Deduct)]]+Master2017[[#This Row],[Construction $ (Add/Ded)]]</f>
        <v>40000</v>
      </c>
      <c r="N88" s="171">
        <v>275000</v>
      </c>
      <c r="O88" s="150">
        <v>2020</v>
      </c>
      <c r="P88" s="149" t="s">
        <v>46</v>
      </c>
      <c r="Q88" s="150">
        <f t="shared" si="8"/>
        <v>50</v>
      </c>
      <c r="R88" s="151">
        <v>1</v>
      </c>
      <c r="S88" s="148">
        <f t="shared" si="9"/>
        <v>3</v>
      </c>
      <c r="T88" s="151" t="s">
        <v>41</v>
      </c>
      <c r="U88" s="151">
        <f t="shared" si="10"/>
        <v>4</v>
      </c>
      <c r="V88" s="151" t="s">
        <v>30</v>
      </c>
      <c r="W88" s="151">
        <v>0</v>
      </c>
      <c r="X88" s="151">
        <v>0</v>
      </c>
      <c r="Y88" s="151">
        <v>0</v>
      </c>
      <c r="Z88" s="151">
        <v>0</v>
      </c>
      <c r="AA88" s="151">
        <v>0</v>
      </c>
      <c r="AB88" s="151">
        <v>0</v>
      </c>
      <c r="AC88" s="151">
        <v>0</v>
      </c>
      <c r="AD88" s="152" t="s">
        <v>29</v>
      </c>
      <c r="AE88" s="157">
        <f>VLOOKUP(Master2017[[#This Row],[Elevated Priority]],Epriority,2,)</f>
        <v>0</v>
      </c>
      <c r="AF88" s="151">
        <f>IF(Master2017[[#This Row],[Status]]="Active",Master2017[[#This Row],[Status_Score]],IF(C88="","",Q88+G88+S88+U88+AE88-5))</f>
        <v>52</v>
      </c>
      <c r="AG88" s="148"/>
      <c r="AH88" s="148"/>
      <c r="AI88" s="148"/>
      <c r="AJ88" s="156"/>
    </row>
    <row r="89" spans="1:36" ht="30" hidden="1" x14ac:dyDescent="0.25">
      <c r="A89" s="198">
        <f t="shared" si="12"/>
        <v>83</v>
      </c>
      <c r="B89" s="149" t="s">
        <v>67</v>
      </c>
      <c r="C89" s="149" t="s">
        <v>425</v>
      </c>
      <c r="D89" s="149" t="s">
        <v>426</v>
      </c>
      <c r="E89" s="149" t="s">
        <v>427</v>
      </c>
      <c r="F89" s="149" t="s">
        <v>29</v>
      </c>
      <c r="G89" s="149">
        <f t="shared" si="11"/>
        <v>0</v>
      </c>
      <c r="H89" s="162"/>
      <c r="I89" s="162"/>
      <c r="J89" s="162">
        <f>Master2017[[#This Row],[Initial Budget]]-Master2017[[#This Row],[Previously Committed Funds]]</f>
        <v>0</v>
      </c>
      <c r="K89" s="162"/>
      <c r="L89" s="162"/>
      <c r="M89" s="189">
        <f>Master2017[[#This Row],[Design $ (Add/Deduct)]]+Master2017[[#This Row],[Construction $ (Add/Ded)]]</f>
        <v>0</v>
      </c>
      <c r="N89" s="171">
        <v>275000</v>
      </c>
      <c r="O89" s="150">
        <v>2018</v>
      </c>
      <c r="P89" s="149" t="s">
        <v>830</v>
      </c>
      <c r="Q89" s="150">
        <f t="shared" ref="Q89:Q120" si="13">VLOOKUP(P89,Importance,2,FALSE)</f>
        <v>10</v>
      </c>
      <c r="R89" s="151">
        <v>2</v>
      </c>
      <c r="S89" s="148">
        <f t="shared" ref="S89:S120" si="14">VLOOKUP(R89,Department,2,FALSE)</f>
        <v>6</v>
      </c>
      <c r="T89" s="151" t="s">
        <v>45</v>
      </c>
      <c r="U89" s="151">
        <f t="shared" ref="U89:U107" si="15">VLOOKUP(T89,Urgency,2,FALSE)</f>
        <v>32</v>
      </c>
      <c r="V89" s="151" t="s">
        <v>34</v>
      </c>
      <c r="W89" s="151">
        <v>0</v>
      </c>
      <c r="X89" s="151">
        <v>0</v>
      </c>
      <c r="Y89" s="151">
        <v>0</v>
      </c>
      <c r="Z89" s="151">
        <v>0</v>
      </c>
      <c r="AA89" s="151">
        <v>0</v>
      </c>
      <c r="AB89" s="151">
        <v>0</v>
      </c>
      <c r="AC89" s="151">
        <v>0</v>
      </c>
      <c r="AD89" s="152" t="s">
        <v>29</v>
      </c>
      <c r="AE89" s="157">
        <f>VLOOKUP(Master2017[[#This Row],[Elevated Priority]],Epriority,2,)</f>
        <v>0</v>
      </c>
      <c r="AF89" s="151">
        <f>IF(Master2017[[#This Row],[Status]]="Active",Master2017[[#This Row],[Status_Score]],IF(C89="","",Q89+G89+S89+U89+AE89-5))</f>
        <v>43</v>
      </c>
      <c r="AG89" s="148"/>
      <c r="AH89" s="148">
        <v>2021</v>
      </c>
      <c r="AI89" s="148">
        <v>2022</v>
      </c>
      <c r="AJ89" s="156"/>
    </row>
    <row r="90" spans="1:36" ht="30" x14ac:dyDescent="0.25">
      <c r="A90" s="198">
        <f t="shared" si="12"/>
        <v>84</v>
      </c>
      <c r="B90" s="149" t="s">
        <v>214</v>
      </c>
      <c r="C90" s="149" t="s">
        <v>459</v>
      </c>
      <c r="D90" s="149" t="s">
        <v>460</v>
      </c>
      <c r="E90" s="149" t="s">
        <v>461</v>
      </c>
      <c r="F90" s="149" t="s">
        <v>29</v>
      </c>
      <c r="G90" s="149">
        <f t="shared" si="11"/>
        <v>0</v>
      </c>
      <c r="H90" s="162"/>
      <c r="I90" s="162"/>
      <c r="J90" s="162">
        <f>Master2017[[#This Row],[Initial Budget]]-Master2017[[#This Row],[Previously Committed Funds]]</f>
        <v>0</v>
      </c>
      <c r="K90" s="162"/>
      <c r="L90" s="162"/>
      <c r="M90" s="189">
        <f>Master2017[[#This Row],[Design $ (Add/Deduct)]]+Master2017[[#This Row],[Construction $ (Add/Ded)]]</f>
        <v>0</v>
      </c>
      <c r="N90" s="171">
        <v>65000</v>
      </c>
      <c r="O90" s="237">
        <v>2018</v>
      </c>
      <c r="P90" s="149" t="s">
        <v>688</v>
      </c>
      <c r="Q90" s="150">
        <f t="shared" si="13"/>
        <v>20</v>
      </c>
      <c r="R90" s="151">
        <v>5</v>
      </c>
      <c r="S90" s="148">
        <f t="shared" si="14"/>
        <v>15</v>
      </c>
      <c r="T90" s="151" t="s">
        <v>45</v>
      </c>
      <c r="U90" s="151">
        <f t="shared" si="15"/>
        <v>32</v>
      </c>
      <c r="V90" s="151" t="s">
        <v>30</v>
      </c>
      <c r="W90" s="151">
        <v>0</v>
      </c>
      <c r="X90" s="151">
        <v>0</v>
      </c>
      <c r="Y90" s="151">
        <v>0</v>
      </c>
      <c r="Z90" s="151">
        <v>0</v>
      </c>
      <c r="AA90" s="151">
        <v>0</v>
      </c>
      <c r="AB90" s="151">
        <v>0</v>
      </c>
      <c r="AC90" s="151">
        <v>0</v>
      </c>
      <c r="AD90" s="152" t="s">
        <v>29</v>
      </c>
      <c r="AE90" s="157">
        <f>VLOOKUP(Master2017[[#This Row],[Elevated Priority]],Epriority,2,)</f>
        <v>0</v>
      </c>
      <c r="AF90" s="151">
        <f>IF(Master2017[[#This Row],[Status]]="Active",Master2017[[#This Row],[Status_Score]],IF(C90="","",Q90+G90+S90+U90+AE90-5))</f>
        <v>62</v>
      </c>
      <c r="AG90" s="235"/>
      <c r="AH90" s="235"/>
      <c r="AI90" s="235"/>
      <c r="AJ90" s="156"/>
    </row>
    <row r="91" spans="1:36" ht="45" x14ac:dyDescent="0.25">
      <c r="A91" s="198">
        <f t="shared" si="12"/>
        <v>85</v>
      </c>
      <c r="B91" s="149" t="s">
        <v>70</v>
      </c>
      <c r="C91" s="149" t="s">
        <v>444</v>
      </c>
      <c r="D91" s="149" t="s">
        <v>445</v>
      </c>
      <c r="E91" s="149" t="s">
        <v>446</v>
      </c>
      <c r="F91" s="149" t="s">
        <v>29</v>
      </c>
      <c r="G91" s="149">
        <f t="shared" si="11"/>
        <v>0</v>
      </c>
      <c r="H91" s="162"/>
      <c r="I91" s="162"/>
      <c r="J91" s="162">
        <f>Master2017[[#This Row],[Initial Budget]]-Master2017[[#This Row],[Previously Committed Funds]]</f>
        <v>0</v>
      </c>
      <c r="K91" s="162"/>
      <c r="L91" s="162"/>
      <c r="M91" s="189">
        <f>Master2017[[#This Row],[Design $ (Add/Deduct)]]+Master2017[[#This Row],[Construction $ (Add/Ded)]]</f>
        <v>0</v>
      </c>
      <c r="N91" s="171">
        <v>5000000</v>
      </c>
      <c r="O91" s="150">
        <v>2018</v>
      </c>
      <c r="P91" s="149" t="s">
        <v>687</v>
      </c>
      <c r="Q91" s="150">
        <f t="shared" si="13"/>
        <v>30</v>
      </c>
      <c r="R91" s="151">
        <v>2</v>
      </c>
      <c r="S91" s="148">
        <f t="shared" si="14"/>
        <v>6</v>
      </c>
      <c r="T91" s="151" t="s">
        <v>45</v>
      </c>
      <c r="U91" s="151">
        <f t="shared" si="15"/>
        <v>32</v>
      </c>
      <c r="V91" s="151" t="s">
        <v>30</v>
      </c>
      <c r="W91" s="151">
        <v>0</v>
      </c>
      <c r="X91" s="151">
        <v>0</v>
      </c>
      <c r="Y91" s="151">
        <v>0</v>
      </c>
      <c r="Z91" s="151">
        <v>0</v>
      </c>
      <c r="AA91" s="151">
        <v>0</v>
      </c>
      <c r="AB91" s="151">
        <v>0</v>
      </c>
      <c r="AC91" s="151">
        <v>0</v>
      </c>
      <c r="AD91" s="152" t="s">
        <v>29</v>
      </c>
      <c r="AE91" s="157">
        <f>VLOOKUP(Master2017[[#This Row],[Elevated Priority]],Epriority,2,)</f>
        <v>0</v>
      </c>
      <c r="AF91" s="151">
        <f>IF(Master2017[[#This Row],[Status]]="Active",Master2017[[#This Row],[Status_Score]],IF(C91="","",Q91+G91+S91+U91+AE91-5))</f>
        <v>63</v>
      </c>
      <c r="AG91" s="235"/>
      <c r="AH91" s="235"/>
      <c r="AI91" s="235"/>
      <c r="AJ91" s="156"/>
    </row>
    <row r="92" spans="1:36" ht="75" hidden="1" x14ac:dyDescent="0.25">
      <c r="A92" s="198">
        <f t="shared" si="12"/>
        <v>86</v>
      </c>
      <c r="B92" s="146" t="s">
        <v>143</v>
      </c>
      <c r="C92" s="149" t="s">
        <v>767</v>
      </c>
      <c r="D92" s="149" t="s">
        <v>768</v>
      </c>
      <c r="E92" s="149" t="s">
        <v>769</v>
      </c>
      <c r="F92" s="149" t="s">
        <v>29</v>
      </c>
      <c r="G92" s="149">
        <f t="shared" si="11"/>
        <v>0</v>
      </c>
      <c r="H92" s="162"/>
      <c r="I92" s="162"/>
      <c r="J92" s="162">
        <f>Master2017[[#This Row],[Initial Budget]]-Master2017[[#This Row],[Previously Committed Funds]]</f>
        <v>0</v>
      </c>
      <c r="K92" s="162"/>
      <c r="L92" s="162"/>
      <c r="M92" s="189">
        <f>Master2017[[#This Row],[Design $ (Add/Deduct)]]+Master2017[[#This Row],[Construction $ (Add/Ded)]]</f>
        <v>0</v>
      </c>
      <c r="N92" s="159">
        <v>25000</v>
      </c>
      <c r="O92" s="157">
        <v>2020</v>
      </c>
      <c r="P92" s="156" t="s">
        <v>686</v>
      </c>
      <c r="Q92" s="150">
        <f t="shared" si="13"/>
        <v>60</v>
      </c>
      <c r="R92" s="148">
        <v>2</v>
      </c>
      <c r="S92" s="148">
        <f t="shared" si="14"/>
        <v>6</v>
      </c>
      <c r="T92" s="148" t="s">
        <v>37</v>
      </c>
      <c r="U92" s="151">
        <f t="shared" si="15"/>
        <v>3</v>
      </c>
      <c r="V92" s="148" t="s">
        <v>34</v>
      </c>
      <c r="W92" s="185">
        <v>0</v>
      </c>
      <c r="X92" s="151">
        <v>0</v>
      </c>
      <c r="Y92" s="151">
        <v>-3</v>
      </c>
      <c r="Z92" s="151">
        <v>0</v>
      </c>
      <c r="AA92" s="151">
        <v>-2</v>
      </c>
      <c r="AB92" s="151">
        <v>0</v>
      </c>
      <c r="AC92" s="151">
        <v>0</v>
      </c>
      <c r="AD92" s="158" t="s">
        <v>29</v>
      </c>
      <c r="AE92" s="157">
        <f>VLOOKUP(Master2017[[#This Row],[Elevated Priority]],Epriority,2,)</f>
        <v>0</v>
      </c>
      <c r="AF92" s="151">
        <f>IF(Master2017[[#This Row],[Status]]="Active",Master2017[[#This Row],[Status_Score]],IF(C92="","",Q92+G92+S92+U92+AE92-5))</f>
        <v>64</v>
      </c>
      <c r="AG92" s="148"/>
      <c r="AH92" s="148">
        <v>2020</v>
      </c>
      <c r="AI92" s="148">
        <v>2021</v>
      </c>
      <c r="AJ92" s="156"/>
    </row>
    <row r="93" spans="1:36" ht="30" hidden="1" x14ac:dyDescent="0.25">
      <c r="A93" s="198">
        <f t="shared" si="12"/>
        <v>87</v>
      </c>
      <c r="B93" s="149" t="s">
        <v>72</v>
      </c>
      <c r="C93" s="149" t="s">
        <v>336</v>
      </c>
      <c r="D93" s="149" t="s">
        <v>824</v>
      </c>
      <c r="E93" s="149" t="s">
        <v>338</v>
      </c>
      <c r="F93" s="149" t="s">
        <v>29</v>
      </c>
      <c r="G93" s="149">
        <f t="shared" si="11"/>
        <v>0</v>
      </c>
      <c r="H93" s="162"/>
      <c r="I93" s="162"/>
      <c r="J93" s="162">
        <f>Master2017[[#This Row],[Initial Budget]]-Master2017[[#This Row],[Previously Committed Funds]]</f>
        <v>0</v>
      </c>
      <c r="K93" s="162"/>
      <c r="L93" s="162"/>
      <c r="M93" s="189">
        <f>Master2017[[#This Row],[Design $ (Add/Deduct)]]+Master2017[[#This Row],[Construction $ (Add/Ded)]]</f>
        <v>0</v>
      </c>
      <c r="N93" s="171">
        <v>2500000</v>
      </c>
      <c r="O93" s="150">
        <v>2018</v>
      </c>
      <c r="P93" s="149" t="s">
        <v>686</v>
      </c>
      <c r="Q93" s="150">
        <f t="shared" si="13"/>
        <v>60</v>
      </c>
      <c r="R93" s="151">
        <v>1</v>
      </c>
      <c r="S93" s="148">
        <f t="shared" si="14"/>
        <v>3</v>
      </c>
      <c r="T93" s="151" t="s">
        <v>37</v>
      </c>
      <c r="U93" s="151">
        <f t="shared" si="15"/>
        <v>3</v>
      </c>
      <c r="V93" s="151" t="s">
        <v>34</v>
      </c>
      <c r="W93" s="185">
        <v>0</v>
      </c>
      <c r="X93" s="151">
        <v>0</v>
      </c>
      <c r="Y93" s="151">
        <v>0</v>
      </c>
      <c r="Z93" s="151">
        <v>0</v>
      </c>
      <c r="AA93" s="151">
        <v>0</v>
      </c>
      <c r="AB93" s="151">
        <v>0</v>
      </c>
      <c r="AC93" s="151">
        <v>-2</v>
      </c>
      <c r="AD93" s="152" t="s">
        <v>29</v>
      </c>
      <c r="AE93" s="157">
        <f>VLOOKUP(Master2017[[#This Row],[Elevated Priority]],Epriority,2,)</f>
        <v>0</v>
      </c>
      <c r="AF93" s="151">
        <f>IF(Master2017[[#This Row],[Status]]="Active",Master2017[[#This Row],[Status_Score]],IF(C93="","",Q93+G93+S93+U93+AE93-5))</f>
        <v>61</v>
      </c>
      <c r="AG93" s="148"/>
      <c r="AH93" s="148">
        <v>2023</v>
      </c>
      <c r="AI93" s="148">
        <v>2024</v>
      </c>
      <c r="AJ93" s="156"/>
    </row>
    <row r="94" spans="1:36" ht="30" x14ac:dyDescent="0.25">
      <c r="A94" s="198">
        <f t="shared" si="12"/>
        <v>88</v>
      </c>
      <c r="B94" s="236" t="s">
        <v>61</v>
      </c>
      <c r="C94" s="236" t="s">
        <v>345</v>
      </c>
      <c r="D94" s="236" t="s">
        <v>346</v>
      </c>
      <c r="E94" s="236" t="s">
        <v>347</v>
      </c>
      <c r="F94" s="149" t="s">
        <v>29</v>
      </c>
      <c r="G94" s="149">
        <f t="shared" si="11"/>
        <v>0</v>
      </c>
      <c r="H94" s="162"/>
      <c r="I94" s="162"/>
      <c r="J94" s="162">
        <f>Master2017[[#This Row],[Initial Budget]]-Master2017[[#This Row],[Previously Committed Funds]]</f>
        <v>0</v>
      </c>
      <c r="K94" s="162"/>
      <c r="L94" s="162"/>
      <c r="M94" s="189">
        <f>Master2017[[#This Row],[Design $ (Add/Deduct)]]+Master2017[[#This Row],[Construction $ (Add/Ded)]]</f>
        <v>0</v>
      </c>
      <c r="N94" s="171">
        <v>75000</v>
      </c>
      <c r="O94" s="237">
        <v>2018</v>
      </c>
      <c r="P94" s="149" t="s">
        <v>687</v>
      </c>
      <c r="Q94" s="150">
        <f t="shared" si="13"/>
        <v>30</v>
      </c>
      <c r="R94" s="238">
        <v>3</v>
      </c>
      <c r="S94" s="148">
        <f t="shared" si="14"/>
        <v>9</v>
      </c>
      <c r="T94" s="238" t="s">
        <v>45</v>
      </c>
      <c r="U94" s="151">
        <f t="shared" si="15"/>
        <v>32</v>
      </c>
      <c r="V94" s="238" t="s">
        <v>30</v>
      </c>
      <c r="W94" s="151">
        <v>0</v>
      </c>
      <c r="X94" s="151">
        <v>0</v>
      </c>
      <c r="Y94" s="151">
        <v>0</v>
      </c>
      <c r="Z94" s="151">
        <v>0</v>
      </c>
      <c r="AA94" s="151">
        <v>0</v>
      </c>
      <c r="AB94" s="151">
        <v>0</v>
      </c>
      <c r="AC94" s="151">
        <v>0</v>
      </c>
      <c r="AD94" s="239" t="s">
        <v>29</v>
      </c>
      <c r="AE94" s="157">
        <f>VLOOKUP(Master2017[[#This Row],[Elevated Priority]],Epriority,2,)</f>
        <v>0</v>
      </c>
      <c r="AF94" s="151">
        <f>IF(Master2017[[#This Row],[Status]]="Active",Master2017[[#This Row],[Status_Score]],IF(C94="","",Q94+G94+S94+U94+AE94-5))</f>
        <v>66</v>
      </c>
      <c r="AG94" s="235"/>
      <c r="AH94" s="235"/>
      <c r="AI94" s="235"/>
      <c r="AJ94" s="156"/>
    </row>
    <row r="95" spans="1:36" x14ac:dyDescent="0.25">
      <c r="A95" s="198">
        <f t="shared" si="12"/>
        <v>89</v>
      </c>
      <c r="B95" s="149" t="s">
        <v>94</v>
      </c>
      <c r="C95" s="149" t="s">
        <v>581</v>
      </c>
      <c r="D95" s="149" t="s">
        <v>582</v>
      </c>
      <c r="E95" s="149"/>
      <c r="F95" s="149" t="s">
        <v>29</v>
      </c>
      <c r="G95" s="149">
        <f t="shared" si="11"/>
        <v>0</v>
      </c>
      <c r="H95" s="162"/>
      <c r="I95" s="162"/>
      <c r="J95" s="162">
        <f>Master2017[[#This Row],[Initial Budget]]-Master2017[[#This Row],[Previously Committed Funds]]</f>
        <v>0</v>
      </c>
      <c r="K95" s="162"/>
      <c r="L95" s="162"/>
      <c r="M95" s="189">
        <f>Master2017[[#This Row],[Design $ (Add/Deduct)]]+Master2017[[#This Row],[Construction $ (Add/Ded)]]</f>
        <v>0</v>
      </c>
      <c r="N95" s="171">
        <v>650000</v>
      </c>
      <c r="O95" s="152">
        <v>2019</v>
      </c>
      <c r="P95" s="149" t="s">
        <v>687</v>
      </c>
      <c r="Q95" s="150">
        <f t="shared" si="13"/>
        <v>30</v>
      </c>
      <c r="R95" s="238">
        <v>19</v>
      </c>
      <c r="S95" s="148">
        <f t="shared" si="14"/>
        <v>26</v>
      </c>
      <c r="T95" s="238" t="s">
        <v>43</v>
      </c>
      <c r="U95" s="151">
        <f t="shared" si="15"/>
        <v>16</v>
      </c>
      <c r="V95" s="238" t="s">
        <v>30</v>
      </c>
      <c r="W95" s="151">
        <v>0</v>
      </c>
      <c r="X95" s="151">
        <v>0</v>
      </c>
      <c r="Y95" s="151">
        <v>0</v>
      </c>
      <c r="Z95" s="151">
        <v>0</v>
      </c>
      <c r="AA95" s="151">
        <v>0</v>
      </c>
      <c r="AB95" s="151">
        <v>0</v>
      </c>
      <c r="AC95" s="151">
        <v>0</v>
      </c>
      <c r="AD95" s="239" t="s">
        <v>29</v>
      </c>
      <c r="AE95" s="157">
        <f>VLOOKUP(Master2017[[#This Row],[Elevated Priority]],Epriority,2,)</f>
        <v>0</v>
      </c>
      <c r="AF95" s="151">
        <f>IF(Master2017[[#This Row],[Status]]="Active",Master2017[[#This Row],[Status_Score]],IF(C95="","",Q95+G95+S95+U95+AE95-5))</f>
        <v>67</v>
      </c>
      <c r="AG95" s="151"/>
      <c r="AH95" s="151"/>
      <c r="AI95" s="151"/>
      <c r="AJ95" s="156"/>
    </row>
    <row r="96" spans="1:36" ht="255" hidden="1" x14ac:dyDescent="0.25">
      <c r="A96" s="198">
        <f t="shared" si="12"/>
        <v>90</v>
      </c>
      <c r="B96" s="149" t="s">
        <v>73</v>
      </c>
      <c r="C96" s="149" t="s">
        <v>547</v>
      </c>
      <c r="D96" s="149" t="s">
        <v>548</v>
      </c>
      <c r="E96" s="149" t="s">
        <v>549</v>
      </c>
      <c r="F96" s="149" t="s">
        <v>29</v>
      </c>
      <c r="G96" s="149">
        <f t="shared" si="11"/>
        <v>0</v>
      </c>
      <c r="H96" s="162"/>
      <c r="I96" s="162"/>
      <c r="J96" s="162">
        <f>Master2017[[#This Row],[Initial Budget]]-Master2017[[#This Row],[Previously Committed Funds]]</f>
        <v>0</v>
      </c>
      <c r="K96" s="162"/>
      <c r="L96" s="162"/>
      <c r="M96" s="189">
        <f>Master2017[[#This Row],[Design $ (Add/Deduct)]]+Master2017[[#This Row],[Construction $ (Add/Ded)]]</f>
        <v>0</v>
      </c>
      <c r="N96" s="171">
        <v>65000</v>
      </c>
      <c r="O96" s="150">
        <v>2018</v>
      </c>
      <c r="P96" s="149" t="s">
        <v>686</v>
      </c>
      <c r="Q96" s="150">
        <f t="shared" si="13"/>
        <v>60</v>
      </c>
      <c r="R96" s="151">
        <v>2</v>
      </c>
      <c r="S96" s="148">
        <f t="shared" si="14"/>
        <v>6</v>
      </c>
      <c r="T96" s="151" t="s">
        <v>41</v>
      </c>
      <c r="U96" s="151">
        <f t="shared" si="15"/>
        <v>4</v>
      </c>
      <c r="V96" s="151" t="s">
        <v>34</v>
      </c>
      <c r="W96" s="185">
        <v>0</v>
      </c>
      <c r="X96" s="151">
        <v>-5</v>
      </c>
      <c r="Y96" s="151">
        <v>0</v>
      </c>
      <c r="Z96" s="151">
        <v>0</v>
      </c>
      <c r="AA96" s="151">
        <v>0</v>
      </c>
      <c r="AB96" s="151">
        <v>0</v>
      </c>
      <c r="AC96" s="151">
        <v>0</v>
      </c>
      <c r="AD96" s="152" t="s">
        <v>29</v>
      </c>
      <c r="AE96" s="157">
        <f>VLOOKUP(Master2017[[#This Row],[Elevated Priority]],Epriority,2,)</f>
        <v>0</v>
      </c>
      <c r="AF96" s="151">
        <f>IF(Master2017[[#This Row],[Status]]="Active",Master2017[[#This Row],[Status_Score]],IF(C96="","",Q96+G96+S96+U96+AE96-5))</f>
        <v>65</v>
      </c>
      <c r="AG96" s="148"/>
      <c r="AH96" s="148">
        <v>2021</v>
      </c>
      <c r="AI96" s="148">
        <v>2021</v>
      </c>
      <c r="AJ96" s="156"/>
    </row>
    <row r="97" spans="1:36" ht="30" x14ac:dyDescent="0.25">
      <c r="A97" s="198">
        <f t="shared" si="12"/>
        <v>91</v>
      </c>
      <c r="B97" s="149" t="s">
        <v>91</v>
      </c>
      <c r="C97" s="149" t="s">
        <v>492</v>
      </c>
      <c r="D97" s="149" t="s">
        <v>493</v>
      </c>
      <c r="E97" s="149" t="s">
        <v>494</v>
      </c>
      <c r="F97" s="149" t="s">
        <v>29</v>
      </c>
      <c r="G97" s="149">
        <f t="shared" si="11"/>
        <v>0</v>
      </c>
      <c r="H97" s="162"/>
      <c r="I97" s="162"/>
      <c r="J97" s="162">
        <f>Master2017[[#This Row],[Initial Budget]]-Master2017[[#This Row],[Previously Committed Funds]]</f>
        <v>0</v>
      </c>
      <c r="K97" s="162"/>
      <c r="L97" s="162"/>
      <c r="M97" s="189">
        <f>Master2017[[#This Row],[Design $ (Add/Deduct)]]+Master2017[[#This Row],[Construction $ (Add/Ded)]]</f>
        <v>0</v>
      </c>
      <c r="N97" s="171">
        <v>75000</v>
      </c>
      <c r="O97" s="150">
        <v>2018</v>
      </c>
      <c r="P97" s="149" t="s">
        <v>688</v>
      </c>
      <c r="Q97" s="150">
        <f t="shared" si="13"/>
        <v>20</v>
      </c>
      <c r="R97" s="151">
        <v>10</v>
      </c>
      <c r="S97" s="148">
        <f t="shared" si="14"/>
        <v>21</v>
      </c>
      <c r="T97" s="151" t="s">
        <v>45</v>
      </c>
      <c r="U97" s="151">
        <f t="shared" si="15"/>
        <v>32</v>
      </c>
      <c r="V97" s="151" t="s">
        <v>30</v>
      </c>
      <c r="W97" s="151">
        <v>0</v>
      </c>
      <c r="X97" s="151">
        <v>0</v>
      </c>
      <c r="Y97" s="151">
        <v>0</v>
      </c>
      <c r="Z97" s="151">
        <v>0</v>
      </c>
      <c r="AA97" s="151">
        <v>0</v>
      </c>
      <c r="AB97" s="151">
        <v>0</v>
      </c>
      <c r="AC97" s="151">
        <v>0</v>
      </c>
      <c r="AD97" s="152" t="s">
        <v>29</v>
      </c>
      <c r="AE97" s="157">
        <f>VLOOKUP(Master2017[[#This Row],[Elevated Priority]],Epriority,2,)</f>
        <v>0</v>
      </c>
      <c r="AF97" s="151">
        <f>IF(Master2017[[#This Row],[Status]]="Active",Master2017[[#This Row],[Status_Score]],IF(C97="","",Q97+G97+S97+U97+AE97-5))</f>
        <v>68</v>
      </c>
      <c r="AG97" s="238"/>
      <c r="AH97" s="238"/>
      <c r="AI97" s="238"/>
      <c r="AJ97" s="156"/>
    </row>
    <row r="98" spans="1:36" ht="180" hidden="1" x14ac:dyDescent="0.25">
      <c r="A98" s="198">
        <f t="shared" si="12"/>
        <v>92</v>
      </c>
      <c r="B98" s="149" t="s">
        <v>73</v>
      </c>
      <c r="C98" s="149" t="s">
        <v>825</v>
      </c>
      <c r="D98" s="149" t="s">
        <v>196</v>
      </c>
      <c r="E98" s="149" t="s">
        <v>826</v>
      </c>
      <c r="F98" s="149" t="s">
        <v>29</v>
      </c>
      <c r="G98" s="149">
        <f t="shared" si="11"/>
        <v>0</v>
      </c>
      <c r="H98" s="162"/>
      <c r="I98" s="162"/>
      <c r="J98" s="162">
        <f>Master2017[[#This Row],[Initial Budget]]-Master2017[[#This Row],[Previously Committed Funds]]</f>
        <v>0</v>
      </c>
      <c r="K98" s="162"/>
      <c r="L98" s="162"/>
      <c r="M98" s="189">
        <f>Master2017[[#This Row],[Design $ (Add/Deduct)]]+Master2017[[#This Row],[Construction $ (Add/Ded)]]</f>
        <v>0</v>
      </c>
      <c r="N98" s="171">
        <v>25000</v>
      </c>
      <c r="O98" s="150">
        <v>2018</v>
      </c>
      <c r="P98" s="149" t="s">
        <v>686</v>
      </c>
      <c r="Q98" s="150">
        <f t="shared" si="13"/>
        <v>60</v>
      </c>
      <c r="R98" s="151">
        <v>1</v>
      </c>
      <c r="S98" s="148">
        <f t="shared" si="14"/>
        <v>3</v>
      </c>
      <c r="T98" s="151" t="s">
        <v>37</v>
      </c>
      <c r="U98" s="151">
        <f t="shared" si="15"/>
        <v>3</v>
      </c>
      <c r="V98" s="151" t="s">
        <v>34</v>
      </c>
      <c r="W98" s="185">
        <v>0</v>
      </c>
      <c r="X98" s="151">
        <v>0</v>
      </c>
      <c r="Y98" s="151">
        <v>0</v>
      </c>
      <c r="Z98" s="151">
        <v>0</v>
      </c>
      <c r="AA98" s="151">
        <v>0</v>
      </c>
      <c r="AB98" s="151">
        <v>0</v>
      </c>
      <c r="AC98" s="151">
        <v>0</v>
      </c>
      <c r="AD98" s="152" t="s">
        <v>29</v>
      </c>
      <c r="AE98" s="157">
        <f>VLOOKUP(Master2017[[#This Row],[Elevated Priority]],Epriority,2,)</f>
        <v>0</v>
      </c>
      <c r="AF98" s="151">
        <f>IF(Master2017[[#This Row],[Status]]="Active",Master2017[[#This Row],[Status_Score]],IF(C98="","",Q98+G98+S98+U98+AE98-5))</f>
        <v>61</v>
      </c>
      <c r="AG98" s="148"/>
      <c r="AH98" s="148">
        <v>2023</v>
      </c>
      <c r="AI98" s="148">
        <v>2024</v>
      </c>
      <c r="AJ98" s="156"/>
    </row>
    <row r="99" spans="1:36" ht="60" hidden="1" x14ac:dyDescent="0.25">
      <c r="A99" s="198">
        <f t="shared" si="12"/>
        <v>93</v>
      </c>
      <c r="B99" s="170" t="s">
        <v>61</v>
      </c>
      <c r="C99" s="149" t="s">
        <v>632</v>
      </c>
      <c r="D99" s="149" t="s">
        <v>636</v>
      </c>
      <c r="E99" s="162" t="s">
        <v>633</v>
      </c>
      <c r="F99" s="149" t="s">
        <v>29</v>
      </c>
      <c r="G99" s="154">
        <f t="shared" si="11"/>
        <v>0</v>
      </c>
      <c r="H99" s="162"/>
      <c r="I99" s="162"/>
      <c r="J99" s="162">
        <f>Master2017[[#This Row],[Initial Budget]]-Master2017[[#This Row],[Previously Committed Funds]]</f>
        <v>0</v>
      </c>
      <c r="K99" s="162"/>
      <c r="L99" s="162"/>
      <c r="M99" s="189">
        <f>Master2017[[#This Row],[Design $ (Add/Deduct)]]+Master2017[[#This Row],[Construction $ (Add/Ded)]]</f>
        <v>0</v>
      </c>
      <c r="N99" s="171">
        <v>100000</v>
      </c>
      <c r="O99" s="150">
        <v>2019</v>
      </c>
      <c r="P99" s="149" t="s">
        <v>686</v>
      </c>
      <c r="Q99" s="150">
        <f t="shared" si="13"/>
        <v>60</v>
      </c>
      <c r="R99" s="150">
        <v>3</v>
      </c>
      <c r="S99" s="148">
        <f t="shared" si="14"/>
        <v>9</v>
      </c>
      <c r="T99" s="150" t="s">
        <v>41</v>
      </c>
      <c r="U99" s="151">
        <f t="shared" si="15"/>
        <v>4</v>
      </c>
      <c r="V99" s="150" t="s">
        <v>34</v>
      </c>
      <c r="W99" s="185">
        <v>-2</v>
      </c>
      <c r="X99" s="151">
        <v>0</v>
      </c>
      <c r="Y99" s="151">
        <v>0</v>
      </c>
      <c r="Z99" s="151">
        <v>-3</v>
      </c>
      <c r="AA99" s="151">
        <v>-2</v>
      </c>
      <c r="AB99" s="151">
        <v>0</v>
      </c>
      <c r="AC99" s="151">
        <v>0</v>
      </c>
      <c r="AD99" s="150" t="s">
        <v>29</v>
      </c>
      <c r="AE99" s="157">
        <f>VLOOKUP(Master2017[[#This Row],[Elevated Priority]],Epriority,2,)</f>
        <v>0</v>
      </c>
      <c r="AF99" s="151">
        <f>IF(Master2017[[#This Row],[Status]]="Active",Master2017[[#This Row],[Status_Score]],IF(C99="","",Q99+G99+S99+U99+AE99-5))</f>
        <v>68</v>
      </c>
      <c r="AG99" s="151"/>
      <c r="AH99" s="151"/>
      <c r="AI99" s="151"/>
      <c r="AJ99" s="156"/>
    </row>
    <row r="100" spans="1:36" ht="75" x14ac:dyDescent="0.25">
      <c r="A100" s="198">
        <f t="shared" si="12"/>
        <v>94</v>
      </c>
      <c r="B100" s="204" t="s">
        <v>67</v>
      </c>
      <c r="C100" s="251" t="s">
        <v>788</v>
      </c>
      <c r="D100" s="251" t="s">
        <v>789</v>
      </c>
      <c r="E100" s="251" t="s">
        <v>790</v>
      </c>
      <c r="F100" s="149" t="s">
        <v>29</v>
      </c>
      <c r="G100" s="149">
        <f t="shared" si="11"/>
        <v>0</v>
      </c>
      <c r="H100" s="162"/>
      <c r="I100" s="162"/>
      <c r="J100" s="162">
        <f>Master2017[[#This Row],[Initial Budget]]-Master2017[[#This Row],[Previously Committed Funds]]</f>
        <v>0</v>
      </c>
      <c r="K100" s="162"/>
      <c r="L100" s="162"/>
      <c r="M100" s="189">
        <f>Master2017[[#This Row],[Design $ (Add/Deduct)]]+Master2017[[#This Row],[Construction $ (Add/Ded)]]</f>
        <v>0</v>
      </c>
      <c r="N100" s="171">
        <v>60000</v>
      </c>
      <c r="O100" s="150">
        <v>2020</v>
      </c>
      <c r="P100" s="149" t="s">
        <v>686</v>
      </c>
      <c r="Q100" s="150">
        <f t="shared" si="13"/>
        <v>60</v>
      </c>
      <c r="R100" s="151">
        <v>10</v>
      </c>
      <c r="S100" s="148">
        <f t="shared" si="14"/>
        <v>21</v>
      </c>
      <c r="T100" s="151" t="s">
        <v>41</v>
      </c>
      <c r="U100" s="151">
        <f t="shared" si="15"/>
        <v>4</v>
      </c>
      <c r="V100" s="151" t="s">
        <v>30</v>
      </c>
      <c r="W100" s="151">
        <v>0</v>
      </c>
      <c r="X100" s="151">
        <v>0</v>
      </c>
      <c r="Y100" s="151">
        <v>0</v>
      </c>
      <c r="Z100" s="151">
        <v>0</v>
      </c>
      <c r="AA100" s="151">
        <v>0</v>
      </c>
      <c r="AB100" s="151">
        <v>0</v>
      </c>
      <c r="AC100" s="151">
        <v>0</v>
      </c>
      <c r="AD100" s="152" t="s">
        <v>29</v>
      </c>
      <c r="AE100" s="157">
        <f>VLOOKUP(Master2017[[#This Row],[Elevated Priority]],Epriority,2,)</f>
        <v>0</v>
      </c>
      <c r="AF100" s="151">
        <f>IF(Master2017[[#This Row],[Status]]="Active",Master2017[[#This Row],[Status_Score]],IF(C100="","",Q100+G100+S100+U100+AE100-5))</f>
        <v>80</v>
      </c>
      <c r="AG100" s="235"/>
      <c r="AH100" s="235"/>
      <c r="AI100" s="235"/>
      <c r="AJ100" s="156"/>
    </row>
    <row r="101" spans="1:36" ht="45" hidden="1" x14ac:dyDescent="0.25">
      <c r="A101" s="198">
        <f t="shared" si="12"/>
        <v>95</v>
      </c>
      <c r="B101" s="149" t="s">
        <v>61</v>
      </c>
      <c r="C101" s="149" t="s">
        <v>528</v>
      </c>
      <c r="D101" s="149" t="s">
        <v>529</v>
      </c>
      <c r="E101" s="149" t="s">
        <v>908</v>
      </c>
      <c r="F101" s="149" t="s">
        <v>29</v>
      </c>
      <c r="G101" s="149">
        <f t="shared" si="11"/>
        <v>0</v>
      </c>
      <c r="H101" s="162"/>
      <c r="I101" s="162"/>
      <c r="J101" s="162">
        <f>Master2017[[#This Row],[Initial Budget]]-Master2017[[#This Row],[Previously Committed Funds]]</f>
        <v>0</v>
      </c>
      <c r="K101" s="162"/>
      <c r="L101" s="162"/>
      <c r="M101" s="189">
        <f>Master2017[[#This Row],[Design $ (Add/Deduct)]]+Master2017[[#This Row],[Construction $ (Add/Ded)]]</f>
        <v>0</v>
      </c>
      <c r="N101" s="171">
        <v>4500000</v>
      </c>
      <c r="O101" s="150">
        <v>2018</v>
      </c>
      <c r="P101" s="149" t="s">
        <v>46</v>
      </c>
      <c r="Q101" s="150">
        <f t="shared" si="13"/>
        <v>50</v>
      </c>
      <c r="R101" s="151">
        <v>4</v>
      </c>
      <c r="S101" s="148">
        <f t="shared" si="14"/>
        <v>12</v>
      </c>
      <c r="T101" s="151" t="s">
        <v>41</v>
      </c>
      <c r="U101" s="151">
        <f t="shared" si="15"/>
        <v>4</v>
      </c>
      <c r="V101" s="151" t="s">
        <v>34</v>
      </c>
      <c r="W101" s="185">
        <v>-9</v>
      </c>
      <c r="X101" s="151">
        <v>0</v>
      </c>
      <c r="Y101" s="151">
        <v>-1</v>
      </c>
      <c r="Z101" s="151">
        <v>-3</v>
      </c>
      <c r="AA101" s="151">
        <v>-2</v>
      </c>
      <c r="AB101" s="151">
        <v>-5</v>
      </c>
      <c r="AC101" s="151">
        <v>0</v>
      </c>
      <c r="AD101" s="152" t="s">
        <v>29</v>
      </c>
      <c r="AE101" s="157">
        <f>VLOOKUP(Master2017[[#This Row],[Elevated Priority]],Epriority,2,)</f>
        <v>0</v>
      </c>
      <c r="AF101" s="151">
        <f>IF(Master2017[[#This Row],[Status]]="Active",Master2017[[#This Row],[Status_Score]],IF(C101="","",Q101+G101+S101+U101+AE101-5))</f>
        <v>61</v>
      </c>
      <c r="AG101" s="151"/>
      <c r="AH101" s="151">
        <v>2020</v>
      </c>
      <c r="AI101" s="151">
        <v>2021</v>
      </c>
      <c r="AJ101" s="156"/>
    </row>
    <row r="102" spans="1:36" ht="30" x14ac:dyDescent="0.25">
      <c r="A102" s="198">
        <f t="shared" si="12"/>
        <v>96</v>
      </c>
      <c r="B102" s="236" t="s">
        <v>79</v>
      </c>
      <c r="C102" s="236" t="s">
        <v>510</v>
      </c>
      <c r="D102" s="236" t="s">
        <v>511</v>
      </c>
      <c r="E102" s="236" t="s">
        <v>512</v>
      </c>
      <c r="F102" s="149" t="s">
        <v>29</v>
      </c>
      <c r="G102" s="149">
        <f t="shared" si="11"/>
        <v>0</v>
      </c>
      <c r="H102" s="162"/>
      <c r="I102" s="162"/>
      <c r="J102" s="162">
        <f>Master2017[[#This Row],[Initial Budget]]-Master2017[[#This Row],[Previously Committed Funds]]</f>
        <v>0</v>
      </c>
      <c r="K102" s="162"/>
      <c r="L102" s="162"/>
      <c r="M102" s="189">
        <f>Master2017[[#This Row],[Design $ (Add/Deduct)]]+Master2017[[#This Row],[Construction $ (Add/Ded)]]</f>
        <v>0</v>
      </c>
      <c r="N102" s="171">
        <v>15000</v>
      </c>
      <c r="O102" s="150">
        <v>2018</v>
      </c>
      <c r="P102" s="149" t="s">
        <v>688</v>
      </c>
      <c r="Q102" s="150">
        <f t="shared" si="13"/>
        <v>20</v>
      </c>
      <c r="R102" s="238">
        <v>16</v>
      </c>
      <c r="S102" s="148">
        <f t="shared" si="14"/>
        <v>24</v>
      </c>
      <c r="T102" s="238" t="s">
        <v>45</v>
      </c>
      <c r="U102" s="151">
        <f t="shared" si="15"/>
        <v>32</v>
      </c>
      <c r="V102" s="151" t="s">
        <v>30</v>
      </c>
      <c r="W102" s="151">
        <v>0</v>
      </c>
      <c r="X102" s="151">
        <v>0</v>
      </c>
      <c r="Y102" s="151">
        <v>0</v>
      </c>
      <c r="Z102" s="151">
        <v>0</v>
      </c>
      <c r="AA102" s="151">
        <v>0</v>
      </c>
      <c r="AB102" s="151">
        <v>0</v>
      </c>
      <c r="AC102" s="151">
        <v>0</v>
      </c>
      <c r="AD102" s="152" t="s">
        <v>29</v>
      </c>
      <c r="AE102" s="157">
        <f>VLOOKUP(Master2017[[#This Row],[Elevated Priority]],Epriority,2,)</f>
        <v>0</v>
      </c>
      <c r="AF102" s="151">
        <f>IF(Master2017[[#This Row],[Status]]="Active",Master2017[[#This Row],[Status_Score]],IF(C102="","",Q102+G102+S102+U102+AE102-5))</f>
        <v>71</v>
      </c>
      <c r="AG102" s="148"/>
      <c r="AH102" s="148"/>
      <c r="AI102" s="148"/>
      <c r="AJ102" s="156"/>
    </row>
    <row r="103" spans="1:36" x14ac:dyDescent="0.25">
      <c r="A103" s="198">
        <f t="shared" si="12"/>
        <v>97</v>
      </c>
      <c r="B103" s="236" t="s">
        <v>94</v>
      </c>
      <c r="C103" s="234" t="s">
        <v>319</v>
      </c>
      <c r="D103" s="234" t="s">
        <v>320</v>
      </c>
      <c r="E103" s="254" t="s">
        <v>321</v>
      </c>
      <c r="F103" s="149" t="s">
        <v>29</v>
      </c>
      <c r="G103" s="149">
        <f t="shared" si="11"/>
        <v>0</v>
      </c>
      <c r="H103" s="162"/>
      <c r="I103" s="162"/>
      <c r="J103" s="162">
        <f>Master2017[[#This Row],[Initial Budget]]-Master2017[[#This Row],[Previously Committed Funds]]</f>
        <v>0</v>
      </c>
      <c r="K103" s="162"/>
      <c r="L103" s="162"/>
      <c r="M103" s="189">
        <f>Master2017[[#This Row],[Design $ (Add/Deduct)]]+Master2017[[#This Row],[Construction $ (Add/Ded)]]</f>
        <v>0</v>
      </c>
      <c r="N103" s="256">
        <v>50000</v>
      </c>
      <c r="O103" s="237">
        <v>2018</v>
      </c>
      <c r="P103" s="149" t="s">
        <v>686</v>
      </c>
      <c r="Q103" s="150">
        <f t="shared" si="13"/>
        <v>60</v>
      </c>
      <c r="R103" s="238">
        <v>20</v>
      </c>
      <c r="S103" s="148">
        <f t="shared" si="14"/>
        <v>26</v>
      </c>
      <c r="T103" s="238" t="s">
        <v>33</v>
      </c>
      <c r="U103" s="151">
        <f t="shared" si="15"/>
        <v>1</v>
      </c>
      <c r="V103" s="238" t="s">
        <v>30</v>
      </c>
      <c r="W103" s="151">
        <v>0</v>
      </c>
      <c r="X103" s="151">
        <v>0</v>
      </c>
      <c r="Y103" s="151">
        <v>0</v>
      </c>
      <c r="Z103" s="151">
        <v>0</v>
      </c>
      <c r="AA103" s="151">
        <v>0</v>
      </c>
      <c r="AB103" s="151">
        <v>0</v>
      </c>
      <c r="AC103" s="151">
        <v>0</v>
      </c>
      <c r="AD103" s="152" t="s">
        <v>29</v>
      </c>
      <c r="AE103" s="157">
        <f>VLOOKUP(Master2017[[#This Row],[Elevated Priority]],Epriority,2,)</f>
        <v>0</v>
      </c>
      <c r="AF103" s="151">
        <f>IF(Master2017[[#This Row],[Status]]="Active",Master2017[[#This Row],[Status_Score]],IF(C103="","",Q103+G103+S103+U103+AE103-5))</f>
        <v>82</v>
      </c>
      <c r="AG103" s="148"/>
      <c r="AH103" s="148"/>
      <c r="AI103" s="148"/>
      <c r="AJ103" s="156"/>
    </row>
    <row r="104" spans="1:36" ht="30" x14ac:dyDescent="0.25">
      <c r="A104" s="198">
        <f t="shared" si="12"/>
        <v>98</v>
      </c>
      <c r="B104" s="149" t="s">
        <v>94</v>
      </c>
      <c r="C104" s="236" t="s">
        <v>411</v>
      </c>
      <c r="D104" s="236" t="s">
        <v>412</v>
      </c>
      <c r="E104" s="236" t="s">
        <v>413</v>
      </c>
      <c r="F104" s="149" t="s">
        <v>29</v>
      </c>
      <c r="G104" s="149">
        <f t="shared" si="11"/>
        <v>0</v>
      </c>
      <c r="H104" s="162"/>
      <c r="I104" s="162"/>
      <c r="J104" s="162">
        <f>Master2017[[#This Row],[Initial Budget]]-Master2017[[#This Row],[Previously Committed Funds]]</f>
        <v>0</v>
      </c>
      <c r="K104" s="162"/>
      <c r="L104" s="162"/>
      <c r="M104" s="189">
        <f>Master2017[[#This Row],[Design $ (Add/Deduct)]]+Master2017[[#This Row],[Construction $ (Add/Ded)]]</f>
        <v>0</v>
      </c>
      <c r="N104" s="171">
        <v>150000</v>
      </c>
      <c r="O104" s="150">
        <v>2018</v>
      </c>
      <c r="P104" s="149" t="s">
        <v>686</v>
      </c>
      <c r="Q104" s="150">
        <f t="shared" si="13"/>
        <v>60</v>
      </c>
      <c r="R104" s="151">
        <v>21</v>
      </c>
      <c r="S104" s="148">
        <f t="shared" si="14"/>
        <v>27</v>
      </c>
      <c r="T104" s="151" t="s">
        <v>41</v>
      </c>
      <c r="U104" s="151">
        <f t="shared" si="15"/>
        <v>4</v>
      </c>
      <c r="V104" s="151" t="s">
        <v>30</v>
      </c>
      <c r="W104" s="151">
        <v>0</v>
      </c>
      <c r="X104" s="151">
        <v>0</v>
      </c>
      <c r="Y104" s="151">
        <v>0</v>
      </c>
      <c r="Z104" s="151">
        <v>0</v>
      </c>
      <c r="AA104" s="151">
        <v>0</v>
      </c>
      <c r="AB104" s="151">
        <v>0</v>
      </c>
      <c r="AC104" s="151">
        <v>0</v>
      </c>
      <c r="AD104" s="152" t="s">
        <v>29</v>
      </c>
      <c r="AE104" s="157">
        <f>VLOOKUP(Master2017[[#This Row],[Elevated Priority]],Epriority,2,)</f>
        <v>0</v>
      </c>
      <c r="AF104" s="151">
        <f>IF(Master2017[[#This Row],[Status]]="Active",Master2017[[#This Row],[Status_Score]],IF(C104="","",Q104+G104+S104+U104+AE104-5))</f>
        <v>86</v>
      </c>
      <c r="AG104" s="148"/>
      <c r="AH104" s="148"/>
      <c r="AI104" s="148"/>
      <c r="AJ104" s="156"/>
    </row>
    <row r="105" spans="1:36" x14ac:dyDescent="0.25">
      <c r="A105" s="198">
        <f t="shared" si="12"/>
        <v>99</v>
      </c>
      <c r="B105" s="149" t="s">
        <v>67</v>
      </c>
      <c r="C105" s="149" t="s">
        <v>437</v>
      </c>
      <c r="D105" s="149"/>
      <c r="E105" s="149"/>
      <c r="F105" s="149" t="s">
        <v>29</v>
      </c>
      <c r="G105" s="149">
        <f t="shared" si="11"/>
        <v>0</v>
      </c>
      <c r="H105" s="162"/>
      <c r="I105" s="162"/>
      <c r="J105" s="162">
        <f>Master2017[[#This Row],[Initial Budget]]-Master2017[[#This Row],[Previously Committed Funds]]</f>
        <v>0</v>
      </c>
      <c r="K105" s="162"/>
      <c r="L105" s="162"/>
      <c r="M105" s="189">
        <f>Master2017[[#This Row],[Design $ (Add/Deduct)]]+Master2017[[#This Row],[Construction $ (Add/Ded)]]</f>
        <v>0</v>
      </c>
      <c r="N105" s="171">
        <v>40000</v>
      </c>
      <c r="O105" s="150">
        <v>2018</v>
      </c>
      <c r="P105" s="149" t="s">
        <v>46</v>
      </c>
      <c r="Q105" s="150">
        <f t="shared" si="13"/>
        <v>50</v>
      </c>
      <c r="R105" s="151">
        <v>10</v>
      </c>
      <c r="S105" s="148">
        <f t="shared" si="14"/>
        <v>21</v>
      </c>
      <c r="T105" s="151" t="s">
        <v>29</v>
      </c>
      <c r="U105" s="151">
        <f t="shared" si="15"/>
        <v>0</v>
      </c>
      <c r="V105" s="151" t="s">
        <v>30</v>
      </c>
      <c r="W105" s="151">
        <v>0</v>
      </c>
      <c r="X105" s="151">
        <v>0</v>
      </c>
      <c r="Y105" s="151">
        <v>0</v>
      </c>
      <c r="Z105" s="151">
        <v>0</v>
      </c>
      <c r="AA105" s="151">
        <v>0</v>
      </c>
      <c r="AB105" s="151">
        <v>0</v>
      </c>
      <c r="AC105" s="151">
        <v>0</v>
      </c>
      <c r="AD105" s="152" t="s">
        <v>29</v>
      </c>
      <c r="AE105" s="157">
        <f>VLOOKUP(Master2017[[#This Row],[Elevated Priority]],Epriority,2,)</f>
        <v>0</v>
      </c>
      <c r="AF105" s="151">
        <f>IF(Master2017[[#This Row],[Status]]="Active",Master2017[[#This Row],[Status_Score]],IF(C105="","",Q105+G105+S105+U105+AE105-5))</f>
        <v>66</v>
      </c>
      <c r="AG105" s="235"/>
      <c r="AH105" s="235"/>
      <c r="AI105" s="235"/>
      <c r="AJ105" s="243"/>
    </row>
    <row r="106" spans="1:36" ht="30" x14ac:dyDescent="0.25">
      <c r="A106" s="198">
        <f t="shared" si="12"/>
        <v>100</v>
      </c>
      <c r="B106" s="149" t="s">
        <v>67</v>
      </c>
      <c r="C106" s="149" t="s">
        <v>431</v>
      </c>
      <c r="D106" s="149" t="s">
        <v>432</v>
      </c>
      <c r="E106" s="149" t="s">
        <v>433</v>
      </c>
      <c r="F106" s="149" t="s">
        <v>29</v>
      </c>
      <c r="G106" s="149">
        <f t="shared" si="11"/>
        <v>0</v>
      </c>
      <c r="H106" s="162"/>
      <c r="I106" s="162"/>
      <c r="J106" s="162">
        <f>Master2017[[#This Row],[Initial Budget]]-Master2017[[#This Row],[Previously Committed Funds]]</f>
        <v>0</v>
      </c>
      <c r="K106" s="162"/>
      <c r="L106" s="162"/>
      <c r="M106" s="189">
        <f>Master2017[[#This Row],[Design $ (Add/Deduct)]]+Master2017[[#This Row],[Construction $ (Add/Ded)]]</f>
        <v>0</v>
      </c>
      <c r="N106" s="171">
        <v>25000</v>
      </c>
      <c r="O106" s="150">
        <v>2018</v>
      </c>
      <c r="P106" s="149" t="s">
        <v>46</v>
      </c>
      <c r="Q106" s="150">
        <f t="shared" si="13"/>
        <v>50</v>
      </c>
      <c r="R106" s="151">
        <v>2</v>
      </c>
      <c r="S106" s="148">
        <f t="shared" si="14"/>
        <v>6</v>
      </c>
      <c r="T106" s="151" t="s">
        <v>43</v>
      </c>
      <c r="U106" s="151">
        <f t="shared" si="15"/>
        <v>16</v>
      </c>
      <c r="V106" s="151" t="s">
        <v>30</v>
      </c>
      <c r="W106" s="151">
        <v>0</v>
      </c>
      <c r="X106" s="151">
        <v>0</v>
      </c>
      <c r="Y106" s="151">
        <v>0</v>
      </c>
      <c r="Z106" s="151">
        <v>0</v>
      </c>
      <c r="AA106" s="151">
        <v>0</v>
      </c>
      <c r="AB106" s="151">
        <v>0</v>
      </c>
      <c r="AC106" s="151">
        <v>0</v>
      </c>
      <c r="AD106" s="152" t="s">
        <v>29</v>
      </c>
      <c r="AE106" s="157">
        <f>VLOOKUP(Master2017[[#This Row],[Elevated Priority]],Epriority,2,)</f>
        <v>0</v>
      </c>
      <c r="AF106" s="151">
        <f>IF(Master2017[[#This Row],[Status]]="Active",Master2017[[#This Row],[Status_Score]],IF(C106="","",Q106+G106+S106+U106+AE106-5))</f>
        <v>67</v>
      </c>
      <c r="AG106" s="148"/>
      <c r="AH106" s="148"/>
      <c r="AI106" s="148"/>
      <c r="AJ106" s="156"/>
    </row>
    <row r="107" spans="1:36" ht="30" hidden="1" x14ac:dyDescent="0.25">
      <c r="A107" s="198">
        <f t="shared" si="12"/>
        <v>101</v>
      </c>
      <c r="B107" s="149" t="s">
        <v>220</v>
      </c>
      <c r="C107" s="156" t="s">
        <v>772</v>
      </c>
      <c r="D107" s="160" t="s">
        <v>773</v>
      </c>
      <c r="E107" s="160" t="s">
        <v>838</v>
      </c>
      <c r="F107" s="149" t="s">
        <v>29</v>
      </c>
      <c r="G107" s="149">
        <f t="shared" si="11"/>
        <v>0</v>
      </c>
      <c r="H107" s="162"/>
      <c r="I107" s="162"/>
      <c r="J107" s="162">
        <f>Master2017[[#This Row],[Initial Budget]]-Master2017[[#This Row],[Previously Committed Funds]]</f>
        <v>0</v>
      </c>
      <c r="K107" s="162"/>
      <c r="L107" s="162"/>
      <c r="M107" s="189">
        <f>Master2017[[#This Row],[Design $ (Add/Deduct)]]+Master2017[[#This Row],[Construction $ (Add/Ded)]]</f>
        <v>0</v>
      </c>
      <c r="N107" s="171" t="s">
        <v>224</v>
      </c>
      <c r="O107" s="150">
        <v>2018</v>
      </c>
      <c r="P107" s="149" t="s">
        <v>686</v>
      </c>
      <c r="Q107" s="150">
        <f t="shared" si="13"/>
        <v>60</v>
      </c>
      <c r="R107" s="151">
        <v>2</v>
      </c>
      <c r="S107" s="148">
        <f t="shared" si="14"/>
        <v>6</v>
      </c>
      <c r="T107" s="151" t="s">
        <v>41</v>
      </c>
      <c r="U107" s="151">
        <f t="shared" si="15"/>
        <v>4</v>
      </c>
      <c r="V107" s="151" t="s">
        <v>34</v>
      </c>
      <c r="W107" s="185">
        <v>0</v>
      </c>
      <c r="X107" s="151">
        <v>0</v>
      </c>
      <c r="Y107" s="151">
        <v>0</v>
      </c>
      <c r="Z107" s="151">
        <v>0</v>
      </c>
      <c r="AA107" s="151">
        <v>0</v>
      </c>
      <c r="AB107" s="151">
        <v>0</v>
      </c>
      <c r="AC107" s="151">
        <v>0</v>
      </c>
      <c r="AD107" s="152" t="s">
        <v>29</v>
      </c>
      <c r="AE107" s="157">
        <f>VLOOKUP(Master2017[[#This Row],[Elevated Priority]],Epriority,2,)</f>
        <v>0</v>
      </c>
      <c r="AF107" s="151">
        <f>IF(Master2017[[#This Row],[Status]]="Active",Master2017[[#This Row],[Status_Score]],IF(C107="","",Q107+G107+S107+U107+AE107-5))</f>
        <v>65</v>
      </c>
      <c r="AG107" s="148"/>
      <c r="AH107" s="148">
        <v>2022</v>
      </c>
      <c r="AI107" s="148">
        <v>2023</v>
      </c>
      <c r="AJ107" s="156" t="s">
        <v>942</v>
      </c>
    </row>
    <row r="108" spans="1:36" ht="30" hidden="1" x14ac:dyDescent="0.25">
      <c r="A108" s="198">
        <f t="shared" si="12"/>
        <v>102</v>
      </c>
      <c r="B108" s="149" t="s">
        <v>70</v>
      </c>
      <c r="C108" s="149" t="s">
        <v>693</v>
      </c>
      <c r="D108" s="149" t="s">
        <v>699</v>
      </c>
      <c r="E108" s="156"/>
      <c r="F108" s="149" t="s">
        <v>29</v>
      </c>
      <c r="G108" s="149">
        <f t="shared" si="11"/>
        <v>0</v>
      </c>
      <c r="H108" s="162"/>
      <c r="I108" s="162"/>
      <c r="J108" s="162">
        <f>Master2017[[#This Row],[Initial Budget]]-Master2017[[#This Row],[Previously Committed Funds]]</f>
        <v>0</v>
      </c>
      <c r="K108" s="162"/>
      <c r="L108" s="162"/>
      <c r="M108" s="189">
        <f>Master2017[[#This Row],[Design $ (Add/Deduct)]]+Master2017[[#This Row],[Construction $ (Add/Ded)]]</f>
        <v>0</v>
      </c>
      <c r="N108" s="171">
        <v>7000000</v>
      </c>
      <c r="O108" s="157">
        <v>2019</v>
      </c>
      <c r="P108" s="156" t="s">
        <v>46</v>
      </c>
      <c r="Q108" s="150">
        <f t="shared" si="13"/>
        <v>50</v>
      </c>
      <c r="R108" s="148">
        <v>3</v>
      </c>
      <c r="S108" s="148">
        <f t="shared" si="14"/>
        <v>9</v>
      </c>
      <c r="T108" s="148" t="s">
        <v>43</v>
      </c>
      <c r="U108" s="151"/>
      <c r="V108" s="148" t="s">
        <v>34</v>
      </c>
      <c r="W108" s="185">
        <v>0</v>
      </c>
      <c r="X108" s="151">
        <v>0</v>
      </c>
      <c r="Y108" s="151">
        <v>-3</v>
      </c>
      <c r="Z108" s="151">
        <v>-3</v>
      </c>
      <c r="AA108" s="151">
        <v>-2</v>
      </c>
      <c r="AB108" s="151">
        <v>0</v>
      </c>
      <c r="AC108" s="151">
        <v>0</v>
      </c>
      <c r="AD108" s="158" t="s">
        <v>29</v>
      </c>
      <c r="AE108" s="157">
        <f>VLOOKUP(Master2017[[#This Row],[Elevated Priority]],Epriority,2,)</f>
        <v>0</v>
      </c>
      <c r="AF108" s="151">
        <f>IF(Master2017[[#This Row],[Status]]="Active",Master2017[[#This Row],[Status_Score]],IF(C108="","",Q108+G108+S108+U108+AE108-5))</f>
        <v>54</v>
      </c>
      <c r="AG108" s="148"/>
      <c r="AH108" s="148">
        <v>2021</v>
      </c>
      <c r="AI108" s="148">
        <v>2022</v>
      </c>
      <c r="AJ108" s="156"/>
    </row>
    <row r="109" spans="1:36" x14ac:dyDescent="0.25">
      <c r="A109" s="198">
        <f t="shared" si="12"/>
        <v>103</v>
      </c>
      <c r="B109" s="149" t="s">
        <v>94</v>
      </c>
      <c r="C109" s="149" t="s">
        <v>586</v>
      </c>
      <c r="D109" s="149" t="s">
        <v>587</v>
      </c>
      <c r="E109" s="149"/>
      <c r="F109" s="149" t="s">
        <v>29</v>
      </c>
      <c r="G109" s="149">
        <f t="shared" si="11"/>
        <v>0</v>
      </c>
      <c r="H109" s="162"/>
      <c r="I109" s="162"/>
      <c r="J109" s="162">
        <f>Master2017[[#This Row],[Initial Budget]]-Master2017[[#This Row],[Previously Committed Funds]]</f>
        <v>0</v>
      </c>
      <c r="K109" s="162"/>
      <c r="L109" s="162"/>
      <c r="M109" s="189">
        <f>Master2017[[#This Row],[Design $ (Add/Deduct)]]+Master2017[[#This Row],[Construction $ (Add/Ded)]]</f>
        <v>0</v>
      </c>
      <c r="N109" s="171">
        <v>50000</v>
      </c>
      <c r="O109" s="239">
        <v>2019</v>
      </c>
      <c r="P109" s="149" t="s">
        <v>686</v>
      </c>
      <c r="Q109" s="150">
        <f t="shared" si="13"/>
        <v>60</v>
      </c>
      <c r="R109" s="151">
        <v>15</v>
      </c>
      <c r="S109" s="148">
        <f t="shared" si="14"/>
        <v>24</v>
      </c>
      <c r="T109" s="151" t="s">
        <v>43</v>
      </c>
      <c r="U109" s="151">
        <f t="shared" ref="U109:U114" si="16">VLOOKUP(T109,Urgency,2,FALSE)</f>
        <v>16</v>
      </c>
      <c r="V109" s="151" t="s">
        <v>30</v>
      </c>
      <c r="W109" s="151">
        <v>0</v>
      </c>
      <c r="X109" s="151">
        <v>0</v>
      </c>
      <c r="Y109" s="151">
        <v>0</v>
      </c>
      <c r="Z109" s="151">
        <v>0</v>
      </c>
      <c r="AA109" s="151">
        <v>0</v>
      </c>
      <c r="AB109" s="151">
        <v>0</v>
      </c>
      <c r="AC109" s="151">
        <v>0</v>
      </c>
      <c r="AD109" s="152" t="s">
        <v>29</v>
      </c>
      <c r="AE109" s="157">
        <f>VLOOKUP(Master2017[[#This Row],[Elevated Priority]],Epriority,2,)</f>
        <v>0</v>
      </c>
      <c r="AF109" s="151">
        <f>IF(Master2017[[#This Row],[Status]]="Active",Master2017[[#This Row],[Status_Score]],IF(C109="","",Q109+G109+S109+U109+AE109-5))</f>
        <v>95</v>
      </c>
      <c r="AG109" s="238"/>
      <c r="AH109" s="238"/>
      <c r="AI109" s="238"/>
      <c r="AJ109" s="156"/>
    </row>
    <row r="110" spans="1:36" ht="105" hidden="1" x14ac:dyDescent="0.25">
      <c r="A110" s="198">
        <f t="shared" si="12"/>
        <v>104</v>
      </c>
      <c r="B110" s="149" t="s">
        <v>143</v>
      </c>
      <c r="C110" s="149" t="s">
        <v>144</v>
      </c>
      <c r="D110" s="149" t="s">
        <v>145</v>
      </c>
      <c r="E110" s="149" t="s">
        <v>146</v>
      </c>
      <c r="F110" s="149" t="s">
        <v>29</v>
      </c>
      <c r="G110" s="149">
        <f t="shared" si="11"/>
        <v>0</v>
      </c>
      <c r="H110" s="162"/>
      <c r="I110" s="162"/>
      <c r="J110" s="162">
        <f>Master2017[[#This Row],[Initial Budget]]-Master2017[[#This Row],[Previously Committed Funds]]</f>
        <v>0</v>
      </c>
      <c r="K110" s="162"/>
      <c r="L110" s="162"/>
      <c r="M110" s="189">
        <f>Master2017[[#This Row],[Design $ (Add/Deduct)]]+Master2017[[#This Row],[Construction $ (Add/Ded)]]</f>
        <v>0</v>
      </c>
      <c r="N110" s="162">
        <v>50000</v>
      </c>
      <c r="O110" s="150">
        <v>2018</v>
      </c>
      <c r="P110" s="149" t="s">
        <v>686</v>
      </c>
      <c r="Q110" s="150">
        <f t="shared" si="13"/>
        <v>60</v>
      </c>
      <c r="R110" s="152">
        <v>3</v>
      </c>
      <c r="S110" s="148">
        <f t="shared" si="14"/>
        <v>9</v>
      </c>
      <c r="T110" s="152" t="s">
        <v>41</v>
      </c>
      <c r="U110" s="151">
        <f t="shared" si="16"/>
        <v>4</v>
      </c>
      <c r="V110" s="151" t="s">
        <v>34</v>
      </c>
      <c r="W110" s="185">
        <v>0</v>
      </c>
      <c r="X110" s="151">
        <v>0</v>
      </c>
      <c r="Y110" s="151">
        <v>0</v>
      </c>
      <c r="Z110" s="151">
        <v>0</v>
      </c>
      <c r="AA110" s="151">
        <v>0</v>
      </c>
      <c r="AB110" s="151">
        <v>0</v>
      </c>
      <c r="AC110" s="151">
        <v>-1</v>
      </c>
      <c r="AD110" s="152" t="s">
        <v>29</v>
      </c>
      <c r="AE110" s="157">
        <f>VLOOKUP(Master2017[[#This Row],[Elevated Priority]],Epriority,2,)</f>
        <v>0</v>
      </c>
      <c r="AF110" s="151">
        <f>IF(Master2017[[#This Row],[Status]]="Active",Master2017[[#This Row],[Status_Score]],IF(C110="","",Q110+G110+S110+U110+AE110-5))</f>
        <v>68</v>
      </c>
      <c r="AG110" s="151"/>
      <c r="AH110" s="151">
        <v>2022</v>
      </c>
      <c r="AI110" s="151">
        <v>2023</v>
      </c>
      <c r="AJ110" s="156" t="s">
        <v>942</v>
      </c>
    </row>
    <row r="111" spans="1:36" ht="45" hidden="1" x14ac:dyDescent="0.25">
      <c r="A111" s="198">
        <f t="shared" si="12"/>
        <v>105</v>
      </c>
      <c r="B111" s="149" t="s">
        <v>61</v>
      </c>
      <c r="C111" s="149" t="s">
        <v>541</v>
      </c>
      <c r="D111" s="149" t="s">
        <v>542</v>
      </c>
      <c r="E111" s="149" t="s">
        <v>543</v>
      </c>
      <c r="F111" s="149" t="s">
        <v>29</v>
      </c>
      <c r="G111" s="149">
        <f t="shared" si="11"/>
        <v>0</v>
      </c>
      <c r="H111" s="162"/>
      <c r="I111" s="162"/>
      <c r="J111" s="162">
        <f>Master2017[[#This Row],[Initial Budget]]-Master2017[[#This Row],[Previously Committed Funds]]</f>
        <v>0</v>
      </c>
      <c r="K111" s="162"/>
      <c r="L111" s="162"/>
      <c r="M111" s="189">
        <f>Master2017[[#This Row],[Design $ (Add/Deduct)]]+Master2017[[#This Row],[Construction $ (Add/Ded)]]</f>
        <v>0</v>
      </c>
      <c r="N111" s="171">
        <v>10000000</v>
      </c>
      <c r="O111" s="150">
        <v>2018</v>
      </c>
      <c r="P111" s="149" t="s">
        <v>46</v>
      </c>
      <c r="Q111" s="150">
        <f t="shared" si="13"/>
        <v>50</v>
      </c>
      <c r="R111" s="151">
        <v>4</v>
      </c>
      <c r="S111" s="148">
        <f t="shared" si="14"/>
        <v>12</v>
      </c>
      <c r="T111" s="151" t="s">
        <v>43</v>
      </c>
      <c r="U111" s="151">
        <f t="shared" si="16"/>
        <v>16</v>
      </c>
      <c r="V111" s="151" t="s">
        <v>34</v>
      </c>
      <c r="W111" s="185">
        <v>-9</v>
      </c>
      <c r="X111" s="151">
        <v>0</v>
      </c>
      <c r="Y111" s="151">
        <v>0</v>
      </c>
      <c r="Z111" s="151">
        <v>-3</v>
      </c>
      <c r="AA111" s="151">
        <v>-2</v>
      </c>
      <c r="AB111" s="151">
        <v>-9</v>
      </c>
      <c r="AC111" s="151">
        <v>-3</v>
      </c>
      <c r="AD111" s="152" t="s">
        <v>29</v>
      </c>
      <c r="AE111" s="157">
        <f>VLOOKUP(Master2017[[#This Row],[Elevated Priority]],Epriority,2,)</f>
        <v>0</v>
      </c>
      <c r="AF111" s="151">
        <f>IF(Master2017[[#This Row],[Status]]="Active",Master2017[[#This Row],[Status_Score]],IF(C111="","",Q111+G111+S111+U111+AE111-5))</f>
        <v>73</v>
      </c>
      <c r="AG111" s="151"/>
      <c r="AH111" s="151">
        <v>2020</v>
      </c>
      <c r="AI111" s="151">
        <v>2024</v>
      </c>
      <c r="AJ111" s="156"/>
    </row>
    <row r="112" spans="1:36" ht="30" x14ac:dyDescent="0.25">
      <c r="A112" s="198">
        <f t="shared" si="12"/>
        <v>106</v>
      </c>
      <c r="B112" s="149" t="s">
        <v>94</v>
      </c>
      <c r="C112" s="149" t="s">
        <v>506</v>
      </c>
      <c r="D112" s="149" t="s">
        <v>507</v>
      </c>
      <c r="E112" s="149" t="s">
        <v>909</v>
      </c>
      <c r="F112" s="149" t="s">
        <v>29</v>
      </c>
      <c r="G112" s="149">
        <f t="shared" si="11"/>
        <v>0</v>
      </c>
      <c r="H112" s="162"/>
      <c r="I112" s="162"/>
      <c r="J112" s="162">
        <f>Master2017[[#This Row],[Initial Budget]]-Master2017[[#This Row],[Previously Committed Funds]]</f>
        <v>0</v>
      </c>
      <c r="K112" s="162"/>
      <c r="L112" s="162"/>
      <c r="M112" s="189">
        <f>Master2017[[#This Row],[Design $ (Add/Deduct)]]+Master2017[[#This Row],[Construction $ (Add/Ded)]]</f>
        <v>0</v>
      </c>
      <c r="N112" s="171">
        <v>350000</v>
      </c>
      <c r="O112" s="150">
        <v>2018</v>
      </c>
      <c r="P112" s="149" t="s">
        <v>46</v>
      </c>
      <c r="Q112" s="150">
        <f t="shared" si="13"/>
        <v>50</v>
      </c>
      <c r="R112" s="151">
        <v>23</v>
      </c>
      <c r="S112" s="148">
        <f t="shared" si="14"/>
        <v>28</v>
      </c>
      <c r="T112" s="151" t="s">
        <v>41</v>
      </c>
      <c r="U112" s="151">
        <f t="shared" si="16"/>
        <v>4</v>
      </c>
      <c r="V112" s="151" t="s">
        <v>30</v>
      </c>
      <c r="W112" s="151">
        <v>0</v>
      </c>
      <c r="X112" s="151">
        <v>0</v>
      </c>
      <c r="Y112" s="151">
        <v>0</v>
      </c>
      <c r="Z112" s="151">
        <v>0</v>
      </c>
      <c r="AA112" s="151">
        <v>0</v>
      </c>
      <c r="AB112" s="151">
        <v>0</v>
      </c>
      <c r="AC112" s="151">
        <v>0</v>
      </c>
      <c r="AD112" s="152" t="s">
        <v>29</v>
      </c>
      <c r="AE112" s="157">
        <f>VLOOKUP(Master2017[[#This Row],[Elevated Priority]],Epriority,2,)</f>
        <v>0</v>
      </c>
      <c r="AF112" s="151">
        <f>IF(Master2017[[#This Row],[Status]]="Active",Master2017[[#This Row],[Status_Score]],IF(C112="","",Q112+G112+S112+U112+AE112-5))</f>
        <v>77</v>
      </c>
      <c r="AG112" s="151"/>
      <c r="AH112" s="151"/>
      <c r="AI112" s="151"/>
      <c r="AJ112" s="156"/>
    </row>
    <row r="113" spans="1:36" ht="60" hidden="1" x14ac:dyDescent="0.25">
      <c r="A113" s="198">
        <f t="shared" si="12"/>
        <v>107</v>
      </c>
      <c r="B113" s="149" t="s">
        <v>71</v>
      </c>
      <c r="C113" s="149" t="s">
        <v>943</v>
      </c>
      <c r="D113" s="149" t="s">
        <v>946</v>
      </c>
      <c r="E113" s="149" t="s">
        <v>944</v>
      </c>
      <c r="F113" s="149" t="s">
        <v>29</v>
      </c>
      <c r="G113" s="149">
        <f t="shared" si="11"/>
        <v>0</v>
      </c>
      <c r="H113" s="162"/>
      <c r="I113" s="162"/>
      <c r="J113" s="162">
        <f>Master2017[[#This Row],[Initial Budget]]-Master2017[[#This Row],[Previously Committed Funds]]</f>
        <v>0</v>
      </c>
      <c r="K113" s="162"/>
      <c r="L113" s="162"/>
      <c r="M113" s="189">
        <f>Master2017[[#This Row],[Design $ (Add/Deduct)]]+Master2017[[#This Row],[Construction $ (Add/Ded)]]</f>
        <v>0</v>
      </c>
      <c r="N113" s="171">
        <v>8000000</v>
      </c>
      <c r="O113" s="150">
        <v>2018</v>
      </c>
      <c r="P113" s="149" t="s">
        <v>46</v>
      </c>
      <c r="Q113" s="150">
        <f t="shared" si="13"/>
        <v>50</v>
      </c>
      <c r="R113" s="151">
        <v>2</v>
      </c>
      <c r="S113" s="148">
        <f t="shared" si="14"/>
        <v>6</v>
      </c>
      <c r="T113" s="151" t="s">
        <v>37</v>
      </c>
      <c r="U113" s="151">
        <f t="shared" si="16"/>
        <v>3</v>
      </c>
      <c r="V113" s="151" t="s">
        <v>34</v>
      </c>
      <c r="W113" s="185">
        <v>-1</v>
      </c>
      <c r="X113" s="151">
        <v>0</v>
      </c>
      <c r="Y113" s="151">
        <v>0</v>
      </c>
      <c r="Z113" s="151">
        <v>0</v>
      </c>
      <c r="AA113" s="151">
        <v>-2</v>
      </c>
      <c r="AB113" s="151">
        <v>0</v>
      </c>
      <c r="AC113" s="151">
        <v>-3</v>
      </c>
      <c r="AD113" s="152" t="s">
        <v>29</v>
      </c>
      <c r="AE113" s="157">
        <f>VLOOKUP(Master2017[[#This Row],[Elevated Priority]],Epriority,2,)</f>
        <v>0</v>
      </c>
      <c r="AF113" s="151">
        <f>IF(Master2017[[#This Row],[Status]]="Active",Master2017[[#This Row],[Status_Score]],IF(C113="","",Q113+G113+S113+U113+AE113-5))</f>
        <v>54</v>
      </c>
      <c r="AG113" s="148"/>
      <c r="AH113" s="148">
        <v>2022</v>
      </c>
      <c r="AI113" s="148">
        <v>2024</v>
      </c>
      <c r="AJ113" s="156"/>
    </row>
    <row r="114" spans="1:36" ht="90" hidden="1" x14ac:dyDescent="0.25">
      <c r="A114" s="198">
        <f t="shared" si="12"/>
        <v>108</v>
      </c>
      <c r="B114" s="149" t="s">
        <v>71</v>
      </c>
      <c r="C114" s="149" t="s">
        <v>455</v>
      </c>
      <c r="D114" s="149" t="s">
        <v>904</v>
      </c>
      <c r="E114" s="149" t="s">
        <v>905</v>
      </c>
      <c r="F114" s="149" t="s">
        <v>29</v>
      </c>
      <c r="G114" s="149">
        <f t="shared" si="11"/>
        <v>0</v>
      </c>
      <c r="H114" s="162"/>
      <c r="I114" s="162"/>
      <c r="J114" s="162">
        <f>Master2017[[#This Row],[Initial Budget]]-Master2017[[#This Row],[Previously Committed Funds]]</f>
        <v>0</v>
      </c>
      <c r="K114" s="162"/>
      <c r="L114" s="162"/>
      <c r="M114" s="189">
        <f>Master2017[[#This Row],[Design $ (Add/Deduct)]]+Master2017[[#This Row],[Construction $ (Add/Ded)]]</f>
        <v>0</v>
      </c>
      <c r="N114" s="171">
        <v>8000000</v>
      </c>
      <c r="O114" s="150">
        <v>2018</v>
      </c>
      <c r="P114" s="149" t="s">
        <v>46</v>
      </c>
      <c r="Q114" s="150">
        <f t="shared" si="13"/>
        <v>50</v>
      </c>
      <c r="R114" s="151">
        <v>1</v>
      </c>
      <c r="S114" s="148">
        <f t="shared" si="14"/>
        <v>3</v>
      </c>
      <c r="T114" s="151" t="s">
        <v>37</v>
      </c>
      <c r="U114" s="151">
        <f t="shared" si="16"/>
        <v>3</v>
      </c>
      <c r="V114" s="151" t="s">
        <v>34</v>
      </c>
      <c r="W114" s="185">
        <v>0</v>
      </c>
      <c r="X114" s="151">
        <v>0</v>
      </c>
      <c r="Y114" s="151">
        <v>0</v>
      </c>
      <c r="Z114" s="151">
        <v>0</v>
      </c>
      <c r="AA114" s="151">
        <v>-2</v>
      </c>
      <c r="AB114" s="151">
        <v>-1</v>
      </c>
      <c r="AC114" s="151">
        <v>0</v>
      </c>
      <c r="AD114" s="152" t="s">
        <v>29</v>
      </c>
      <c r="AE114" s="157">
        <f>VLOOKUP(Master2017[[#This Row],[Elevated Priority]],Epriority,2,)</f>
        <v>0</v>
      </c>
      <c r="AF114" s="151">
        <f>IF(Master2017[[#This Row],[Status]]="Active",Master2017[[#This Row],[Status_Score]],IF(C114="","",Q114+G114+S114+U114+AE114-5))</f>
        <v>51</v>
      </c>
      <c r="AG114" s="148"/>
      <c r="AH114" s="148">
        <v>2022</v>
      </c>
      <c r="AI114" s="148">
        <v>2024</v>
      </c>
      <c r="AJ114" s="156" t="s">
        <v>982</v>
      </c>
    </row>
    <row r="115" spans="1:36" ht="30" hidden="1" x14ac:dyDescent="0.25">
      <c r="A115" s="198">
        <f t="shared" si="12"/>
        <v>109</v>
      </c>
      <c r="B115" s="149" t="s">
        <v>70</v>
      </c>
      <c r="C115" s="149" t="s">
        <v>694</v>
      </c>
      <c r="D115" s="149" t="s">
        <v>700</v>
      </c>
      <c r="E115" s="156"/>
      <c r="F115" s="149" t="s">
        <v>29</v>
      </c>
      <c r="G115" s="149">
        <f t="shared" si="11"/>
        <v>0</v>
      </c>
      <c r="H115" s="162"/>
      <c r="I115" s="162"/>
      <c r="J115" s="162">
        <f>Master2017[[#This Row],[Initial Budget]]-Master2017[[#This Row],[Previously Committed Funds]]</f>
        <v>0</v>
      </c>
      <c r="K115" s="162"/>
      <c r="L115" s="162"/>
      <c r="M115" s="189">
        <f>Master2017[[#This Row],[Design $ (Add/Deduct)]]+Master2017[[#This Row],[Construction $ (Add/Ded)]]</f>
        <v>0</v>
      </c>
      <c r="N115" s="171">
        <v>5000000</v>
      </c>
      <c r="O115" s="157">
        <v>2019</v>
      </c>
      <c r="P115" s="156" t="s">
        <v>46</v>
      </c>
      <c r="Q115" s="150">
        <f t="shared" si="13"/>
        <v>50</v>
      </c>
      <c r="R115" s="148">
        <v>4</v>
      </c>
      <c r="S115" s="148">
        <f t="shared" si="14"/>
        <v>12</v>
      </c>
      <c r="T115" s="148" t="s">
        <v>43</v>
      </c>
      <c r="U115" s="151"/>
      <c r="V115" s="148" t="s">
        <v>34</v>
      </c>
      <c r="W115" s="185">
        <v>0</v>
      </c>
      <c r="X115" s="151">
        <v>0</v>
      </c>
      <c r="Y115" s="151">
        <v>-3</v>
      </c>
      <c r="Z115" s="151">
        <v>-3</v>
      </c>
      <c r="AA115" s="151">
        <v>-2</v>
      </c>
      <c r="AB115" s="151">
        <v>0</v>
      </c>
      <c r="AC115" s="151">
        <v>0</v>
      </c>
      <c r="AD115" s="158" t="s">
        <v>29</v>
      </c>
      <c r="AE115" s="157">
        <f>VLOOKUP(Master2017[[#This Row],[Elevated Priority]],Epriority,2,)</f>
        <v>0</v>
      </c>
      <c r="AF115" s="151">
        <f>IF(Master2017[[#This Row],[Status]]="Active",Master2017[[#This Row],[Status_Score]],IF(C115="","",Q115+G115+S115+U115+AE115-5))</f>
        <v>57</v>
      </c>
      <c r="AG115" s="151"/>
      <c r="AH115" s="151">
        <v>2022</v>
      </c>
      <c r="AI115" s="151">
        <v>2023</v>
      </c>
      <c r="AJ115" s="156"/>
    </row>
    <row r="116" spans="1:36" ht="89.25" customHeight="1" x14ac:dyDescent="0.25">
      <c r="A116" s="198">
        <f t="shared" si="12"/>
        <v>110</v>
      </c>
      <c r="B116" s="149" t="s">
        <v>69</v>
      </c>
      <c r="C116" s="149" t="s">
        <v>552</v>
      </c>
      <c r="D116" s="149" t="s">
        <v>553</v>
      </c>
      <c r="E116" s="149" t="s">
        <v>554</v>
      </c>
      <c r="F116" s="149" t="s">
        <v>29</v>
      </c>
      <c r="G116" s="149">
        <f t="shared" si="11"/>
        <v>0</v>
      </c>
      <c r="H116" s="162"/>
      <c r="I116" s="162"/>
      <c r="J116" s="162">
        <f>Master2017[[#This Row],[Initial Budget]]-Master2017[[#This Row],[Previously Committed Funds]]</f>
        <v>0</v>
      </c>
      <c r="K116" s="162"/>
      <c r="L116" s="162"/>
      <c r="M116" s="189">
        <f>Master2017[[#This Row],[Design $ (Add/Deduct)]]+Master2017[[#This Row],[Construction $ (Add/Ded)]]</f>
        <v>0</v>
      </c>
      <c r="N116" s="249">
        <v>400000</v>
      </c>
      <c r="O116" s="150">
        <v>2018</v>
      </c>
      <c r="P116" s="149" t="s">
        <v>688</v>
      </c>
      <c r="Q116" s="150">
        <f t="shared" si="13"/>
        <v>20</v>
      </c>
      <c r="R116" s="239">
        <v>3</v>
      </c>
      <c r="S116" s="148">
        <f t="shared" si="14"/>
        <v>9</v>
      </c>
      <c r="T116" s="239" t="s">
        <v>47</v>
      </c>
      <c r="U116" s="151">
        <f t="shared" ref="U116:U121" si="17">VLOOKUP(T116,Urgency,2,FALSE)</f>
        <v>64</v>
      </c>
      <c r="V116" s="151" t="s">
        <v>30</v>
      </c>
      <c r="W116" s="151">
        <v>0</v>
      </c>
      <c r="X116" s="151">
        <v>0</v>
      </c>
      <c r="Y116" s="151">
        <v>0</v>
      </c>
      <c r="Z116" s="151">
        <v>0</v>
      </c>
      <c r="AA116" s="151">
        <v>0</v>
      </c>
      <c r="AB116" s="151">
        <v>0</v>
      </c>
      <c r="AC116" s="151">
        <v>0</v>
      </c>
      <c r="AD116" s="152" t="s">
        <v>29</v>
      </c>
      <c r="AE116" s="157">
        <f>VLOOKUP(Master2017[[#This Row],[Elevated Priority]],Epriority,2,)</f>
        <v>0</v>
      </c>
      <c r="AF116" s="151">
        <f>IF(Master2017[[#This Row],[Status]]="Active",Master2017[[#This Row],[Status_Score]],IF(C116="","",Q116+G116+S116+U116+AE116-5))</f>
        <v>88</v>
      </c>
      <c r="AG116" s="148"/>
      <c r="AH116" s="148"/>
      <c r="AI116" s="148"/>
      <c r="AJ116" s="156"/>
    </row>
    <row r="117" spans="1:36" ht="30" x14ac:dyDescent="0.25">
      <c r="A117" s="198">
        <f t="shared" si="12"/>
        <v>111</v>
      </c>
      <c r="B117" s="149" t="s">
        <v>94</v>
      </c>
      <c r="C117" s="248" t="s">
        <v>522</v>
      </c>
      <c r="D117" s="149" t="s">
        <v>523</v>
      </c>
      <c r="E117" s="149" t="s">
        <v>524</v>
      </c>
      <c r="F117" s="149" t="s">
        <v>29</v>
      </c>
      <c r="G117" s="149">
        <f t="shared" si="11"/>
        <v>0</v>
      </c>
      <c r="H117" s="162"/>
      <c r="I117" s="162"/>
      <c r="J117" s="162">
        <f>Master2017[[#This Row],[Initial Budget]]-Master2017[[#This Row],[Previously Committed Funds]]</f>
        <v>0</v>
      </c>
      <c r="K117" s="162"/>
      <c r="L117" s="162"/>
      <c r="M117" s="189">
        <f>Master2017[[#This Row],[Design $ (Add/Deduct)]]+Master2017[[#This Row],[Construction $ (Add/Ded)]]</f>
        <v>0</v>
      </c>
      <c r="N117" s="171">
        <v>100000</v>
      </c>
      <c r="O117" s="150">
        <v>2018</v>
      </c>
      <c r="P117" s="149" t="s">
        <v>46</v>
      </c>
      <c r="Q117" s="150">
        <f t="shared" si="13"/>
        <v>50</v>
      </c>
      <c r="R117" s="151">
        <v>32</v>
      </c>
      <c r="S117" s="148">
        <f t="shared" si="14"/>
        <v>32</v>
      </c>
      <c r="T117" s="151" t="s">
        <v>41</v>
      </c>
      <c r="U117" s="151">
        <f t="shared" si="17"/>
        <v>4</v>
      </c>
      <c r="V117" s="151" t="s">
        <v>30</v>
      </c>
      <c r="W117" s="151">
        <v>0</v>
      </c>
      <c r="X117" s="151">
        <v>0</v>
      </c>
      <c r="Y117" s="151">
        <v>0</v>
      </c>
      <c r="Z117" s="151">
        <v>0</v>
      </c>
      <c r="AA117" s="151">
        <v>0</v>
      </c>
      <c r="AB117" s="151">
        <v>0</v>
      </c>
      <c r="AC117" s="151">
        <v>0</v>
      </c>
      <c r="AD117" s="152" t="s">
        <v>29</v>
      </c>
      <c r="AE117" s="157">
        <f>VLOOKUP(Master2017[[#This Row],[Elevated Priority]],Epriority,2,)</f>
        <v>0</v>
      </c>
      <c r="AF117" s="151">
        <f>IF(Master2017[[#This Row],[Status]]="Active",Master2017[[#This Row],[Status_Score]],IF(C117="","",Q117+G117+S117+U117+AE117-5))</f>
        <v>81</v>
      </c>
      <c r="AG117" s="238"/>
      <c r="AH117" s="238"/>
      <c r="AI117" s="238"/>
      <c r="AJ117" s="156"/>
    </row>
    <row r="118" spans="1:36" ht="107.25" hidden="1" customHeight="1" x14ac:dyDescent="0.25">
      <c r="A118" s="198">
        <f t="shared" si="12"/>
        <v>112</v>
      </c>
      <c r="B118" s="204" t="s">
        <v>79</v>
      </c>
      <c r="C118" s="205" t="s">
        <v>783</v>
      </c>
      <c r="D118" s="156" t="s">
        <v>785</v>
      </c>
      <c r="E118" s="156" t="s">
        <v>804</v>
      </c>
      <c r="F118" s="149" t="s">
        <v>29</v>
      </c>
      <c r="G118" s="149">
        <f t="shared" si="11"/>
        <v>0</v>
      </c>
      <c r="H118" s="162"/>
      <c r="I118" s="162"/>
      <c r="J118" s="162">
        <f>Master2017[[#This Row],[Initial Budget]]-Master2017[[#This Row],[Previously Committed Funds]]</f>
        <v>0</v>
      </c>
      <c r="K118" s="162"/>
      <c r="L118" s="162"/>
      <c r="M118" s="189">
        <f>Master2017[[#This Row],[Design $ (Add/Deduct)]]+Master2017[[#This Row],[Construction $ (Add/Ded)]]</f>
        <v>0</v>
      </c>
      <c r="N118" s="159">
        <v>100000</v>
      </c>
      <c r="O118" s="157">
        <v>2017</v>
      </c>
      <c r="P118" s="149" t="s">
        <v>686</v>
      </c>
      <c r="Q118" s="150">
        <f t="shared" si="13"/>
        <v>60</v>
      </c>
      <c r="R118" s="148">
        <v>1</v>
      </c>
      <c r="S118" s="148">
        <f t="shared" si="14"/>
        <v>3</v>
      </c>
      <c r="T118" s="148" t="s">
        <v>43</v>
      </c>
      <c r="U118" s="151">
        <f t="shared" si="17"/>
        <v>16</v>
      </c>
      <c r="V118" s="148" t="s">
        <v>34</v>
      </c>
      <c r="W118" s="185">
        <v>0</v>
      </c>
      <c r="X118" s="151">
        <v>0</v>
      </c>
      <c r="Y118" s="151">
        <v>0</v>
      </c>
      <c r="Z118" s="151">
        <v>0</v>
      </c>
      <c r="AA118" s="151">
        <v>0</v>
      </c>
      <c r="AB118" s="151">
        <v>0</v>
      </c>
      <c r="AC118" s="151">
        <v>-3</v>
      </c>
      <c r="AD118" s="152" t="s">
        <v>29</v>
      </c>
      <c r="AE118" s="157">
        <f>VLOOKUP(Master2017[[#This Row],[Elevated Priority]],Epriority,2,)</f>
        <v>0</v>
      </c>
      <c r="AF118" s="151">
        <f>IF(Master2017[[#This Row],[Status]]="Active",Master2017[[#This Row],[Status_Score]],IF(C118="","",Q118+G118+S118+U118+AE118-5))</f>
        <v>74</v>
      </c>
      <c r="AG118" s="148"/>
      <c r="AH118" s="148"/>
      <c r="AI118" s="148"/>
      <c r="AJ118" s="156"/>
    </row>
    <row r="119" spans="1:36" ht="30" hidden="1" x14ac:dyDescent="0.25">
      <c r="A119" s="198">
        <f t="shared" si="12"/>
        <v>113</v>
      </c>
      <c r="B119" s="149" t="s">
        <v>152</v>
      </c>
      <c r="C119" s="149" t="s">
        <v>926</v>
      </c>
      <c r="D119" s="149" t="s">
        <v>927</v>
      </c>
      <c r="E119" s="149" t="s">
        <v>928</v>
      </c>
      <c r="F119" s="149" t="s">
        <v>29</v>
      </c>
      <c r="G119" s="174">
        <f t="shared" si="11"/>
        <v>0</v>
      </c>
      <c r="H119" s="162"/>
      <c r="I119" s="162"/>
      <c r="J119" s="162">
        <f>Master2017[[#This Row],[Initial Budget]]-Master2017[[#This Row],[Previously Committed Funds]]</f>
        <v>0</v>
      </c>
      <c r="K119" s="162"/>
      <c r="L119" s="162"/>
      <c r="M119" s="189">
        <f>Master2017[[#This Row],[Design $ (Add/Deduct)]]+Master2017[[#This Row],[Construction $ (Add/Ded)]]</f>
        <v>0</v>
      </c>
      <c r="N119" s="171">
        <v>5000000</v>
      </c>
      <c r="O119" s="150">
        <v>2020</v>
      </c>
      <c r="P119" s="149" t="s">
        <v>46</v>
      </c>
      <c r="Q119" s="150">
        <f t="shared" si="13"/>
        <v>50</v>
      </c>
      <c r="R119" s="151">
        <v>1</v>
      </c>
      <c r="S119" s="148">
        <f t="shared" si="14"/>
        <v>3</v>
      </c>
      <c r="T119" s="151" t="s">
        <v>43</v>
      </c>
      <c r="U119" s="151">
        <f t="shared" si="17"/>
        <v>16</v>
      </c>
      <c r="V119" s="151" t="s">
        <v>34</v>
      </c>
      <c r="W119" s="185">
        <v>-5</v>
      </c>
      <c r="X119" s="151">
        <v>0</v>
      </c>
      <c r="Y119" s="151">
        <v>-3</v>
      </c>
      <c r="Z119" s="151">
        <v>-3</v>
      </c>
      <c r="AA119" s="151">
        <v>-2</v>
      </c>
      <c r="AB119" s="151">
        <v>0</v>
      </c>
      <c r="AC119" s="151">
        <v>0</v>
      </c>
      <c r="AD119" s="152" t="s">
        <v>29</v>
      </c>
      <c r="AE119" s="157">
        <f>VLOOKUP(Master2017[[#This Row],[Elevated Priority]],Epriority,2,)</f>
        <v>0</v>
      </c>
      <c r="AF119" s="151">
        <f>IF(Master2017[[#This Row],[Status]]="Active",Master2017[[#This Row],[Status_Score]],IF(C119="","",Q119+G119+S119+U119+AE119-5))</f>
        <v>64</v>
      </c>
      <c r="AG119" s="148"/>
      <c r="AH119" s="148">
        <v>2021</v>
      </c>
      <c r="AI119" s="148">
        <v>2023</v>
      </c>
      <c r="AJ119" s="156" t="s">
        <v>983</v>
      </c>
    </row>
    <row r="120" spans="1:36" x14ac:dyDescent="0.25">
      <c r="A120" s="198">
        <f t="shared" si="12"/>
        <v>114</v>
      </c>
      <c r="B120" s="243" t="s">
        <v>91</v>
      </c>
      <c r="C120" s="243" t="s">
        <v>565</v>
      </c>
      <c r="D120" s="243"/>
      <c r="E120" s="243"/>
      <c r="F120" s="149" t="s">
        <v>29</v>
      </c>
      <c r="G120" s="149">
        <f t="shared" si="11"/>
        <v>0</v>
      </c>
      <c r="H120" s="162"/>
      <c r="I120" s="162"/>
      <c r="J120" s="162">
        <f>Master2017[[#This Row],[Initial Budget]]-Master2017[[#This Row],[Previously Committed Funds]]</f>
        <v>0</v>
      </c>
      <c r="K120" s="162"/>
      <c r="L120" s="162"/>
      <c r="M120" s="189">
        <f>Master2017[[#This Row],[Design $ (Add/Deduct)]]+Master2017[[#This Row],[Construction $ (Add/Ded)]]</f>
        <v>0</v>
      </c>
      <c r="N120" s="246">
        <v>25000</v>
      </c>
      <c r="O120" s="244">
        <v>2018</v>
      </c>
      <c r="P120" s="243" t="s">
        <v>688</v>
      </c>
      <c r="Q120" s="150">
        <f t="shared" si="13"/>
        <v>20</v>
      </c>
      <c r="R120" s="235">
        <v>10</v>
      </c>
      <c r="S120" s="148">
        <f t="shared" si="14"/>
        <v>21</v>
      </c>
      <c r="T120" s="235" t="s">
        <v>47</v>
      </c>
      <c r="U120" s="151">
        <f t="shared" si="17"/>
        <v>64</v>
      </c>
      <c r="V120" s="235" t="s">
        <v>30</v>
      </c>
      <c r="W120" s="151">
        <v>0</v>
      </c>
      <c r="X120" s="151">
        <v>0</v>
      </c>
      <c r="Y120" s="151">
        <v>0</v>
      </c>
      <c r="Z120" s="151">
        <v>0</v>
      </c>
      <c r="AA120" s="151">
        <v>0</v>
      </c>
      <c r="AB120" s="151">
        <v>0</v>
      </c>
      <c r="AC120" s="151">
        <v>0</v>
      </c>
      <c r="AD120" s="245" t="s">
        <v>29</v>
      </c>
      <c r="AE120" s="157">
        <f>VLOOKUP(Master2017[[#This Row],[Elevated Priority]],Epriority,2,)</f>
        <v>0</v>
      </c>
      <c r="AF120" s="151">
        <f>IF(Master2017[[#This Row],[Status]]="Active",Master2017[[#This Row],[Status_Score]],IF(C120="","",Q120+G120+S120+U120+AE120-5))</f>
        <v>100</v>
      </c>
      <c r="AG120" s="148"/>
      <c r="AH120" s="148"/>
      <c r="AI120" s="148"/>
      <c r="AJ120" s="156"/>
    </row>
    <row r="121" spans="1:36" x14ac:dyDescent="0.25">
      <c r="A121" s="198">
        <f t="shared" si="12"/>
        <v>115</v>
      </c>
      <c r="B121" s="243" t="s">
        <v>91</v>
      </c>
      <c r="C121" s="243" t="s">
        <v>566</v>
      </c>
      <c r="D121" s="243"/>
      <c r="E121" s="243"/>
      <c r="F121" s="149" t="s">
        <v>29</v>
      </c>
      <c r="G121" s="149">
        <f t="shared" si="11"/>
        <v>0</v>
      </c>
      <c r="H121" s="162"/>
      <c r="I121" s="162"/>
      <c r="J121" s="162">
        <f>Master2017[[#This Row],[Initial Budget]]-Master2017[[#This Row],[Previously Committed Funds]]</f>
        <v>0</v>
      </c>
      <c r="K121" s="162"/>
      <c r="L121" s="162"/>
      <c r="M121" s="189">
        <f>Master2017[[#This Row],[Design $ (Add/Deduct)]]+Master2017[[#This Row],[Construction $ (Add/Ded)]]</f>
        <v>0</v>
      </c>
      <c r="N121" s="171">
        <v>400000</v>
      </c>
      <c r="O121" s="244">
        <v>2018</v>
      </c>
      <c r="P121" s="243" t="s">
        <v>688</v>
      </c>
      <c r="Q121" s="150">
        <f t="shared" ref="Q121:Q146" si="18">VLOOKUP(P121,Importance,2,FALSE)</f>
        <v>20</v>
      </c>
      <c r="R121" s="235">
        <v>10</v>
      </c>
      <c r="S121" s="148">
        <f t="shared" ref="S121:S146" si="19">VLOOKUP(R121,Department,2,FALSE)</f>
        <v>21</v>
      </c>
      <c r="T121" s="235" t="s">
        <v>47</v>
      </c>
      <c r="U121" s="151">
        <f t="shared" si="17"/>
        <v>64</v>
      </c>
      <c r="V121" s="235" t="s">
        <v>30</v>
      </c>
      <c r="W121" s="151">
        <v>0</v>
      </c>
      <c r="X121" s="151">
        <v>0</v>
      </c>
      <c r="Y121" s="151">
        <v>0</v>
      </c>
      <c r="Z121" s="151">
        <v>0</v>
      </c>
      <c r="AA121" s="151">
        <v>0</v>
      </c>
      <c r="AB121" s="151">
        <v>0</v>
      </c>
      <c r="AC121" s="151">
        <v>0</v>
      </c>
      <c r="AD121" s="245" t="s">
        <v>29</v>
      </c>
      <c r="AE121" s="157">
        <f>VLOOKUP(Master2017[[#This Row],[Elevated Priority]],Epriority,2,)</f>
        <v>0</v>
      </c>
      <c r="AF121" s="151">
        <f>IF(Master2017[[#This Row],[Status]]="Active",Master2017[[#This Row],[Status_Score]],IF(C121="","",Q121+G121+S121+U121+AE121-5))</f>
        <v>100</v>
      </c>
      <c r="AG121" s="148"/>
      <c r="AH121" s="148"/>
      <c r="AI121" s="148"/>
      <c r="AJ121" s="156"/>
    </row>
    <row r="122" spans="1:36" ht="30" hidden="1" x14ac:dyDescent="0.25">
      <c r="A122" s="198">
        <f t="shared" si="12"/>
        <v>116</v>
      </c>
      <c r="B122" s="149" t="s">
        <v>70</v>
      </c>
      <c r="C122" s="149" t="s">
        <v>695</v>
      </c>
      <c r="D122" s="149" t="s">
        <v>701</v>
      </c>
      <c r="E122" s="156"/>
      <c r="F122" s="149" t="s">
        <v>29</v>
      </c>
      <c r="G122" s="149">
        <f t="shared" si="11"/>
        <v>0</v>
      </c>
      <c r="H122" s="162"/>
      <c r="I122" s="162"/>
      <c r="J122" s="162">
        <f>Master2017[[#This Row],[Initial Budget]]-Master2017[[#This Row],[Previously Committed Funds]]</f>
        <v>0</v>
      </c>
      <c r="K122" s="162"/>
      <c r="L122" s="162"/>
      <c r="M122" s="189">
        <f>Master2017[[#This Row],[Design $ (Add/Deduct)]]+Master2017[[#This Row],[Construction $ (Add/Ded)]]</f>
        <v>0</v>
      </c>
      <c r="N122" s="171">
        <v>5000000</v>
      </c>
      <c r="O122" s="157">
        <v>2019</v>
      </c>
      <c r="P122" s="156" t="s">
        <v>46</v>
      </c>
      <c r="Q122" s="150">
        <f t="shared" si="18"/>
        <v>50</v>
      </c>
      <c r="R122" s="148">
        <v>5</v>
      </c>
      <c r="S122" s="148">
        <f t="shared" si="19"/>
        <v>15</v>
      </c>
      <c r="T122" s="148" t="s">
        <v>45</v>
      </c>
      <c r="U122" s="151"/>
      <c r="V122" s="148" t="s">
        <v>34</v>
      </c>
      <c r="W122" s="185">
        <v>0</v>
      </c>
      <c r="X122" s="151">
        <v>0</v>
      </c>
      <c r="Y122" s="151">
        <v>-3</v>
      </c>
      <c r="Z122" s="151">
        <v>-3</v>
      </c>
      <c r="AA122" s="151">
        <v>-2</v>
      </c>
      <c r="AB122" s="151">
        <v>0</v>
      </c>
      <c r="AC122" s="151">
        <v>0</v>
      </c>
      <c r="AD122" s="158" t="s">
        <v>29</v>
      </c>
      <c r="AE122" s="157">
        <f>VLOOKUP(Master2017[[#This Row],[Elevated Priority]],Epriority,2,)</f>
        <v>0</v>
      </c>
      <c r="AF122" s="151">
        <f>IF(Master2017[[#This Row],[Status]]="Active",Master2017[[#This Row],[Status_Score]],IF(C122="","",Q122+G122+S122+U122+AE122-5))</f>
        <v>60</v>
      </c>
      <c r="AG122" s="148"/>
      <c r="AH122" s="148">
        <v>2023</v>
      </c>
      <c r="AI122" s="148">
        <v>2024</v>
      </c>
      <c r="AJ122" s="156"/>
    </row>
    <row r="123" spans="1:36" ht="30" x14ac:dyDescent="0.25">
      <c r="A123" s="198">
        <f t="shared" si="12"/>
        <v>117</v>
      </c>
      <c r="B123" s="149" t="s">
        <v>65</v>
      </c>
      <c r="C123" s="149" t="s">
        <v>556</v>
      </c>
      <c r="D123" s="149" t="s">
        <v>557</v>
      </c>
      <c r="E123" s="149" t="s">
        <v>558</v>
      </c>
      <c r="F123" s="149" t="s">
        <v>29</v>
      </c>
      <c r="G123" s="149">
        <f t="shared" si="11"/>
        <v>0</v>
      </c>
      <c r="H123" s="162"/>
      <c r="I123" s="162"/>
      <c r="J123" s="162">
        <f>Master2017[[#This Row],[Initial Budget]]-Master2017[[#This Row],[Previously Committed Funds]]</f>
        <v>0</v>
      </c>
      <c r="K123" s="162"/>
      <c r="L123" s="162"/>
      <c r="M123" s="189">
        <f>Master2017[[#This Row],[Design $ (Add/Deduct)]]+Master2017[[#This Row],[Construction $ (Add/Ded)]]</f>
        <v>0</v>
      </c>
      <c r="N123" s="171">
        <v>30000</v>
      </c>
      <c r="O123" s="150">
        <v>2018</v>
      </c>
      <c r="P123" s="149" t="s">
        <v>686</v>
      </c>
      <c r="Q123" s="150">
        <f t="shared" si="18"/>
        <v>60</v>
      </c>
      <c r="R123" s="151">
        <v>14</v>
      </c>
      <c r="S123" s="148">
        <f t="shared" si="19"/>
        <v>23</v>
      </c>
      <c r="T123" s="151" t="s">
        <v>45</v>
      </c>
      <c r="U123" s="151">
        <f t="shared" ref="U123:U137" si="20">VLOOKUP(T123,Urgency,2,FALSE)</f>
        <v>32</v>
      </c>
      <c r="V123" s="151" t="s">
        <v>30</v>
      </c>
      <c r="W123" s="151">
        <v>0</v>
      </c>
      <c r="X123" s="151">
        <v>0</v>
      </c>
      <c r="Y123" s="151">
        <v>0</v>
      </c>
      <c r="Z123" s="151">
        <v>0</v>
      </c>
      <c r="AA123" s="151">
        <v>0</v>
      </c>
      <c r="AB123" s="151">
        <v>0</v>
      </c>
      <c r="AC123" s="151">
        <v>0</v>
      </c>
      <c r="AD123" s="152" t="s">
        <v>29</v>
      </c>
      <c r="AE123" s="157">
        <f>VLOOKUP(Master2017[[#This Row],[Elevated Priority]],Epriority,2,)</f>
        <v>0</v>
      </c>
      <c r="AF123" s="151">
        <f>IF(Master2017[[#This Row],[Status]]="Active",Master2017[[#This Row],[Status_Score]],IF(C123="","",Q123+G123+S123+U123+AE123-5))</f>
        <v>110</v>
      </c>
      <c r="AG123" s="148"/>
      <c r="AH123" s="148"/>
      <c r="AI123" s="148"/>
      <c r="AJ123" s="156"/>
    </row>
    <row r="124" spans="1:36" ht="75" hidden="1" x14ac:dyDescent="0.25">
      <c r="A124" s="198">
        <f t="shared" si="12"/>
        <v>118</v>
      </c>
      <c r="B124" s="149" t="s">
        <v>143</v>
      </c>
      <c r="C124" s="156" t="s">
        <v>166</v>
      </c>
      <c r="D124" s="156" t="s">
        <v>167</v>
      </c>
      <c r="E124" s="156" t="s">
        <v>763</v>
      </c>
      <c r="F124" s="149" t="s">
        <v>29</v>
      </c>
      <c r="G124" s="149">
        <f t="shared" si="11"/>
        <v>0</v>
      </c>
      <c r="H124" s="162"/>
      <c r="I124" s="162"/>
      <c r="J124" s="162">
        <f>Master2017[[#This Row],[Initial Budget]]-Master2017[[#This Row],[Previously Committed Funds]]</f>
        <v>0</v>
      </c>
      <c r="K124" s="162"/>
      <c r="L124" s="162"/>
      <c r="M124" s="189">
        <f>Master2017[[#This Row],[Design $ (Add/Deduct)]]+Master2017[[#This Row],[Construction $ (Add/Ded)]]</f>
        <v>0</v>
      </c>
      <c r="N124" s="162">
        <v>40000</v>
      </c>
      <c r="O124" s="150">
        <v>2018</v>
      </c>
      <c r="P124" s="149" t="s">
        <v>686</v>
      </c>
      <c r="Q124" s="150">
        <f t="shared" si="18"/>
        <v>60</v>
      </c>
      <c r="R124" s="152">
        <v>5</v>
      </c>
      <c r="S124" s="148">
        <f t="shared" si="19"/>
        <v>15</v>
      </c>
      <c r="T124" s="152" t="s">
        <v>41</v>
      </c>
      <c r="U124" s="151">
        <f t="shared" si="20"/>
        <v>4</v>
      </c>
      <c r="V124" s="151" t="s">
        <v>34</v>
      </c>
      <c r="W124" s="185">
        <v>0</v>
      </c>
      <c r="X124" s="151">
        <v>0</v>
      </c>
      <c r="Y124" s="151">
        <v>0</v>
      </c>
      <c r="Z124" s="151">
        <v>0</v>
      </c>
      <c r="AA124" s="151">
        <v>0</v>
      </c>
      <c r="AB124" s="151">
        <v>0</v>
      </c>
      <c r="AC124" s="151">
        <v>-1</v>
      </c>
      <c r="AD124" s="152" t="s">
        <v>29</v>
      </c>
      <c r="AE124" s="157">
        <f>VLOOKUP(Master2017[[#This Row],[Elevated Priority]],Epriority,2,)</f>
        <v>0</v>
      </c>
      <c r="AF124" s="151">
        <f>IF(Master2017[[#This Row],[Status]]="Active",Master2017[[#This Row],[Status_Score]],IF(C124="","",Q124+G124+S124+U124+AE124-5))</f>
        <v>74</v>
      </c>
      <c r="AG124" s="148"/>
      <c r="AH124" s="148"/>
      <c r="AI124" s="148"/>
      <c r="AJ124" s="156"/>
    </row>
    <row r="125" spans="1:36" ht="30" hidden="1" x14ac:dyDescent="0.25">
      <c r="A125" s="198">
        <f t="shared" si="12"/>
        <v>119</v>
      </c>
      <c r="B125" s="149" t="s">
        <v>61</v>
      </c>
      <c r="C125" s="149" t="s">
        <v>473</v>
      </c>
      <c r="D125" s="149" t="s">
        <v>474</v>
      </c>
      <c r="E125" s="149" t="s">
        <v>475</v>
      </c>
      <c r="F125" s="149" t="s">
        <v>29</v>
      </c>
      <c r="G125" s="149">
        <f t="shared" si="11"/>
        <v>0</v>
      </c>
      <c r="H125" s="162"/>
      <c r="I125" s="162"/>
      <c r="J125" s="162">
        <f>Master2017[[#This Row],[Initial Budget]]-Master2017[[#This Row],[Previously Committed Funds]]</f>
        <v>0</v>
      </c>
      <c r="K125" s="162"/>
      <c r="L125" s="162"/>
      <c r="M125" s="189">
        <f>Master2017[[#This Row],[Design $ (Add/Deduct)]]+Master2017[[#This Row],[Construction $ (Add/Ded)]]</f>
        <v>0</v>
      </c>
      <c r="N125" s="171">
        <v>150000</v>
      </c>
      <c r="O125" s="150">
        <v>2018</v>
      </c>
      <c r="P125" s="149" t="s">
        <v>686</v>
      </c>
      <c r="Q125" s="150">
        <f t="shared" si="18"/>
        <v>60</v>
      </c>
      <c r="R125" s="151">
        <v>4</v>
      </c>
      <c r="S125" s="148">
        <f t="shared" si="19"/>
        <v>12</v>
      </c>
      <c r="T125" s="151" t="s">
        <v>43</v>
      </c>
      <c r="U125" s="151">
        <f t="shared" si="20"/>
        <v>16</v>
      </c>
      <c r="V125" s="151" t="s">
        <v>34</v>
      </c>
      <c r="W125" s="185">
        <v>0</v>
      </c>
      <c r="X125" s="151">
        <v>0</v>
      </c>
      <c r="Y125" s="151">
        <v>0</v>
      </c>
      <c r="Z125" s="151">
        <v>0</v>
      </c>
      <c r="AA125" s="151">
        <v>0</v>
      </c>
      <c r="AB125" s="151">
        <v>-5</v>
      </c>
      <c r="AC125" s="151">
        <v>-3</v>
      </c>
      <c r="AD125" s="152" t="s">
        <v>29</v>
      </c>
      <c r="AE125" s="157">
        <f>VLOOKUP(Master2017[[#This Row],[Elevated Priority]],Epriority,2,)</f>
        <v>0</v>
      </c>
      <c r="AF125" s="151">
        <f>IF(Master2017[[#This Row],[Status]]="Active",Master2017[[#This Row],[Status_Score]],IF(C125="","",Q125+G125+S125+U125+AE125-5))</f>
        <v>83</v>
      </c>
      <c r="AG125" s="148"/>
      <c r="AH125" s="148"/>
      <c r="AI125" s="148"/>
      <c r="AJ125" s="156" t="s">
        <v>984</v>
      </c>
    </row>
    <row r="126" spans="1:36" ht="30" hidden="1" x14ac:dyDescent="0.25">
      <c r="A126" s="198">
        <f t="shared" si="12"/>
        <v>120</v>
      </c>
      <c r="B126" s="204" t="s">
        <v>61</v>
      </c>
      <c r="C126" s="207" t="s">
        <v>796</v>
      </c>
      <c r="D126" s="164" t="s">
        <v>808</v>
      </c>
      <c r="E126" s="180" t="s">
        <v>907</v>
      </c>
      <c r="F126" s="149" t="s">
        <v>29</v>
      </c>
      <c r="G126" s="149">
        <f t="shared" si="11"/>
        <v>0</v>
      </c>
      <c r="H126" s="162"/>
      <c r="I126" s="162"/>
      <c r="J126" s="162">
        <f>Master2017[[#This Row],[Initial Budget]]-Master2017[[#This Row],[Previously Committed Funds]]</f>
        <v>0</v>
      </c>
      <c r="K126" s="162"/>
      <c r="L126" s="162"/>
      <c r="M126" s="189">
        <f>Master2017[[#This Row],[Design $ (Add/Deduct)]]+Master2017[[#This Row],[Construction $ (Add/Ded)]]</f>
        <v>0</v>
      </c>
      <c r="N126" s="171">
        <v>350000</v>
      </c>
      <c r="O126" s="150">
        <v>2020</v>
      </c>
      <c r="P126" s="149" t="s">
        <v>46</v>
      </c>
      <c r="Q126" s="150">
        <f t="shared" si="18"/>
        <v>50</v>
      </c>
      <c r="R126" s="151">
        <v>2</v>
      </c>
      <c r="S126" s="148">
        <f t="shared" si="19"/>
        <v>6</v>
      </c>
      <c r="T126" s="151" t="s">
        <v>41</v>
      </c>
      <c r="U126" s="151">
        <f t="shared" si="20"/>
        <v>4</v>
      </c>
      <c r="V126" s="151" t="s">
        <v>34</v>
      </c>
      <c r="W126" s="185">
        <v>0</v>
      </c>
      <c r="X126" s="151">
        <v>0</v>
      </c>
      <c r="Y126" s="151">
        <v>0</v>
      </c>
      <c r="Z126" s="151">
        <v>0</v>
      </c>
      <c r="AA126" s="151">
        <v>0</v>
      </c>
      <c r="AB126" s="151">
        <v>0</v>
      </c>
      <c r="AC126" s="151">
        <v>0</v>
      </c>
      <c r="AD126" s="152" t="s">
        <v>29</v>
      </c>
      <c r="AE126" s="157">
        <f>VLOOKUP(Master2017[[#This Row],[Elevated Priority]],Epriority,2,)</f>
        <v>0</v>
      </c>
      <c r="AF126" s="151">
        <f>IF(Master2017[[#This Row],[Status]]="Active",Master2017[[#This Row],[Status_Score]],IF(C126="","",Q126+G126+S126+U126+AE126-5))</f>
        <v>55</v>
      </c>
      <c r="AG126" s="148"/>
      <c r="AH126" s="148"/>
      <c r="AI126" s="148"/>
      <c r="AJ126" s="156"/>
    </row>
    <row r="127" spans="1:36" ht="30" hidden="1" x14ac:dyDescent="0.25">
      <c r="A127" s="198">
        <f t="shared" si="12"/>
        <v>121</v>
      </c>
      <c r="B127" s="149" t="s">
        <v>61</v>
      </c>
      <c r="C127" s="149" t="s">
        <v>381</v>
      </c>
      <c r="D127" s="149" t="s">
        <v>382</v>
      </c>
      <c r="E127" s="149" t="s">
        <v>383</v>
      </c>
      <c r="F127" s="149" t="s">
        <v>29</v>
      </c>
      <c r="G127" s="149">
        <f t="shared" si="11"/>
        <v>0</v>
      </c>
      <c r="H127" s="162"/>
      <c r="I127" s="162"/>
      <c r="J127" s="162">
        <f>Master2017[[#This Row],[Initial Budget]]-Master2017[[#This Row],[Previously Committed Funds]]</f>
        <v>0</v>
      </c>
      <c r="K127" s="162"/>
      <c r="L127" s="162"/>
      <c r="M127" s="189">
        <f>Master2017[[#This Row],[Design $ (Add/Deduct)]]+Master2017[[#This Row],[Construction $ (Add/Ded)]]</f>
        <v>0</v>
      </c>
      <c r="N127" s="171">
        <v>15000000</v>
      </c>
      <c r="O127" s="150">
        <v>2018</v>
      </c>
      <c r="P127" s="149" t="s">
        <v>688</v>
      </c>
      <c r="Q127" s="150">
        <f t="shared" si="18"/>
        <v>20</v>
      </c>
      <c r="R127" s="151">
        <v>1</v>
      </c>
      <c r="S127" s="148">
        <f t="shared" si="19"/>
        <v>3</v>
      </c>
      <c r="T127" s="151" t="s">
        <v>47</v>
      </c>
      <c r="U127" s="151">
        <f t="shared" si="20"/>
        <v>64</v>
      </c>
      <c r="V127" s="151" t="s">
        <v>34</v>
      </c>
      <c r="W127" s="185">
        <v>-5</v>
      </c>
      <c r="X127" s="151">
        <v>0</v>
      </c>
      <c r="Y127" s="151">
        <v>-3</v>
      </c>
      <c r="Z127" s="151">
        <v>-3</v>
      </c>
      <c r="AA127" s="151">
        <v>0</v>
      </c>
      <c r="AB127" s="151">
        <v>-3</v>
      </c>
      <c r="AC127" s="151">
        <v>-3</v>
      </c>
      <c r="AD127" s="152" t="s">
        <v>29</v>
      </c>
      <c r="AE127" s="157">
        <f>VLOOKUP(Master2017[[#This Row],[Elevated Priority]],Epriority,2,)</f>
        <v>0</v>
      </c>
      <c r="AF127" s="151">
        <f>IF(Master2017[[#This Row],[Status]]="Active",Master2017[[#This Row],[Status_Score]],IF(C127="","",Q127+G127+S127+U127+AE127-5))</f>
        <v>82</v>
      </c>
      <c r="AG127" s="148"/>
      <c r="AH127" s="148"/>
      <c r="AI127" s="148"/>
      <c r="AJ127" s="156"/>
    </row>
    <row r="128" spans="1:36" ht="30" hidden="1" x14ac:dyDescent="0.25">
      <c r="A128" s="198">
        <f t="shared" si="12"/>
        <v>122</v>
      </c>
      <c r="B128" s="149" t="s">
        <v>65</v>
      </c>
      <c r="C128" s="149" t="s">
        <v>544</v>
      </c>
      <c r="D128" s="149" t="s">
        <v>945</v>
      </c>
      <c r="E128" s="149" t="s">
        <v>546</v>
      </c>
      <c r="F128" s="149" t="s">
        <v>29</v>
      </c>
      <c r="G128" s="149">
        <f t="shared" si="11"/>
        <v>0</v>
      </c>
      <c r="H128" s="162"/>
      <c r="I128" s="162"/>
      <c r="J128" s="162">
        <f>Master2017[[#This Row],[Initial Budget]]-Master2017[[#This Row],[Previously Committed Funds]]</f>
        <v>0</v>
      </c>
      <c r="K128" s="162"/>
      <c r="L128" s="162"/>
      <c r="M128" s="189">
        <f>Master2017[[#This Row],[Design $ (Add/Deduct)]]+Master2017[[#This Row],[Construction $ (Add/Ded)]]</f>
        <v>0</v>
      </c>
      <c r="N128" s="171">
        <v>400000</v>
      </c>
      <c r="O128" s="150">
        <v>2018</v>
      </c>
      <c r="P128" s="149" t="s">
        <v>686</v>
      </c>
      <c r="Q128" s="150">
        <f t="shared" si="18"/>
        <v>60</v>
      </c>
      <c r="R128" s="151">
        <v>6</v>
      </c>
      <c r="S128" s="151">
        <f t="shared" si="19"/>
        <v>18</v>
      </c>
      <c r="T128" s="151" t="s">
        <v>37</v>
      </c>
      <c r="U128" s="151">
        <f t="shared" si="20"/>
        <v>3</v>
      </c>
      <c r="V128" s="151" t="s">
        <v>34</v>
      </c>
      <c r="W128" s="185">
        <v>0</v>
      </c>
      <c r="X128" s="151">
        <v>0</v>
      </c>
      <c r="Y128" s="151">
        <v>0</v>
      </c>
      <c r="Z128" s="151">
        <v>0</v>
      </c>
      <c r="AA128" s="151">
        <v>0</v>
      </c>
      <c r="AB128" s="151">
        <v>0</v>
      </c>
      <c r="AC128" s="151">
        <v>-1</v>
      </c>
      <c r="AD128" s="152" t="s">
        <v>29</v>
      </c>
      <c r="AE128" s="150">
        <f>VLOOKUP(Master2017[[#This Row],[Elevated Priority]],Epriority,2,)</f>
        <v>0</v>
      </c>
      <c r="AF128" s="151">
        <f>IF(Master2017[[#This Row],[Status]]="Active",Master2017[[#This Row],[Status_Score]],IF(C128="","",Q128+G128+S128+U128+AE128-5))</f>
        <v>76</v>
      </c>
      <c r="AG128" s="148"/>
      <c r="AH128" s="148"/>
      <c r="AI128" s="148"/>
      <c r="AJ128" s="156"/>
    </row>
    <row r="129" spans="1:36" x14ac:dyDescent="0.25">
      <c r="A129" s="198">
        <f t="shared" si="12"/>
        <v>123</v>
      </c>
      <c r="B129" s="243" t="s">
        <v>91</v>
      </c>
      <c r="C129" s="243" t="s">
        <v>573</v>
      </c>
      <c r="D129" s="243"/>
      <c r="E129" s="243" t="s">
        <v>574</v>
      </c>
      <c r="F129" s="149" t="s">
        <v>29</v>
      </c>
      <c r="G129" s="149">
        <f t="shared" si="11"/>
        <v>0</v>
      </c>
      <c r="H129" s="162"/>
      <c r="I129" s="162"/>
      <c r="J129" s="162">
        <f>Master2017[[#This Row],[Initial Budget]]-Master2017[[#This Row],[Previously Committed Funds]]</f>
        <v>0</v>
      </c>
      <c r="K129" s="162"/>
      <c r="L129" s="162"/>
      <c r="M129" s="189">
        <f>Master2017[[#This Row],[Design $ (Add/Deduct)]]+Master2017[[#This Row],[Construction $ (Add/Ded)]]</f>
        <v>0</v>
      </c>
      <c r="N129" s="171">
        <v>50000</v>
      </c>
      <c r="O129" s="244">
        <v>2018</v>
      </c>
      <c r="P129" s="243" t="s">
        <v>46</v>
      </c>
      <c r="Q129" s="150">
        <f t="shared" si="18"/>
        <v>50</v>
      </c>
      <c r="R129" s="235">
        <v>5</v>
      </c>
      <c r="S129" s="148">
        <f t="shared" si="19"/>
        <v>15</v>
      </c>
      <c r="T129" s="235" t="s">
        <v>45</v>
      </c>
      <c r="U129" s="151">
        <f t="shared" si="20"/>
        <v>32</v>
      </c>
      <c r="V129" s="235" t="s">
        <v>30</v>
      </c>
      <c r="W129" s="265">
        <v>0</v>
      </c>
      <c r="X129" s="151">
        <v>0</v>
      </c>
      <c r="Y129" s="151">
        <v>0</v>
      </c>
      <c r="Z129" s="151">
        <v>0</v>
      </c>
      <c r="AA129" s="151">
        <v>0</v>
      </c>
      <c r="AB129" s="151">
        <v>0</v>
      </c>
      <c r="AC129" s="151">
        <v>0</v>
      </c>
      <c r="AD129" s="245" t="s">
        <v>29</v>
      </c>
      <c r="AE129" s="157">
        <f>VLOOKUP(Master2017[[#This Row],[Elevated Priority]],Epriority,2,)</f>
        <v>0</v>
      </c>
      <c r="AF129" s="151">
        <f>IF(Master2017[[#This Row],[Status]]="Active",Master2017[[#This Row],[Status_Score]],IF(C129="","",Q129+G129+S129+U129+AE129-5))</f>
        <v>92</v>
      </c>
      <c r="AG129" s="148"/>
      <c r="AH129" s="148"/>
      <c r="AI129" s="148"/>
      <c r="AJ129" s="156"/>
    </row>
    <row r="130" spans="1:36" ht="105" x14ac:dyDescent="0.25">
      <c r="A130" s="198">
        <f t="shared" si="12"/>
        <v>124</v>
      </c>
      <c r="B130" s="236" t="s">
        <v>70</v>
      </c>
      <c r="C130" s="149" t="s">
        <v>141</v>
      </c>
      <c r="D130" s="149" t="s">
        <v>142</v>
      </c>
      <c r="E130" s="149"/>
      <c r="F130" s="149" t="s">
        <v>832</v>
      </c>
      <c r="G130" s="149">
        <f t="shared" ref="G130:G193" si="21">VLOOKUP(F130,Status_Score,2,FALSE)</f>
        <v>100</v>
      </c>
      <c r="H130" s="162"/>
      <c r="I130" s="162"/>
      <c r="J130" s="162">
        <f>Master2017[[#This Row],[Initial Budget]]-Master2017[[#This Row],[Previously Committed Funds]]</f>
        <v>0</v>
      </c>
      <c r="K130" s="162"/>
      <c r="L130" s="162"/>
      <c r="M130" s="189">
        <f>Master2017[[#This Row],[Design $ (Add/Deduct)]]+Master2017[[#This Row],[Construction $ (Add/Ded)]]</f>
        <v>0</v>
      </c>
      <c r="N130" s="171">
        <v>100000</v>
      </c>
      <c r="O130" s="237">
        <v>2018</v>
      </c>
      <c r="P130" s="149" t="s">
        <v>36</v>
      </c>
      <c r="Q130" s="150">
        <f t="shared" si="18"/>
        <v>10</v>
      </c>
      <c r="R130" s="151">
        <v>1</v>
      </c>
      <c r="S130" s="148">
        <f t="shared" si="19"/>
        <v>3</v>
      </c>
      <c r="T130" s="151" t="s">
        <v>37</v>
      </c>
      <c r="U130" s="151">
        <f t="shared" si="20"/>
        <v>3</v>
      </c>
      <c r="V130" s="151" t="s">
        <v>30</v>
      </c>
      <c r="W130" s="151">
        <v>0</v>
      </c>
      <c r="X130" s="151">
        <v>0</v>
      </c>
      <c r="Y130" s="151">
        <v>0</v>
      </c>
      <c r="Z130" s="151">
        <v>0</v>
      </c>
      <c r="AA130" s="151">
        <v>0</v>
      </c>
      <c r="AB130" s="151">
        <v>0</v>
      </c>
      <c r="AC130" s="151">
        <v>0</v>
      </c>
      <c r="AD130" s="152" t="s">
        <v>29</v>
      </c>
      <c r="AE130" s="157">
        <f>VLOOKUP(Master2017[[#This Row],[Elevated Priority]],Epriority,2,)</f>
        <v>0</v>
      </c>
      <c r="AF130" s="151">
        <f>IF(Master2017[[#This Row],[Status]]="Active",Master2017[[#This Row],[Status_Score]],IF(C130="","",Q130+G130+S130+U130+AE130-5))</f>
        <v>111</v>
      </c>
      <c r="AG130" s="235"/>
      <c r="AH130" s="235">
        <v>2021</v>
      </c>
      <c r="AI130" s="235">
        <v>2021</v>
      </c>
      <c r="AJ130" s="156"/>
    </row>
    <row r="131" spans="1:36" ht="105" hidden="1" x14ac:dyDescent="0.25">
      <c r="A131" s="198">
        <f t="shared" si="12"/>
        <v>125</v>
      </c>
      <c r="B131" s="149" t="s">
        <v>69</v>
      </c>
      <c r="C131" s="149" t="s">
        <v>378</v>
      </c>
      <c r="D131" s="149" t="s">
        <v>379</v>
      </c>
      <c r="E131" s="149" t="s">
        <v>380</v>
      </c>
      <c r="F131" s="149" t="s">
        <v>29</v>
      </c>
      <c r="G131" s="149">
        <f t="shared" si="21"/>
        <v>0</v>
      </c>
      <c r="H131" s="162"/>
      <c r="I131" s="162"/>
      <c r="J131" s="162">
        <f>Master2017[[#This Row],[Initial Budget]]-Master2017[[#This Row],[Previously Committed Funds]]</f>
        <v>0</v>
      </c>
      <c r="K131" s="162"/>
      <c r="L131" s="162"/>
      <c r="M131" s="189">
        <f>Master2017[[#This Row],[Design $ (Add/Deduct)]]+Master2017[[#This Row],[Construction $ (Add/Ded)]]</f>
        <v>0</v>
      </c>
      <c r="N131" s="162">
        <v>20000</v>
      </c>
      <c r="O131" s="150">
        <v>2018</v>
      </c>
      <c r="P131" s="149" t="s">
        <v>686</v>
      </c>
      <c r="Q131" s="150">
        <f t="shared" si="18"/>
        <v>60</v>
      </c>
      <c r="R131" s="152">
        <v>2</v>
      </c>
      <c r="S131" s="148">
        <f t="shared" si="19"/>
        <v>6</v>
      </c>
      <c r="T131" s="152" t="s">
        <v>43</v>
      </c>
      <c r="U131" s="151">
        <f t="shared" si="20"/>
        <v>16</v>
      </c>
      <c r="V131" s="151" t="s">
        <v>34</v>
      </c>
      <c r="W131" s="185">
        <v>0</v>
      </c>
      <c r="X131" s="151">
        <v>0</v>
      </c>
      <c r="Y131" s="151">
        <v>0</v>
      </c>
      <c r="Z131" s="151">
        <v>0</v>
      </c>
      <c r="AA131" s="151">
        <v>0</v>
      </c>
      <c r="AB131" s="151">
        <v>0</v>
      </c>
      <c r="AC131" s="151">
        <v>0</v>
      </c>
      <c r="AD131" s="152" t="s">
        <v>29</v>
      </c>
      <c r="AE131" s="157">
        <f>VLOOKUP(Master2017[[#This Row],[Elevated Priority]],Epriority,2,)</f>
        <v>0</v>
      </c>
      <c r="AF131" s="151">
        <f>IF(Master2017[[#This Row],[Status]]="Active",Master2017[[#This Row],[Status_Score]],IF(C131="","",Q131+G131+S131+U131+AE131-5))</f>
        <v>77</v>
      </c>
      <c r="AG131" s="148"/>
      <c r="AH131" s="148"/>
      <c r="AI131" s="148"/>
      <c r="AJ131" s="156"/>
    </row>
    <row r="132" spans="1:36" ht="75" hidden="1" x14ac:dyDescent="0.25">
      <c r="A132" s="198">
        <f t="shared" si="12"/>
        <v>126</v>
      </c>
      <c r="B132" s="149" t="s">
        <v>71</v>
      </c>
      <c r="C132" s="149" t="s">
        <v>516</v>
      </c>
      <c r="D132" s="149" t="s">
        <v>517</v>
      </c>
      <c r="E132" s="149" t="s">
        <v>518</v>
      </c>
      <c r="F132" s="149" t="s">
        <v>29</v>
      </c>
      <c r="G132" s="149">
        <f t="shared" si="21"/>
        <v>0</v>
      </c>
      <c r="H132" s="162"/>
      <c r="I132" s="162"/>
      <c r="J132" s="162">
        <f>Master2017[[#This Row],[Initial Budget]]-Master2017[[#This Row],[Previously Committed Funds]]</f>
        <v>0</v>
      </c>
      <c r="K132" s="162"/>
      <c r="L132" s="162"/>
      <c r="M132" s="189">
        <f>Master2017[[#This Row],[Design $ (Add/Deduct)]]+Master2017[[#This Row],[Construction $ (Add/Ded)]]</f>
        <v>0</v>
      </c>
      <c r="N132" s="171">
        <v>1500000</v>
      </c>
      <c r="O132" s="150">
        <v>2018</v>
      </c>
      <c r="P132" s="149" t="s">
        <v>46</v>
      </c>
      <c r="Q132" s="150">
        <f t="shared" si="18"/>
        <v>50</v>
      </c>
      <c r="R132" s="151">
        <v>3</v>
      </c>
      <c r="S132" s="148">
        <f t="shared" si="19"/>
        <v>9</v>
      </c>
      <c r="T132" s="151" t="s">
        <v>41</v>
      </c>
      <c r="U132" s="151">
        <f t="shared" si="20"/>
        <v>4</v>
      </c>
      <c r="V132" s="151" t="s">
        <v>34</v>
      </c>
      <c r="W132" s="185">
        <v>-1</v>
      </c>
      <c r="X132" s="151">
        <v>0</v>
      </c>
      <c r="Y132" s="151">
        <v>0</v>
      </c>
      <c r="Z132" s="151">
        <v>0</v>
      </c>
      <c r="AA132" s="151">
        <v>0</v>
      </c>
      <c r="AB132" s="151">
        <v>0</v>
      </c>
      <c r="AC132" s="151">
        <v>0</v>
      </c>
      <c r="AD132" s="152" t="s">
        <v>29</v>
      </c>
      <c r="AE132" s="157">
        <f>VLOOKUP(Master2017[[#This Row],[Elevated Priority]],Epriority,2,)</f>
        <v>0</v>
      </c>
      <c r="AF132" s="151">
        <f>IF(Master2017[[#This Row],[Status]]="Active",Master2017[[#This Row],[Status_Score]],IF(C132="","",Q132+G132+S132+U132+AE132-5))</f>
        <v>58</v>
      </c>
      <c r="AG132" s="148"/>
      <c r="AH132" s="148"/>
      <c r="AI132" s="148"/>
      <c r="AJ132" s="156"/>
    </row>
    <row r="133" spans="1:36" ht="45" x14ac:dyDescent="0.25">
      <c r="A133" s="198">
        <f t="shared" si="12"/>
        <v>127</v>
      </c>
      <c r="B133" s="280" t="s">
        <v>73</v>
      </c>
      <c r="C133" s="149" t="s">
        <v>177</v>
      </c>
      <c r="D133" s="149" t="s">
        <v>178</v>
      </c>
      <c r="E133" s="149" t="s">
        <v>179</v>
      </c>
      <c r="F133" s="149" t="s">
        <v>832</v>
      </c>
      <c r="G133" s="149">
        <f t="shared" si="21"/>
        <v>100</v>
      </c>
      <c r="H133" s="249"/>
      <c r="I133" s="249"/>
      <c r="J133" s="249">
        <f>Master2017[[#This Row],[Initial Budget]]-Master2017[[#This Row],[Previously Committed Funds]]</f>
        <v>0</v>
      </c>
      <c r="K133" s="249"/>
      <c r="L133" s="249"/>
      <c r="M133" s="258">
        <f>Master2017[[#This Row],[Design $ (Add/Deduct)]]+Master2017[[#This Row],[Construction $ (Add/Ded)]]</f>
        <v>0</v>
      </c>
      <c r="N133" s="256">
        <v>15000</v>
      </c>
      <c r="O133" s="150">
        <v>2018</v>
      </c>
      <c r="P133" s="149" t="s">
        <v>36</v>
      </c>
      <c r="Q133" s="150">
        <f t="shared" si="18"/>
        <v>10</v>
      </c>
      <c r="R133" s="151">
        <v>2</v>
      </c>
      <c r="S133" s="148">
        <f t="shared" si="19"/>
        <v>6</v>
      </c>
      <c r="T133" s="151" t="s">
        <v>41</v>
      </c>
      <c r="U133" s="151">
        <f t="shared" si="20"/>
        <v>4</v>
      </c>
      <c r="V133" s="151" t="s">
        <v>30</v>
      </c>
      <c r="W133" s="151">
        <v>0</v>
      </c>
      <c r="X133" s="151">
        <v>0</v>
      </c>
      <c r="Y133" s="151">
        <v>0</v>
      </c>
      <c r="Z133" s="151">
        <v>0</v>
      </c>
      <c r="AA133" s="151">
        <v>0</v>
      </c>
      <c r="AB133" s="151">
        <v>0</v>
      </c>
      <c r="AC133" s="151">
        <v>0</v>
      </c>
      <c r="AD133" s="152" t="s">
        <v>29</v>
      </c>
      <c r="AE133" s="157">
        <f>VLOOKUP(Master2017[[#This Row],[Elevated Priority]],Epriority,2,)</f>
        <v>0</v>
      </c>
      <c r="AF133" s="151">
        <f>IF(Master2017[[#This Row],[Status]]="Active",Master2017[[#This Row],[Status_Score]],IF(C133="","",Q133+G133+S133+U133+AE133-5))</f>
        <v>115</v>
      </c>
      <c r="AG133" s="235"/>
      <c r="AH133" s="235">
        <v>2021</v>
      </c>
      <c r="AI133" s="235">
        <v>2022</v>
      </c>
      <c r="AJ133" s="156"/>
    </row>
    <row r="134" spans="1:36" ht="90" hidden="1" x14ac:dyDescent="0.25">
      <c r="A134" s="198">
        <f t="shared" si="12"/>
        <v>128</v>
      </c>
      <c r="B134" s="149" t="s">
        <v>61</v>
      </c>
      <c r="C134" s="149" t="s">
        <v>476</v>
      </c>
      <c r="D134" s="149"/>
      <c r="E134" s="149" t="s">
        <v>906</v>
      </c>
      <c r="F134" s="149" t="s">
        <v>29</v>
      </c>
      <c r="G134" s="149">
        <f t="shared" si="21"/>
        <v>0</v>
      </c>
      <c r="H134" s="162"/>
      <c r="I134" s="162"/>
      <c r="J134" s="162">
        <f>Master2017[[#This Row],[Initial Budget]]-Master2017[[#This Row],[Previously Committed Funds]]</f>
        <v>0</v>
      </c>
      <c r="K134" s="162"/>
      <c r="L134" s="162"/>
      <c r="M134" s="189">
        <f>Master2017[[#This Row],[Design $ (Add/Deduct)]]+Master2017[[#This Row],[Construction $ (Add/Ded)]]</f>
        <v>0</v>
      </c>
      <c r="N134" s="171">
        <v>350000</v>
      </c>
      <c r="O134" s="150">
        <v>2018</v>
      </c>
      <c r="P134" s="149" t="s">
        <v>686</v>
      </c>
      <c r="Q134" s="150">
        <f t="shared" si="18"/>
        <v>60</v>
      </c>
      <c r="R134" s="151">
        <v>4</v>
      </c>
      <c r="S134" s="148">
        <f t="shared" si="19"/>
        <v>12</v>
      </c>
      <c r="T134" s="151" t="s">
        <v>43</v>
      </c>
      <c r="U134" s="151">
        <f t="shared" si="20"/>
        <v>16</v>
      </c>
      <c r="V134" s="151" t="s">
        <v>34</v>
      </c>
      <c r="W134" s="185">
        <v>-5</v>
      </c>
      <c r="X134" s="151">
        <v>0</v>
      </c>
      <c r="Y134" s="151">
        <v>0</v>
      </c>
      <c r="Z134" s="151">
        <v>0</v>
      </c>
      <c r="AA134" s="151">
        <v>0</v>
      </c>
      <c r="AB134" s="151">
        <v>0</v>
      </c>
      <c r="AC134" s="151">
        <v>0</v>
      </c>
      <c r="AD134" s="152" t="s">
        <v>29</v>
      </c>
      <c r="AE134" s="157">
        <f>VLOOKUP(Master2017[[#This Row],[Elevated Priority]],Epriority,2,)</f>
        <v>0</v>
      </c>
      <c r="AF134" s="151">
        <f>IF(Master2017[[#This Row],[Status]]="Active",Master2017[[#This Row],[Status_Score]],IF(C134="","",Q134+G134+S134+U134+AE134-5))</f>
        <v>83</v>
      </c>
      <c r="AG134" s="148"/>
      <c r="AH134" s="148"/>
      <c r="AI134" s="148"/>
      <c r="AJ134" s="156"/>
    </row>
    <row r="135" spans="1:36" ht="30" x14ac:dyDescent="0.25">
      <c r="A135" s="198">
        <f t="shared" si="12"/>
        <v>129</v>
      </c>
      <c r="B135" s="262" t="s">
        <v>214</v>
      </c>
      <c r="C135" s="262" t="s">
        <v>215</v>
      </c>
      <c r="D135" s="262" t="s">
        <v>216</v>
      </c>
      <c r="E135" s="262" t="s">
        <v>658</v>
      </c>
      <c r="F135" s="262" t="s">
        <v>832</v>
      </c>
      <c r="G135" s="262">
        <f t="shared" si="21"/>
        <v>100</v>
      </c>
      <c r="H135" s="263"/>
      <c r="I135" s="263"/>
      <c r="J135" s="263">
        <f>Master2017[[#This Row],[Initial Budget]]-Master2017[[#This Row],[Previously Committed Funds]]</f>
        <v>0</v>
      </c>
      <c r="K135" s="263"/>
      <c r="L135" s="263"/>
      <c r="M135" s="268">
        <f>Master2017[[#This Row],[Design $ (Add/Deduct)]]+Master2017[[#This Row],[Construction $ (Add/Ded)]]</f>
        <v>0</v>
      </c>
      <c r="N135" s="266">
        <v>250000</v>
      </c>
      <c r="O135" s="267">
        <v>2018</v>
      </c>
      <c r="P135" s="262" t="s">
        <v>688</v>
      </c>
      <c r="Q135" s="267">
        <f t="shared" si="18"/>
        <v>20</v>
      </c>
      <c r="R135" s="265">
        <v>1</v>
      </c>
      <c r="S135" s="265">
        <f t="shared" si="19"/>
        <v>3</v>
      </c>
      <c r="T135" s="265" t="s">
        <v>41</v>
      </c>
      <c r="U135" s="265">
        <f t="shared" si="20"/>
        <v>4</v>
      </c>
      <c r="V135" s="265" t="s">
        <v>30</v>
      </c>
      <c r="W135" s="151">
        <v>0</v>
      </c>
      <c r="X135" s="151">
        <v>0</v>
      </c>
      <c r="Y135" s="151">
        <v>0</v>
      </c>
      <c r="Z135" s="151">
        <v>0</v>
      </c>
      <c r="AA135" s="151">
        <v>0</v>
      </c>
      <c r="AB135" s="151">
        <v>0</v>
      </c>
      <c r="AC135" s="151">
        <v>0</v>
      </c>
      <c r="AD135" s="264" t="s">
        <v>29</v>
      </c>
      <c r="AE135" s="267">
        <f>VLOOKUP(Master2017[[#This Row],[Elevated Priority]],Epriority,2,)</f>
        <v>0</v>
      </c>
      <c r="AF135" s="151">
        <f>IF(Master2017[[#This Row],[Status]]="Active",Master2017[[#This Row],[Status_Score]],IF(C135="","",Q135+G135+S135+U135+AE135-5))</f>
        <v>122</v>
      </c>
      <c r="AG135" s="265"/>
      <c r="AH135" s="265">
        <v>2022</v>
      </c>
      <c r="AI135" s="265">
        <v>2022</v>
      </c>
      <c r="AJ135" s="262"/>
    </row>
    <row r="136" spans="1:36" ht="30" x14ac:dyDescent="0.25">
      <c r="A136" s="198">
        <f t="shared" si="12"/>
        <v>130</v>
      </c>
      <c r="B136" s="262" t="s">
        <v>65</v>
      </c>
      <c r="C136" s="262" t="s">
        <v>208</v>
      </c>
      <c r="D136" s="262" t="s">
        <v>209</v>
      </c>
      <c r="E136" s="262" t="s">
        <v>210</v>
      </c>
      <c r="F136" s="262" t="s">
        <v>832</v>
      </c>
      <c r="G136" s="262">
        <f t="shared" si="21"/>
        <v>100</v>
      </c>
      <c r="H136" s="263"/>
      <c r="I136" s="263"/>
      <c r="J136" s="263">
        <f>Master2017[[#This Row],[Initial Budget]]-Master2017[[#This Row],[Previously Committed Funds]]</f>
        <v>0</v>
      </c>
      <c r="K136" s="263"/>
      <c r="L136" s="263"/>
      <c r="M136" s="268">
        <f>Master2017[[#This Row],[Design $ (Add/Deduct)]]+Master2017[[#This Row],[Construction $ (Add/Ded)]]</f>
        <v>0</v>
      </c>
      <c r="N136" s="266">
        <v>250000</v>
      </c>
      <c r="O136" s="267">
        <v>2018</v>
      </c>
      <c r="P136" s="262" t="s">
        <v>688</v>
      </c>
      <c r="Q136" s="267">
        <f t="shared" si="18"/>
        <v>20</v>
      </c>
      <c r="R136" s="265">
        <v>1</v>
      </c>
      <c r="S136" s="265">
        <f t="shared" si="19"/>
        <v>3</v>
      </c>
      <c r="T136" s="265" t="s">
        <v>41</v>
      </c>
      <c r="U136" s="265">
        <f t="shared" si="20"/>
        <v>4</v>
      </c>
      <c r="V136" s="265" t="s">
        <v>30</v>
      </c>
      <c r="W136" s="151">
        <v>0</v>
      </c>
      <c r="X136" s="265">
        <v>0</v>
      </c>
      <c r="Y136" s="265">
        <v>0</v>
      </c>
      <c r="Z136" s="265">
        <v>0</v>
      </c>
      <c r="AA136" s="265">
        <v>0</v>
      </c>
      <c r="AB136" s="265">
        <v>0</v>
      </c>
      <c r="AC136" s="265">
        <v>0</v>
      </c>
      <c r="AD136" s="264" t="s">
        <v>29</v>
      </c>
      <c r="AE136" s="267">
        <f>VLOOKUP(Master2017[[#This Row],[Elevated Priority]],Epriority,2,)</f>
        <v>0</v>
      </c>
      <c r="AF136" s="265">
        <f>IF(Master2017[[#This Row],[Status]]="Active",Master2017[[#This Row],[Status_Score]],IF(C136="","",Q136+G136+S136+U136+AE136-5))</f>
        <v>122</v>
      </c>
      <c r="AG136" s="265"/>
      <c r="AH136" s="265"/>
      <c r="AI136" s="265"/>
      <c r="AJ136" s="262"/>
    </row>
    <row r="137" spans="1:36" ht="60" x14ac:dyDescent="0.25">
      <c r="A137" s="198">
        <f t="shared" si="12"/>
        <v>131</v>
      </c>
      <c r="B137" s="236" t="s">
        <v>214</v>
      </c>
      <c r="C137" s="243" t="s">
        <v>225</v>
      </c>
      <c r="D137" s="243" t="s">
        <v>226</v>
      </c>
      <c r="E137" s="243" t="s">
        <v>227</v>
      </c>
      <c r="F137" s="149" t="s">
        <v>832</v>
      </c>
      <c r="G137" s="149">
        <f t="shared" si="21"/>
        <v>100</v>
      </c>
      <c r="H137" s="249"/>
      <c r="I137" s="249"/>
      <c r="J137" s="249">
        <f>Master2017[[#This Row],[Initial Budget]]-Master2017[[#This Row],[Previously Committed Funds]]</f>
        <v>0</v>
      </c>
      <c r="K137" s="249"/>
      <c r="L137" s="249"/>
      <c r="M137" s="258">
        <f>Master2017[[#This Row],[Design $ (Add/Deduct)]]+Master2017[[#This Row],[Construction $ (Add/Ded)]]</f>
        <v>0</v>
      </c>
      <c r="N137" s="256">
        <v>250000</v>
      </c>
      <c r="O137" s="150">
        <v>2018</v>
      </c>
      <c r="P137" s="149" t="s">
        <v>688</v>
      </c>
      <c r="Q137" s="150">
        <f t="shared" si="18"/>
        <v>20</v>
      </c>
      <c r="R137" s="151">
        <v>2</v>
      </c>
      <c r="S137" s="148">
        <f t="shared" si="19"/>
        <v>6</v>
      </c>
      <c r="T137" s="151" t="s">
        <v>41</v>
      </c>
      <c r="U137" s="151">
        <f t="shared" si="20"/>
        <v>4</v>
      </c>
      <c r="V137" s="151" t="s">
        <v>30</v>
      </c>
      <c r="W137" s="151">
        <v>0</v>
      </c>
      <c r="X137" s="151">
        <v>0</v>
      </c>
      <c r="Y137" s="151">
        <v>0</v>
      </c>
      <c r="Z137" s="151">
        <v>0</v>
      </c>
      <c r="AA137" s="151">
        <v>0</v>
      </c>
      <c r="AB137" s="151">
        <v>0</v>
      </c>
      <c r="AC137" s="151">
        <v>0</v>
      </c>
      <c r="AD137" s="152" t="s">
        <v>29</v>
      </c>
      <c r="AE137" s="157">
        <f>VLOOKUP(Master2017[[#This Row],[Elevated Priority]],Epriority,2,)</f>
        <v>0</v>
      </c>
      <c r="AF137" s="151">
        <f>IF(Master2017[[#This Row],[Status]]="Active",Master2017[[#This Row],[Status_Score]],IF(C137="","",Q137+G137+S137+U137+AE137-5))</f>
        <v>125</v>
      </c>
      <c r="AG137" s="148"/>
      <c r="AH137" s="148">
        <v>2022</v>
      </c>
      <c r="AI137" s="148">
        <v>2022</v>
      </c>
      <c r="AJ137" s="156"/>
    </row>
    <row r="138" spans="1:36" ht="30" hidden="1" x14ac:dyDescent="0.25">
      <c r="A138" s="198">
        <f t="shared" si="12"/>
        <v>132</v>
      </c>
      <c r="B138" s="149" t="s">
        <v>70</v>
      </c>
      <c r="C138" s="149" t="s">
        <v>696</v>
      </c>
      <c r="D138" s="149" t="s">
        <v>702</v>
      </c>
      <c r="E138" s="156"/>
      <c r="F138" s="149" t="s">
        <v>29</v>
      </c>
      <c r="G138" s="149">
        <f t="shared" si="21"/>
        <v>0</v>
      </c>
      <c r="H138" s="162"/>
      <c r="I138" s="162"/>
      <c r="J138" s="162">
        <f>Master2017[[#This Row],[Initial Budget]]-Master2017[[#This Row],[Previously Committed Funds]]</f>
        <v>0</v>
      </c>
      <c r="K138" s="162"/>
      <c r="L138" s="162"/>
      <c r="M138" s="189">
        <f>Master2017[[#This Row],[Design $ (Add/Deduct)]]+Master2017[[#This Row],[Construction $ (Add/Ded)]]</f>
        <v>0</v>
      </c>
      <c r="N138" s="171">
        <v>10000000</v>
      </c>
      <c r="O138" s="157">
        <v>2019</v>
      </c>
      <c r="P138" s="156" t="s">
        <v>46</v>
      </c>
      <c r="Q138" s="150">
        <f t="shared" si="18"/>
        <v>50</v>
      </c>
      <c r="R138" s="148">
        <v>6</v>
      </c>
      <c r="S138" s="148">
        <f t="shared" si="19"/>
        <v>18</v>
      </c>
      <c r="T138" s="148" t="s">
        <v>45</v>
      </c>
      <c r="U138" s="151"/>
      <c r="V138" s="148" t="s">
        <v>34</v>
      </c>
      <c r="W138" s="185">
        <v>0</v>
      </c>
      <c r="X138" s="151">
        <v>0</v>
      </c>
      <c r="Y138" s="151">
        <v>0</v>
      </c>
      <c r="Z138" s="151">
        <v>0</v>
      </c>
      <c r="AA138" s="151">
        <v>0</v>
      </c>
      <c r="AB138" s="151">
        <v>0</v>
      </c>
      <c r="AC138" s="151">
        <v>0</v>
      </c>
      <c r="AD138" s="158" t="s">
        <v>29</v>
      </c>
      <c r="AE138" s="157">
        <f>VLOOKUP(Master2017[[#This Row],[Elevated Priority]],Epriority,2,)</f>
        <v>0</v>
      </c>
      <c r="AF138" s="151">
        <f>IF(Master2017[[#This Row],[Status]]="Active",Master2017[[#This Row],[Status_Score]],IF(C138="","",Q138+G138+S138+U138+AE138-5))</f>
        <v>63</v>
      </c>
      <c r="AG138" s="151"/>
      <c r="AH138" s="151"/>
      <c r="AI138" s="151"/>
      <c r="AJ138" s="156"/>
    </row>
    <row r="139" spans="1:36" ht="45" hidden="1" x14ac:dyDescent="0.25">
      <c r="A139" s="198">
        <f t="shared" si="12"/>
        <v>133</v>
      </c>
      <c r="B139" s="149" t="s">
        <v>65</v>
      </c>
      <c r="C139" s="149" t="s">
        <v>468</v>
      </c>
      <c r="D139" s="149" t="s">
        <v>671</v>
      </c>
      <c r="E139" s="149" t="s">
        <v>469</v>
      </c>
      <c r="F139" s="149" t="s">
        <v>29</v>
      </c>
      <c r="G139" s="149">
        <f t="shared" si="21"/>
        <v>0</v>
      </c>
      <c r="H139" s="162"/>
      <c r="I139" s="162"/>
      <c r="J139" s="162">
        <f>Master2017[[#This Row],[Initial Budget]]-Master2017[[#This Row],[Previously Committed Funds]]</f>
        <v>0</v>
      </c>
      <c r="K139" s="162"/>
      <c r="L139" s="162"/>
      <c r="M139" s="189">
        <f>Master2017[[#This Row],[Design $ (Add/Deduct)]]+Master2017[[#This Row],[Construction $ (Add/Ded)]]</f>
        <v>0</v>
      </c>
      <c r="N139" s="171">
        <v>250000</v>
      </c>
      <c r="O139" s="150">
        <v>2018</v>
      </c>
      <c r="P139" s="149" t="s">
        <v>686</v>
      </c>
      <c r="Q139" s="150">
        <f t="shared" si="18"/>
        <v>60</v>
      </c>
      <c r="R139" s="151">
        <v>4</v>
      </c>
      <c r="S139" s="148">
        <f t="shared" si="19"/>
        <v>12</v>
      </c>
      <c r="T139" s="151" t="s">
        <v>43</v>
      </c>
      <c r="U139" s="151">
        <f t="shared" ref="U139:U146" si="22">VLOOKUP(T139,Urgency,2,FALSE)</f>
        <v>16</v>
      </c>
      <c r="V139" s="151" t="s">
        <v>34</v>
      </c>
      <c r="W139" s="185">
        <v>0</v>
      </c>
      <c r="X139" s="151">
        <v>0</v>
      </c>
      <c r="Y139" s="151">
        <v>0</v>
      </c>
      <c r="Z139" s="151">
        <v>0</v>
      </c>
      <c r="AA139" s="151">
        <v>0</v>
      </c>
      <c r="AB139" s="151">
        <v>0</v>
      </c>
      <c r="AC139" s="151">
        <v>0</v>
      </c>
      <c r="AD139" s="152" t="s">
        <v>29</v>
      </c>
      <c r="AE139" s="157">
        <f>VLOOKUP(Master2017[[#This Row],[Elevated Priority]],Epriority,2,)</f>
        <v>0</v>
      </c>
      <c r="AF139" s="151">
        <f>IF(Master2017[[#This Row],[Status]]="Active",Master2017[[#This Row],[Status_Score]],IF(C139="","",Q139+G139+S139+U139+AE139-5))</f>
        <v>83</v>
      </c>
      <c r="AG139" s="148"/>
      <c r="AH139" s="148"/>
      <c r="AI139" s="148"/>
      <c r="AJ139" s="156"/>
    </row>
    <row r="140" spans="1:36" ht="30" hidden="1" x14ac:dyDescent="0.25">
      <c r="A140" s="198">
        <f t="shared" si="12"/>
        <v>134</v>
      </c>
      <c r="B140" s="149" t="s">
        <v>70</v>
      </c>
      <c r="C140" s="149" t="s">
        <v>408</v>
      </c>
      <c r="D140" s="149" t="s">
        <v>409</v>
      </c>
      <c r="E140" s="149" t="s">
        <v>410</v>
      </c>
      <c r="F140" s="149" t="s">
        <v>29</v>
      </c>
      <c r="G140" s="149">
        <f t="shared" si="21"/>
        <v>0</v>
      </c>
      <c r="H140" s="162"/>
      <c r="I140" s="162"/>
      <c r="J140" s="162">
        <f>Master2017[[#This Row],[Initial Budget]]-Master2017[[#This Row],[Previously Committed Funds]]</f>
        <v>0</v>
      </c>
      <c r="K140" s="162"/>
      <c r="L140" s="162"/>
      <c r="M140" s="189">
        <f>Master2017[[#This Row],[Design $ (Add/Deduct)]]+Master2017[[#This Row],[Construction $ (Add/Ded)]]</f>
        <v>0</v>
      </c>
      <c r="N140" s="171">
        <v>750000</v>
      </c>
      <c r="O140" s="150">
        <v>2018</v>
      </c>
      <c r="P140" s="149" t="s">
        <v>686</v>
      </c>
      <c r="Q140" s="150">
        <f t="shared" si="18"/>
        <v>60</v>
      </c>
      <c r="R140" s="151">
        <v>5</v>
      </c>
      <c r="S140" s="148">
        <f t="shared" si="19"/>
        <v>15</v>
      </c>
      <c r="T140" s="151" t="s">
        <v>43</v>
      </c>
      <c r="U140" s="151">
        <f t="shared" si="22"/>
        <v>16</v>
      </c>
      <c r="V140" s="151" t="s">
        <v>34</v>
      </c>
      <c r="W140" s="185">
        <v>0</v>
      </c>
      <c r="X140" s="151">
        <v>0</v>
      </c>
      <c r="Y140" s="151">
        <v>0</v>
      </c>
      <c r="Z140" s="151">
        <v>0</v>
      </c>
      <c r="AA140" s="151">
        <v>0</v>
      </c>
      <c r="AB140" s="151">
        <v>0</v>
      </c>
      <c r="AC140" s="151">
        <v>-1</v>
      </c>
      <c r="AD140" s="152" t="s">
        <v>29</v>
      </c>
      <c r="AE140" s="157">
        <f>VLOOKUP(Master2017[[#This Row],[Elevated Priority]],Epriority,2,)</f>
        <v>0</v>
      </c>
      <c r="AF140" s="151">
        <f>IF(Master2017[[#This Row],[Status]]="Active",Master2017[[#This Row],[Status_Score]],IF(C140="","",Q140+G140+S140+U140+AE140-5))</f>
        <v>86</v>
      </c>
      <c r="AG140" s="151"/>
      <c r="AH140" s="151"/>
      <c r="AI140" s="151"/>
      <c r="AJ140" s="156"/>
    </row>
    <row r="141" spans="1:36" ht="30" x14ac:dyDescent="0.25">
      <c r="A141" s="198">
        <f t="shared" si="12"/>
        <v>135</v>
      </c>
      <c r="B141" s="236" t="s">
        <v>214</v>
      </c>
      <c r="C141" s="149" t="s">
        <v>307</v>
      </c>
      <c r="D141" s="149" t="s">
        <v>308</v>
      </c>
      <c r="E141" s="149" t="s">
        <v>309</v>
      </c>
      <c r="F141" s="149" t="s">
        <v>832</v>
      </c>
      <c r="G141" s="149">
        <f t="shared" si="21"/>
        <v>100</v>
      </c>
      <c r="H141" s="249"/>
      <c r="I141" s="249"/>
      <c r="J141" s="249">
        <f>Master2017[[#This Row],[Initial Budget]]-Master2017[[#This Row],[Previously Committed Funds]]</f>
        <v>0</v>
      </c>
      <c r="K141" s="249"/>
      <c r="L141" s="249"/>
      <c r="M141" s="258">
        <f>Master2017[[#This Row],[Design $ (Add/Deduct)]]+Master2017[[#This Row],[Construction $ (Add/Ded)]]</f>
        <v>0</v>
      </c>
      <c r="N141" s="256">
        <v>150000</v>
      </c>
      <c r="O141" s="150">
        <v>2018</v>
      </c>
      <c r="P141" s="149" t="s">
        <v>688</v>
      </c>
      <c r="Q141" s="150">
        <f t="shared" si="18"/>
        <v>20</v>
      </c>
      <c r="R141" s="151">
        <v>4</v>
      </c>
      <c r="S141" s="148">
        <f t="shared" si="19"/>
        <v>12</v>
      </c>
      <c r="T141" s="151" t="s">
        <v>41</v>
      </c>
      <c r="U141" s="151">
        <f t="shared" si="22"/>
        <v>4</v>
      </c>
      <c r="V141" s="151" t="s">
        <v>30</v>
      </c>
      <c r="W141" s="151">
        <v>0</v>
      </c>
      <c r="X141" s="151">
        <v>0</v>
      </c>
      <c r="Y141" s="151">
        <v>0</v>
      </c>
      <c r="Z141" s="151">
        <v>0</v>
      </c>
      <c r="AA141" s="151">
        <v>0</v>
      </c>
      <c r="AB141" s="151">
        <v>0</v>
      </c>
      <c r="AC141" s="151">
        <v>0</v>
      </c>
      <c r="AD141" s="152" t="s">
        <v>29</v>
      </c>
      <c r="AE141" s="157">
        <f>VLOOKUP(Master2017[[#This Row],[Elevated Priority]],Epriority,2,)</f>
        <v>0</v>
      </c>
      <c r="AF141" s="151">
        <f>IF(Master2017[[#This Row],[Status]]="Active",Master2017[[#This Row],[Status_Score]],IF(C141="","",Q141+G141+S141+U141+AE141-5))</f>
        <v>131</v>
      </c>
      <c r="AG141" s="148"/>
      <c r="AH141" s="148"/>
      <c r="AI141" s="148"/>
      <c r="AJ141" s="156"/>
    </row>
    <row r="142" spans="1:36" ht="30" hidden="1" x14ac:dyDescent="0.25">
      <c r="A142" s="198">
        <f t="shared" si="12"/>
        <v>136</v>
      </c>
      <c r="B142" s="149" t="s">
        <v>70</v>
      </c>
      <c r="C142" s="149" t="s">
        <v>390</v>
      </c>
      <c r="D142" s="149" t="s">
        <v>391</v>
      </c>
      <c r="E142" s="149" t="s">
        <v>392</v>
      </c>
      <c r="F142" s="149" t="s">
        <v>29</v>
      </c>
      <c r="G142" s="149">
        <f t="shared" si="21"/>
        <v>0</v>
      </c>
      <c r="H142" s="162"/>
      <c r="I142" s="162"/>
      <c r="J142" s="162">
        <f>Master2017[[#This Row],[Initial Budget]]-Master2017[[#This Row],[Previously Committed Funds]]</f>
        <v>0</v>
      </c>
      <c r="K142" s="162"/>
      <c r="L142" s="162"/>
      <c r="M142" s="189">
        <f>Master2017[[#This Row],[Design $ (Add/Deduct)]]+Master2017[[#This Row],[Construction $ (Add/Ded)]]</f>
        <v>0</v>
      </c>
      <c r="N142" s="171">
        <v>150000</v>
      </c>
      <c r="O142" s="150">
        <v>2018</v>
      </c>
      <c r="P142" s="149" t="s">
        <v>686</v>
      </c>
      <c r="Q142" s="150">
        <f t="shared" si="18"/>
        <v>60</v>
      </c>
      <c r="R142" s="151">
        <v>5</v>
      </c>
      <c r="S142" s="148">
        <f t="shared" si="19"/>
        <v>15</v>
      </c>
      <c r="T142" s="151" t="s">
        <v>43</v>
      </c>
      <c r="U142" s="151">
        <f t="shared" si="22"/>
        <v>16</v>
      </c>
      <c r="V142" s="151" t="s">
        <v>34</v>
      </c>
      <c r="W142" s="185">
        <v>0</v>
      </c>
      <c r="X142" s="151">
        <v>0</v>
      </c>
      <c r="Y142" s="151">
        <v>0</v>
      </c>
      <c r="Z142" s="151">
        <v>0</v>
      </c>
      <c r="AA142" s="151">
        <v>0</v>
      </c>
      <c r="AB142" s="151">
        <v>0</v>
      </c>
      <c r="AC142" s="151">
        <v>0</v>
      </c>
      <c r="AD142" s="152" t="s">
        <v>29</v>
      </c>
      <c r="AE142" s="157">
        <f>VLOOKUP(Master2017[[#This Row],[Elevated Priority]],Epriority,2,)</f>
        <v>0</v>
      </c>
      <c r="AF142" s="151">
        <f>IF(Master2017[[#This Row],[Status]]="Active",Master2017[[#This Row],[Status_Score]],IF(C142="","",Q142+G142+S142+U142+AE142-5))</f>
        <v>86</v>
      </c>
      <c r="AG142" s="151"/>
      <c r="AH142" s="151"/>
      <c r="AI142" s="151"/>
      <c r="AJ142" s="156"/>
    </row>
    <row r="143" spans="1:36" ht="45" x14ac:dyDescent="0.25">
      <c r="A143" s="198">
        <f t="shared" si="12"/>
        <v>137</v>
      </c>
      <c r="B143" s="177" t="s">
        <v>674</v>
      </c>
      <c r="C143" s="177" t="s">
        <v>19</v>
      </c>
      <c r="D143" s="177" t="s">
        <v>831</v>
      </c>
      <c r="E143" s="177" t="s">
        <v>915</v>
      </c>
      <c r="F143" s="177" t="s">
        <v>832</v>
      </c>
      <c r="G143" s="177">
        <f t="shared" si="21"/>
        <v>100</v>
      </c>
      <c r="H143" s="295">
        <v>2097410</v>
      </c>
      <c r="I143" s="295">
        <v>1769</v>
      </c>
      <c r="J143" s="295">
        <f>Master2017[[#This Row],[Initial Budget]]-Master2017[[#This Row],[Previously Committed Funds]]</f>
        <v>2095641</v>
      </c>
      <c r="K143" s="295">
        <v>0</v>
      </c>
      <c r="L143" s="295">
        <v>0</v>
      </c>
      <c r="M143" s="297">
        <f>Master2017[[#This Row],[Design $ (Add/Deduct)]]+Master2017[[#This Row],[Construction $ (Add/Ded)]]</f>
        <v>0</v>
      </c>
      <c r="N143" s="295">
        <f>Master2017[[#This Row],[Total Add]]+Master2017[[#This Row],[Current Available Balance]]+Master2017[[#This Row],[Previously Committed Funds]]</f>
        <v>2097410</v>
      </c>
      <c r="O143" s="176">
        <v>2018</v>
      </c>
      <c r="P143" s="177" t="s">
        <v>46</v>
      </c>
      <c r="Q143" s="150">
        <f t="shared" si="18"/>
        <v>50</v>
      </c>
      <c r="R143" s="175">
        <v>10</v>
      </c>
      <c r="S143" s="175">
        <f t="shared" si="19"/>
        <v>21</v>
      </c>
      <c r="T143" s="175" t="s">
        <v>45</v>
      </c>
      <c r="U143" s="175">
        <f t="shared" si="22"/>
        <v>32</v>
      </c>
      <c r="V143" s="175" t="s">
        <v>38</v>
      </c>
      <c r="W143" s="265">
        <v>0</v>
      </c>
      <c r="X143" s="175"/>
      <c r="Y143" s="175"/>
      <c r="Z143" s="175"/>
      <c r="AA143" s="175"/>
      <c r="AB143" s="175"/>
      <c r="AC143" s="175"/>
      <c r="AD143" s="178" t="s">
        <v>29</v>
      </c>
      <c r="AE143" s="176">
        <f>VLOOKUP(Master2017[[#This Row],[Elevated Priority]],Epriority,2,)</f>
        <v>0</v>
      </c>
      <c r="AF143" s="175">
        <f>IF(Master2017[[#This Row],[Status]]="Active",Master2017[[#This Row],[Status_Score]],IF(C143="","",Q143+G143+S143+U143+AE143-5))</f>
        <v>198</v>
      </c>
      <c r="AG143" s="175" t="s">
        <v>717</v>
      </c>
      <c r="AH143" s="175"/>
      <c r="AI143" s="175"/>
      <c r="AJ143" s="177" t="s">
        <v>916</v>
      </c>
    </row>
    <row r="144" spans="1:36" ht="30" hidden="1" x14ac:dyDescent="0.25">
      <c r="A144" s="198">
        <f t="shared" ref="A144:A205" si="23">A143+1</f>
        <v>138</v>
      </c>
      <c r="B144" s="149" t="s">
        <v>65</v>
      </c>
      <c r="C144" s="149" t="s">
        <v>910</v>
      </c>
      <c r="D144" s="149" t="s">
        <v>919</v>
      </c>
      <c r="E144" s="149" t="s">
        <v>920</v>
      </c>
      <c r="F144" s="149" t="s">
        <v>29</v>
      </c>
      <c r="G144" s="149">
        <f t="shared" si="21"/>
        <v>0</v>
      </c>
      <c r="H144" s="162"/>
      <c r="I144" s="162"/>
      <c r="J144" s="162">
        <f>Master2017[[#This Row],[Initial Budget]]-Master2017[[#This Row],[Previously Committed Funds]]</f>
        <v>0</v>
      </c>
      <c r="K144" s="162"/>
      <c r="L144" s="162"/>
      <c r="M144" s="189">
        <f>Master2017[[#This Row],[Design $ (Add/Deduct)]]+Master2017[[#This Row],[Construction $ (Add/Ded)]]</f>
        <v>0</v>
      </c>
      <c r="N144" s="171">
        <v>5000000</v>
      </c>
      <c r="O144" s="150">
        <v>2018</v>
      </c>
      <c r="P144" s="149" t="s">
        <v>46</v>
      </c>
      <c r="Q144" s="150">
        <f t="shared" si="18"/>
        <v>50</v>
      </c>
      <c r="R144" s="151">
        <v>6</v>
      </c>
      <c r="S144" s="148">
        <f t="shared" si="19"/>
        <v>18</v>
      </c>
      <c r="T144" s="151" t="s">
        <v>43</v>
      </c>
      <c r="U144" s="151">
        <f t="shared" si="22"/>
        <v>16</v>
      </c>
      <c r="V144" s="151" t="s">
        <v>34</v>
      </c>
      <c r="W144" s="185">
        <v>-3</v>
      </c>
      <c r="X144" s="151">
        <v>0</v>
      </c>
      <c r="Y144" s="151">
        <v>0</v>
      </c>
      <c r="Z144" s="151">
        <v>-3</v>
      </c>
      <c r="AA144" s="151">
        <v>-2</v>
      </c>
      <c r="AB144" s="151">
        <v>-5</v>
      </c>
      <c r="AC144" s="151">
        <v>0</v>
      </c>
      <c r="AD144" s="152" t="s">
        <v>29</v>
      </c>
      <c r="AE144" s="157">
        <f>VLOOKUP(Master2017[[#This Row],[Elevated Priority]],Epriority,2,)</f>
        <v>0</v>
      </c>
      <c r="AF144" s="151">
        <f>IF(Master2017[[#This Row],[Status]]="Active",Master2017[[#This Row],[Status_Score]],IF(C144="","",Q144+G144+S144+U144+AE144-5))</f>
        <v>79</v>
      </c>
      <c r="AG144" s="148"/>
      <c r="AH144" s="148"/>
      <c r="AI144" s="148"/>
      <c r="AJ144" s="156"/>
    </row>
    <row r="145" spans="1:36" ht="75" hidden="1" x14ac:dyDescent="0.25">
      <c r="A145" s="198">
        <f t="shared" si="23"/>
        <v>139</v>
      </c>
      <c r="B145" s="149" t="s">
        <v>67</v>
      </c>
      <c r="C145" s="149" t="s">
        <v>419</v>
      </c>
      <c r="D145" s="149" t="s">
        <v>420</v>
      </c>
      <c r="E145" s="149" t="s">
        <v>421</v>
      </c>
      <c r="F145" s="149" t="s">
        <v>29</v>
      </c>
      <c r="G145" s="149">
        <f t="shared" si="21"/>
        <v>0</v>
      </c>
      <c r="H145" s="162"/>
      <c r="I145" s="162"/>
      <c r="J145" s="162">
        <f>Master2017[[#This Row],[Initial Budget]]-Master2017[[#This Row],[Previously Committed Funds]]</f>
        <v>0</v>
      </c>
      <c r="K145" s="162"/>
      <c r="L145" s="162"/>
      <c r="M145" s="189">
        <f>Master2017[[#This Row],[Design $ (Add/Deduct)]]+Master2017[[#This Row],[Construction $ (Add/Ded)]]</f>
        <v>0</v>
      </c>
      <c r="N145" s="171">
        <v>100000</v>
      </c>
      <c r="O145" s="150">
        <v>2018</v>
      </c>
      <c r="P145" s="149" t="s">
        <v>46</v>
      </c>
      <c r="Q145" s="150">
        <f t="shared" si="18"/>
        <v>50</v>
      </c>
      <c r="R145" s="151">
        <v>2</v>
      </c>
      <c r="S145" s="148">
        <f t="shared" si="19"/>
        <v>6</v>
      </c>
      <c r="T145" s="151" t="s">
        <v>43</v>
      </c>
      <c r="U145" s="151">
        <f t="shared" si="22"/>
        <v>16</v>
      </c>
      <c r="V145" s="151" t="s">
        <v>34</v>
      </c>
      <c r="W145" s="185">
        <v>0</v>
      </c>
      <c r="X145" s="151">
        <v>0</v>
      </c>
      <c r="Y145" s="151">
        <v>0</v>
      </c>
      <c r="Z145" s="151">
        <v>0</v>
      </c>
      <c r="AA145" s="151">
        <v>0</v>
      </c>
      <c r="AB145" s="151">
        <v>0</v>
      </c>
      <c r="AC145" s="151">
        <v>0</v>
      </c>
      <c r="AD145" s="152" t="s">
        <v>29</v>
      </c>
      <c r="AE145" s="157">
        <f>VLOOKUP(Master2017[[#This Row],[Elevated Priority]],Epriority,2,)</f>
        <v>0</v>
      </c>
      <c r="AF145" s="151">
        <f>IF(Master2017[[#This Row],[Status]]="Active",Master2017[[#This Row],[Status_Score]],IF(C145="","",Q145+G145+S145+U145+AE145-5))</f>
        <v>67</v>
      </c>
      <c r="AG145" s="148"/>
      <c r="AH145" s="148"/>
      <c r="AI145" s="148"/>
      <c r="AJ145" s="156"/>
    </row>
    <row r="146" spans="1:36" ht="75" hidden="1" x14ac:dyDescent="0.25">
      <c r="A146" s="198">
        <f t="shared" si="23"/>
        <v>140</v>
      </c>
      <c r="B146" s="149" t="s">
        <v>67</v>
      </c>
      <c r="C146" s="149" t="s">
        <v>531</v>
      </c>
      <c r="D146" s="149" t="s">
        <v>532</v>
      </c>
      <c r="E146" s="149" t="s">
        <v>533</v>
      </c>
      <c r="F146" s="149" t="s">
        <v>29</v>
      </c>
      <c r="G146" s="149">
        <f t="shared" si="21"/>
        <v>0</v>
      </c>
      <c r="H146" s="162"/>
      <c r="I146" s="162"/>
      <c r="J146" s="162">
        <f>Master2017[[#This Row],[Initial Budget]]-Master2017[[#This Row],[Previously Committed Funds]]</f>
        <v>0</v>
      </c>
      <c r="K146" s="162"/>
      <c r="L146" s="162"/>
      <c r="M146" s="189">
        <f>Master2017[[#This Row],[Design $ (Add/Deduct)]]+Master2017[[#This Row],[Construction $ (Add/Ded)]]</f>
        <v>0</v>
      </c>
      <c r="N146" s="171">
        <v>2000000</v>
      </c>
      <c r="O146" s="150">
        <v>2018</v>
      </c>
      <c r="P146" s="149" t="s">
        <v>46</v>
      </c>
      <c r="Q146" s="150">
        <f t="shared" si="18"/>
        <v>50</v>
      </c>
      <c r="R146" s="151">
        <v>2</v>
      </c>
      <c r="S146" s="148">
        <f t="shared" si="19"/>
        <v>6</v>
      </c>
      <c r="T146" s="151" t="s">
        <v>43</v>
      </c>
      <c r="U146" s="151">
        <f t="shared" si="22"/>
        <v>16</v>
      </c>
      <c r="V146" s="151" t="s">
        <v>34</v>
      </c>
      <c r="W146" s="185">
        <v>0</v>
      </c>
      <c r="X146" s="151">
        <v>0</v>
      </c>
      <c r="Y146" s="151">
        <v>0</v>
      </c>
      <c r="Z146" s="151">
        <v>0</v>
      </c>
      <c r="AA146" s="151">
        <v>0</v>
      </c>
      <c r="AB146" s="151">
        <v>0</v>
      </c>
      <c r="AC146" s="151">
        <v>0</v>
      </c>
      <c r="AD146" s="152" t="s">
        <v>29</v>
      </c>
      <c r="AE146" s="157">
        <f>VLOOKUP(Master2017[[#This Row],[Elevated Priority]],Epriority,2,)</f>
        <v>0</v>
      </c>
      <c r="AF146" s="151">
        <f>IF(Master2017[[#This Row],[Status]]="Active",Master2017[[#This Row],[Status_Score]],IF(C146="","",Q146+G146+S146+U146+AE146-5))</f>
        <v>67</v>
      </c>
      <c r="AG146" s="151"/>
      <c r="AH146" s="151"/>
      <c r="AI146" s="151"/>
      <c r="AJ146" s="156"/>
    </row>
    <row r="147" spans="1:36" ht="45" x14ac:dyDescent="0.25">
      <c r="A147" s="198">
        <f t="shared" si="23"/>
        <v>141</v>
      </c>
      <c r="B147" s="281" t="s">
        <v>646</v>
      </c>
      <c r="C147" s="281" t="s">
        <v>746</v>
      </c>
      <c r="D147" s="281" t="s">
        <v>675</v>
      </c>
      <c r="E147" s="281" t="s">
        <v>676</v>
      </c>
      <c r="F147" s="281" t="s">
        <v>814</v>
      </c>
      <c r="G147" s="209">
        <f t="shared" si="21"/>
        <v>200</v>
      </c>
      <c r="H147" s="296">
        <v>50000</v>
      </c>
      <c r="I147" s="296">
        <v>17833</v>
      </c>
      <c r="J147" s="249">
        <f>Master2017[[#This Row],[Initial Budget]]-Master2017[[#This Row],[Previously Committed Funds]]</f>
        <v>32167</v>
      </c>
      <c r="K147" s="296">
        <v>0</v>
      </c>
      <c r="L147" s="296">
        <v>0</v>
      </c>
      <c r="M147" s="258">
        <f>Master2017[[#This Row],[Design $ (Add/Deduct)]]+Master2017[[#This Row],[Construction $ (Add/Ded)]]</f>
        <v>0</v>
      </c>
      <c r="N147" s="249">
        <f>Master2017[[#This Row],[Total Add]]+Master2017[[#This Row],[Current Available Balance]]+Master2017[[#This Row],[Previously Committed Funds]]</f>
        <v>50000</v>
      </c>
      <c r="O147" s="210">
        <v>2019</v>
      </c>
      <c r="P147" s="149" t="s">
        <v>686</v>
      </c>
      <c r="Q147" s="150">
        <v>40</v>
      </c>
      <c r="R147" s="238">
        <v>1</v>
      </c>
      <c r="S147" s="238">
        <v>3</v>
      </c>
      <c r="T147" s="151" t="s">
        <v>37</v>
      </c>
      <c r="U147" s="151">
        <v>4</v>
      </c>
      <c r="V147" s="238" t="s">
        <v>38</v>
      </c>
      <c r="W147" s="151">
        <v>0</v>
      </c>
      <c r="X147" s="151"/>
      <c r="Y147" s="151"/>
      <c r="Z147" s="151"/>
      <c r="AA147" s="151"/>
      <c r="AB147" s="151"/>
      <c r="AC147" s="151"/>
      <c r="AD147" s="152" t="s">
        <v>29</v>
      </c>
      <c r="AE147" s="237">
        <v>0</v>
      </c>
      <c r="AF147" s="151">
        <f>IF(Master2017[[#This Row],[Status]]="Active",Master2017[[#This Row],[Status_Score]],IF(C147="","",Q147+G147+S147+U147+AE147-5))</f>
        <v>242</v>
      </c>
      <c r="AG147" s="282"/>
      <c r="AH147" s="282"/>
      <c r="AI147" s="282"/>
      <c r="AJ147" s="281" t="s">
        <v>157</v>
      </c>
    </row>
    <row r="148" spans="1:36" ht="30" hidden="1" x14ac:dyDescent="0.25">
      <c r="A148" s="198">
        <f t="shared" si="23"/>
        <v>142</v>
      </c>
      <c r="B148" s="149" t="s">
        <v>67</v>
      </c>
      <c r="C148" s="149" t="s">
        <v>621</v>
      </c>
      <c r="D148" s="149" t="s">
        <v>622</v>
      </c>
      <c r="E148" s="149" t="s">
        <v>623</v>
      </c>
      <c r="F148" s="149" t="s">
        <v>29</v>
      </c>
      <c r="G148" s="154">
        <f t="shared" si="21"/>
        <v>0</v>
      </c>
      <c r="H148" s="162"/>
      <c r="I148" s="162"/>
      <c r="J148" s="162">
        <f>Master2017[[#This Row],[Initial Budget]]-Master2017[[#This Row],[Previously Committed Funds]]</f>
        <v>0</v>
      </c>
      <c r="K148" s="162"/>
      <c r="L148" s="162"/>
      <c r="M148" s="189">
        <f>Master2017[[#This Row],[Design $ (Add/Deduct)]]+Master2017[[#This Row],[Construction $ (Add/Ded)]]</f>
        <v>0</v>
      </c>
      <c r="N148" s="171">
        <v>400000</v>
      </c>
      <c r="O148" s="150">
        <v>2019</v>
      </c>
      <c r="P148" s="149" t="s">
        <v>46</v>
      </c>
      <c r="Q148" s="150">
        <f t="shared" ref="Q148:Q179" si="24">VLOOKUP(P148,Importance,2,FALSE)</f>
        <v>50</v>
      </c>
      <c r="R148" s="150">
        <v>7</v>
      </c>
      <c r="S148" s="148">
        <f t="shared" ref="S148:S186" si="25">VLOOKUP(R148,Department,2,FALSE)</f>
        <v>20</v>
      </c>
      <c r="T148" s="150" t="s">
        <v>41</v>
      </c>
      <c r="U148" s="151">
        <f t="shared" ref="U148:U186" si="26">VLOOKUP(T148,Urgency,2,FALSE)</f>
        <v>4</v>
      </c>
      <c r="V148" s="150" t="s">
        <v>34</v>
      </c>
      <c r="W148" s="185">
        <v>0</v>
      </c>
      <c r="X148" s="151">
        <v>0</v>
      </c>
      <c r="Y148" s="151">
        <v>0</v>
      </c>
      <c r="Z148" s="151">
        <v>0</v>
      </c>
      <c r="AA148" s="151">
        <v>0</v>
      </c>
      <c r="AB148" s="151">
        <v>0</v>
      </c>
      <c r="AC148" s="151">
        <v>0</v>
      </c>
      <c r="AD148" s="150" t="s">
        <v>29</v>
      </c>
      <c r="AE148" s="157">
        <f>VLOOKUP(Master2017[[#This Row],[Elevated Priority]],Epriority,2,)</f>
        <v>0</v>
      </c>
      <c r="AF148" s="151">
        <f>IF(Master2017[[#This Row],[Status]]="Active",Master2017[[#This Row],[Status_Score]],IF(C148="","",Q148+G148+S148+U148+AE148-5))</f>
        <v>69</v>
      </c>
      <c r="AG148" s="151"/>
      <c r="AH148" s="151"/>
      <c r="AI148" s="151"/>
      <c r="AJ148" s="156"/>
    </row>
    <row r="149" spans="1:36" ht="60" hidden="1" x14ac:dyDescent="0.25">
      <c r="A149" s="198">
        <f t="shared" si="23"/>
        <v>143</v>
      </c>
      <c r="B149" s="156" t="s">
        <v>65</v>
      </c>
      <c r="C149" s="156" t="s">
        <v>567</v>
      </c>
      <c r="D149" s="156" t="s">
        <v>911</v>
      </c>
      <c r="E149" s="156" t="s">
        <v>569</v>
      </c>
      <c r="F149" s="149" t="s">
        <v>29</v>
      </c>
      <c r="G149" s="149">
        <f t="shared" si="21"/>
        <v>0</v>
      </c>
      <c r="H149" s="162"/>
      <c r="I149" s="162"/>
      <c r="J149" s="162">
        <f>Master2017[[#This Row],[Initial Budget]]-Master2017[[#This Row],[Previously Committed Funds]]</f>
        <v>0</v>
      </c>
      <c r="K149" s="162"/>
      <c r="L149" s="162"/>
      <c r="M149" s="189">
        <f>Master2017[[#This Row],[Design $ (Add/Deduct)]]+Master2017[[#This Row],[Construction $ (Add/Ded)]]</f>
        <v>0</v>
      </c>
      <c r="N149" s="159">
        <v>5000000</v>
      </c>
      <c r="O149" s="157">
        <v>2018</v>
      </c>
      <c r="P149" s="156" t="s">
        <v>46</v>
      </c>
      <c r="Q149" s="150">
        <f t="shared" si="24"/>
        <v>50</v>
      </c>
      <c r="R149" s="148">
        <v>5</v>
      </c>
      <c r="S149" s="148">
        <f t="shared" si="25"/>
        <v>15</v>
      </c>
      <c r="T149" s="148" t="s">
        <v>45</v>
      </c>
      <c r="U149" s="151">
        <f t="shared" si="26"/>
        <v>32</v>
      </c>
      <c r="V149" s="148" t="s">
        <v>34</v>
      </c>
      <c r="W149" s="185">
        <v>-9</v>
      </c>
      <c r="X149" s="151">
        <v>0</v>
      </c>
      <c r="Y149" s="151">
        <v>0</v>
      </c>
      <c r="Z149" s="151">
        <v>-3</v>
      </c>
      <c r="AA149" s="151">
        <v>-2</v>
      </c>
      <c r="AB149" s="151">
        <v>-7</v>
      </c>
      <c r="AC149" s="151">
        <v>0</v>
      </c>
      <c r="AD149" s="158" t="s">
        <v>29</v>
      </c>
      <c r="AE149" s="157">
        <f>VLOOKUP(Master2017[[#This Row],[Elevated Priority]],Epriority,2,)</f>
        <v>0</v>
      </c>
      <c r="AF149" s="151">
        <f>IF(Master2017[[#This Row],[Status]]="Active",Master2017[[#This Row],[Status_Score]],IF(C149="","",Q149+G149+S149+U149+AE149-5))</f>
        <v>92</v>
      </c>
      <c r="AG149" s="148"/>
      <c r="AH149" s="148"/>
      <c r="AI149" s="148"/>
      <c r="AJ149" s="156"/>
    </row>
    <row r="150" spans="1:36" ht="30" hidden="1" x14ac:dyDescent="0.25">
      <c r="A150" s="198">
        <f t="shared" si="23"/>
        <v>144</v>
      </c>
      <c r="B150" s="149" t="s">
        <v>79</v>
      </c>
      <c r="C150" s="149" t="s">
        <v>513</v>
      </c>
      <c r="D150" s="149" t="s">
        <v>514</v>
      </c>
      <c r="E150" s="149" t="s">
        <v>515</v>
      </c>
      <c r="F150" s="149" t="s">
        <v>29</v>
      </c>
      <c r="G150" s="149">
        <f t="shared" si="21"/>
        <v>0</v>
      </c>
      <c r="H150" s="162"/>
      <c r="I150" s="162"/>
      <c r="J150" s="162">
        <f>Master2017[[#This Row],[Initial Budget]]-Master2017[[#This Row],[Previously Committed Funds]]</f>
        <v>0</v>
      </c>
      <c r="K150" s="162"/>
      <c r="L150" s="162"/>
      <c r="M150" s="189">
        <f>Master2017[[#This Row],[Design $ (Add/Deduct)]]+Master2017[[#This Row],[Construction $ (Add/Ded)]]</f>
        <v>0</v>
      </c>
      <c r="N150" s="171">
        <v>50000</v>
      </c>
      <c r="O150" s="150">
        <v>2018</v>
      </c>
      <c r="P150" s="149" t="s">
        <v>686</v>
      </c>
      <c r="Q150" s="150">
        <f t="shared" si="24"/>
        <v>60</v>
      </c>
      <c r="R150" s="151">
        <v>10</v>
      </c>
      <c r="S150" s="148">
        <f t="shared" si="25"/>
        <v>21</v>
      </c>
      <c r="T150" s="151" t="s">
        <v>43</v>
      </c>
      <c r="U150" s="151">
        <f t="shared" si="26"/>
        <v>16</v>
      </c>
      <c r="V150" s="151" t="s">
        <v>34</v>
      </c>
      <c r="W150" s="185">
        <v>0</v>
      </c>
      <c r="X150" s="151">
        <v>0</v>
      </c>
      <c r="Y150" s="151">
        <v>0</v>
      </c>
      <c r="Z150" s="151">
        <v>0</v>
      </c>
      <c r="AA150" s="151">
        <v>0</v>
      </c>
      <c r="AB150" s="151">
        <v>0</v>
      </c>
      <c r="AC150" s="151">
        <v>0</v>
      </c>
      <c r="AD150" s="152" t="s">
        <v>29</v>
      </c>
      <c r="AE150" s="157">
        <f>VLOOKUP(Master2017[[#This Row],[Elevated Priority]],Epriority,2,)</f>
        <v>0</v>
      </c>
      <c r="AF150" s="151">
        <f>IF(Master2017[[#This Row],[Status]]="Active",Master2017[[#This Row],[Status_Score]],IF(C150="","",Q150+G150+S150+U150+AE150-5))</f>
        <v>92</v>
      </c>
      <c r="AG150" s="148"/>
      <c r="AH150" s="148"/>
      <c r="AI150" s="148"/>
      <c r="AJ150" s="156"/>
    </row>
    <row r="151" spans="1:36" ht="45" hidden="1" x14ac:dyDescent="0.25">
      <c r="A151" s="198">
        <f t="shared" si="23"/>
        <v>145</v>
      </c>
      <c r="B151" s="149" t="s">
        <v>65</v>
      </c>
      <c r="C151" s="149" t="s">
        <v>842</v>
      </c>
      <c r="D151" s="149" t="s">
        <v>388</v>
      </c>
      <c r="E151" s="149" t="s">
        <v>389</v>
      </c>
      <c r="F151" s="149" t="s">
        <v>29</v>
      </c>
      <c r="G151" s="149">
        <f t="shared" si="21"/>
        <v>0</v>
      </c>
      <c r="H151" s="162"/>
      <c r="I151" s="162"/>
      <c r="J151" s="162">
        <f>Master2017[[#This Row],[Initial Budget]]-Master2017[[#This Row],[Previously Committed Funds]]</f>
        <v>0</v>
      </c>
      <c r="K151" s="162"/>
      <c r="L151" s="162"/>
      <c r="M151" s="189">
        <f>Master2017[[#This Row],[Design $ (Add/Deduct)]]+Master2017[[#This Row],[Construction $ (Add/Ded)]]</f>
        <v>0</v>
      </c>
      <c r="N151" s="171">
        <v>375000</v>
      </c>
      <c r="O151" s="150">
        <v>2018</v>
      </c>
      <c r="P151" s="149" t="s">
        <v>686</v>
      </c>
      <c r="Q151" s="150">
        <f t="shared" si="24"/>
        <v>60</v>
      </c>
      <c r="R151" s="151">
        <v>10</v>
      </c>
      <c r="S151" s="148">
        <f t="shared" si="25"/>
        <v>21</v>
      </c>
      <c r="T151" s="151" t="s">
        <v>43</v>
      </c>
      <c r="U151" s="151">
        <f t="shared" si="26"/>
        <v>16</v>
      </c>
      <c r="V151" s="151" t="s">
        <v>34</v>
      </c>
      <c r="W151" s="185">
        <v>0</v>
      </c>
      <c r="X151" s="151">
        <v>0</v>
      </c>
      <c r="Y151" s="151">
        <v>0</v>
      </c>
      <c r="Z151" s="151">
        <v>0</v>
      </c>
      <c r="AA151" s="151">
        <v>0</v>
      </c>
      <c r="AB151" s="151">
        <v>0</v>
      </c>
      <c r="AC151" s="151">
        <v>0</v>
      </c>
      <c r="AD151" s="152" t="s">
        <v>29</v>
      </c>
      <c r="AE151" s="157">
        <f>VLOOKUP(Master2017[[#This Row],[Elevated Priority]],Epriority,2,)</f>
        <v>0</v>
      </c>
      <c r="AF151" s="151">
        <f>IF(Master2017[[#This Row],[Status]]="Active",Master2017[[#This Row],[Status_Score]],IF(C151="","",Q151+G151+S151+U151+AE151-5))</f>
        <v>92</v>
      </c>
      <c r="AG151" s="151"/>
      <c r="AH151" s="151"/>
      <c r="AI151" s="151"/>
      <c r="AJ151" s="156"/>
    </row>
    <row r="152" spans="1:36" ht="150" hidden="1" x14ac:dyDescent="0.25">
      <c r="A152" s="198">
        <f t="shared" si="23"/>
        <v>146</v>
      </c>
      <c r="B152" s="149" t="s">
        <v>299</v>
      </c>
      <c r="C152" s="149" t="s">
        <v>450</v>
      </c>
      <c r="D152" s="149" t="s">
        <v>451</v>
      </c>
      <c r="E152" s="149" t="s">
        <v>764</v>
      </c>
      <c r="F152" s="149" t="s">
        <v>29</v>
      </c>
      <c r="G152" s="149">
        <f t="shared" si="21"/>
        <v>0</v>
      </c>
      <c r="H152" s="162"/>
      <c r="I152" s="162"/>
      <c r="J152" s="162">
        <f>Master2017[[#This Row],[Initial Budget]]-Master2017[[#This Row],[Previously Committed Funds]]</f>
        <v>0</v>
      </c>
      <c r="K152" s="162"/>
      <c r="L152" s="162"/>
      <c r="M152" s="189">
        <f>Master2017[[#This Row],[Design $ (Add/Deduct)]]+Master2017[[#This Row],[Construction $ (Add/Ded)]]</f>
        <v>0</v>
      </c>
      <c r="N152" s="162">
        <v>50000</v>
      </c>
      <c r="O152" s="150">
        <v>2018</v>
      </c>
      <c r="P152" s="149" t="s">
        <v>686</v>
      </c>
      <c r="Q152" s="150">
        <f t="shared" si="24"/>
        <v>60</v>
      </c>
      <c r="R152" s="152">
        <v>3</v>
      </c>
      <c r="S152" s="148">
        <f t="shared" si="25"/>
        <v>9</v>
      </c>
      <c r="T152" s="152" t="s">
        <v>45</v>
      </c>
      <c r="U152" s="151">
        <f t="shared" si="26"/>
        <v>32</v>
      </c>
      <c r="V152" s="151" t="s">
        <v>34</v>
      </c>
      <c r="W152" s="185">
        <v>0</v>
      </c>
      <c r="X152" s="151">
        <v>0</v>
      </c>
      <c r="Y152" s="151">
        <v>0</v>
      </c>
      <c r="Z152" s="151">
        <v>0</v>
      </c>
      <c r="AA152" s="151">
        <v>-2</v>
      </c>
      <c r="AB152" s="151">
        <v>0</v>
      </c>
      <c r="AC152" s="151">
        <v>0</v>
      </c>
      <c r="AD152" s="152" t="s">
        <v>29</v>
      </c>
      <c r="AE152" s="157">
        <f>VLOOKUP(Master2017[[#This Row],[Elevated Priority]],Epriority,2,)</f>
        <v>0</v>
      </c>
      <c r="AF152" s="151">
        <f>IF(Master2017[[#This Row],[Status]]="Active",Master2017[[#This Row],[Status_Score]],IF(C152="","",Q152+G152+S152+U152+AE152-5))</f>
        <v>96</v>
      </c>
      <c r="AG152" s="148"/>
      <c r="AH152" s="148"/>
      <c r="AI152" s="148"/>
      <c r="AJ152" s="156"/>
    </row>
    <row r="153" spans="1:36" ht="30" x14ac:dyDescent="0.25">
      <c r="A153" s="198">
        <f t="shared" si="23"/>
        <v>147</v>
      </c>
      <c r="B153" s="262" t="s">
        <v>79</v>
      </c>
      <c r="C153" s="262" t="s">
        <v>779</v>
      </c>
      <c r="D153" s="262" t="s">
        <v>802</v>
      </c>
      <c r="E153" s="262" t="s">
        <v>803</v>
      </c>
      <c r="F153" s="262" t="s">
        <v>816</v>
      </c>
      <c r="G153" s="262">
        <f t="shared" si="21"/>
        <v>1000</v>
      </c>
      <c r="H153" s="263"/>
      <c r="I153" s="263"/>
      <c r="J153" s="263">
        <f>Master2017[[#This Row],[Initial Budget]]-Master2017[[#This Row],[Previously Committed Funds]]</f>
        <v>0</v>
      </c>
      <c r="K153" s="263"/>
      <c r="L153" s="263"/>
      <c r="M153" s="268">
        <f>Master2017[[#This Row],[Design $ (Add/Deduct)]]+Master2017[[#This Row],[Construction $ (Add/Ded)]]</f>
        <v>0</v>
      </c>
      <c r="N153" s="266">
        <v>150000</v>
      </c>
      <c r="O153" s="267">
        <v>2020</v>
      </c>
      <c r="P153" s="262" t="s">
        <v>688</v>
      </c>
      <c r="Q153" s="267">
        <f t="shared" si="24"/>
        <v>20</v>
      </c>
      <c r="R153" s="265">
        <v>3</v>
      </c>
      <c r="S153" s="265">
        <f t="shared" si="25"/>
        <v>9</v>
      </c>
      <c r="T153" s="265" t="s">
        <v>33</v>
      </c>
      <c r="U153" s="265">
        <f t="shared" si="26"/>
        <v>1</v>
      </c>
      <c r="V153" s="265" t="s">
        <v>30</v>
      </c>
      <c r="W153" s="265">
        <v>0</v>
      </c>
      <c r="X153" s="265">
        <v>0</v>
      </c>
      <c r="Y153" s="265">
        <v>0</v>
      </c>
      <c r="Z153" s="265">
        <v>0</v>
      </c>
      <c r="AA153" s="265">
        <v>0</v>
      </c>
      <c r="AB153" s="265">
        <v>0</v>
      </c>
      <c r="AC153" s="265">
        <v>0</v>
      </c>
      <c r="AD153" s="264" t="s">
        <v>29</v>
      </c>
      <c r="AE153" s="267">
        <f>VLOOKUP(Master2017[[#This Row],[Elevated Priority]],Epriority,2,)</f>
        <v>0</v>
      </c>
      <c r="AF153" s="265">
        <f>IF(Master2017[[#This Row],[Status]]="Active",Master2017[[#This Row],[Status_Score]],IF(C153="","",Q153+G153+S153+U153+AE153-5))</f>
        <v>1025</v>
      </c>
      <c r="AG153" s="265" t="s">
        <v>758</v>
      </c>
      <c r="AH153" s="265">
        <v>2020</v>
      </c>
      <c r="AI153" s="265">
        <v>2020</v>
      </c>
      <c r="AJ153" s="156"/>
    </row>
    <row r="154" spans="1:36" ht="60" hidden="1" x14ac:dyDescent="0.25">
      <c r="A154" s="198">
        <f t="shared" si="23"/>
        <v>148</v>
      </c>
      <c r="B154" s="181" t="s">
        <v>61</v>
      </c>
      <c r="C154" s="181" t="s">
        <v>498</v>
      </c>
      <c r="D154" s="181" t="s">
        <v>499</v>
      </c>
      <c r="E154" s="181" t="s">
        <v>458</v>
      </c>
      <c r="F154" s="181" t="s">
        <v>29</v>
      </c>
      <c r="G154" s="181">
        <f t="shared" si="21"/>
        <v>0</v>
      </c>
      <c r="H154" s="182"/>
      <c r="I154" s="182"/>
      <c r="J154" s="182">
        <f>Master2017[[#This Row],[Initial Budget]]-Master2017[[#This Row],[Previously Committed Funds]]</f>
        <v>0</v>
      </c>
      <c r="K154" s="182"/>
      <c r="L154" s="182"/>
      <c r="M154" s="188">
        <f>Master2017[[#This Row],[Design $ (Add/Deduct)]]+Master2017[[#This Row],[Construction $ (Add/Ded)]]</f>
        <v>0</v>
      </c>
      <c r="N154" s="186">
        <v>6000000</v>
      </c>
      <c r="O154" s="187">
        <v>2018</v>
      </c>
      <c r="P154" s="181" t="s">
        <v>46</v>
      </c>
      <c r="Q154" s="187">
        <f t="shared" si="24"/>
        <v>50</v>
      </c>
      <c r="R154" s="185">
        <v>2</v>
      </c>
      <c r="S154" s="185">
        <f t="shared" si="25"/>
        <v>6</v>
      </c>
      <c r="T154" s="185" t="s">
        <v>45</v>
      </c>
      <c r="U154" s="185">
        <f t="shared" si="26"/>
        <v>32</v>
      </c>
      <c r="V154" s="185" t="s">
        <v>34</v>
      </c>
      <c r="W154" s="185">
        <v>0</v>
      </c>
      <c r="X154" s="151">
        <v>0</v>
      </c>
      <c r="Y154" s="151">
        <v>-3</v>
      </c>
      <c r="Z154" s="151">
        <v>0</v>
      </c>
      <c r="AA154" s="151">
        <v>-2</v>
      </c>
      <c r="AB154" s="151">
        <v>-3</v>
      </c>
      <c r="AC154" s="151">
        <v>0</v>
      </c>
      <c r="AD154" s="183" t="s">
        <v>29</v>
      </c>
      <c r="AE154" s="187">
        <f>VLOOKUP(Master2017[[#This Row],[Elevated Priority]],Epriority,2,)</f>
        <v>0</v>
      </c>
      <c r="AF154" s="151">
        <f>IF(Master2017[[#This Row],[Status]]="Active",Master2017[[#This Row],[Status_Score]],IF(C154="","",Q154+G154+S154+U154+AE154-5))</f>
        <v>83</v>
      </c>
      <c r="AG154" s="185" t="s">
        <v>717</v>
      </c>
      <c r="AH154" s="185"/>
      <c r="AI154" s="185"/>
      <c r="AJ154" s="181" t="s">
        <v>722</v>
      </c>
    </row>
    <row r="155" spans="1:36" ht="45" hidden="1" x14ac:dyDescent="0.25">
      <c r="A155" s="198">
        <f t="shared" si="23"/>
        <v>149</v>
      </c>
      <c r="B155" s="149" t="s">
        <v>94</v>
      </c>
      <c r="C155" s="149" t="s">
        <v>590</v>
      </c>
      <c r="D155" s="149" t="s">
        <v>591</v>
      </c>
      <c r="E155" s="149"/>
      <c r="F155" s="149" t="s">
        <v>29</v>
      </c>
      <c r="G155" s="149">
        <f t="shared" si="21"/>
        <v>0</v>
      </c>
      <c r="H155" s="162"/>
      <c r="I155" s="162"/>
      <c r="J155" s="162">
        <f>Master2017[[#This Row],[Initial Budget]]-Master2017[[#This Row],[Previously Committed Funds]]</f>
        <v>0</v>
      </c>
      <c r="K155" s="162"/>
      <c r="L155" s="162"/>
      <c r="M155" s="189">
        <f>Master2017[[#This Row],[Design $ (Add/Deduct)]]+Master2017[[#This Row],[Construction $ (Add/Ded)]]</f>
        <v>0</v>
      </c>
      <c r="N155" s="171">
        <v>120000</v>
      </c>
      <c r="O155" s="152">
        <v>2019</v>
      </c>
      <c r="P155" s="149" t="s">
        <v>686</v>
      </c>
      <c r="Q155" s="150">
        <f t="shared" si="24"/>
        <v>60</v>
      </c>
      <c r="R155" s="151">
        <v>17</v>
      </c>
      <c r="S155" s="148">
        <f t="shared" si="25"/>
        <v>25</v>
      </c>
      <c r="T155" s="151" t="s">
        <v>43</v>
      </c>
      <c r="U155" s="151">
        <f t="shared" si="26"/>
        <v>16</v>
      </c>
      <c r="V155" s="151" t="s">
        <v>34</v>
      </c>
      <c r="W155" s="185">
        <v>0</v>
      </c>
      <c r="X155" s="151">
        <v>0</v>
      </c>
      <c r="Y155" s="151">
        <v>0</v>
      </c>
      <c r="Z155" s="151">
        <v>0</v>
      </c>
      <c r="AA155" s="151">
        <v>0</v>
      </c>
      <c r="AB155" s="151">
        <v>0</v>
      </c>
      <c r="AC155" s="151">
        <v>0</v>
      </c>
      <c r="AD155" s="152" t="s">
        <v>29</v>
      </c>
      <c r="AE155" s="157">
        <f>VLOOKUP(Master2017[[#This Row],[Elevated Priority]],Epriority,2,)</f>
        <v>0</v>
      </c>
      <c r="AF155" s="151">
        <f>IF(Master2017[[#This Row],[Status]]="Active",Master2017[[#This Row],[Status_Score]],IF(C155="","",Q155+G155+S155+U155+AE155-5))</f>
        <v>96</v>
      </c>
      <c r="AG155" s="151"/>
      <c r="AH155" s="151"/>
      <c r="AI155" s="151"/>
      <c r="AJ155" s="156"/>
    </row>
    <row r="156" spans="1:36" ht="30" hidden="1" x14ac:dyDescent="0.25">
      <c r="A156" s="198">
        <f t="shared" si="23"/>
        <v>150</v>
      </c>
      <c r="B156" s="149" t="s">
        <v>67</v>
      </c>
      <c r="C156" s="149" t="s">
        <v>618</v>
      </c>
      <c r="D156" s="149" t="s">
        <v>619</v>
      </c>
      <c r="E156" s="149" t="s">
        <v>620</v>
      </c>
      <c r="F156" s="149" t="s">
        <v>29</v>
      </c>
      <c r="G156" s="154">
        <f t="shared" si="21"/>
        <v>0</v>
      </c>
      <c r="H156" s="162"/>
      <c r="I156" s="162"/>
      <c r="J156" s="162">
        <f>Master2017[[#This Row],[Initial Budget]]-Master2017[[#This Row],[Previously Committed Funds]]</f>
        <v>0</v>
      </c>
      <c r="K156" s="162"/>
      <c r="L156" s="162"/>
      <c r="M156" s="189">
        <f>Master2017[[#This Row],[Design $ (Add/Deduct)]]+Master2017[[#This Row],[Construction $ (Add/Ded)]]</f>
        <v>0</v>
      </c>
      <c r="N156" s="171">
        <v>500000</v>
      </c>
      <c r="O156" s="150">
        <v>2019</v>
      </c>
      <c r="P156" s="149" t="s">
        <v>46</v>
      </c>
      <c r="Q156" s="150">
        <f t="shared" si="24"/>
        <v>50</v>
      </c>
      <c r="R156" s="150">
        <v>5</v>
      </c>
      <c r="S156" s="148">
        <f t="shared" si="25"/>
        <v>15</v>
      </c>
      <c r="T156" s="150" t="s">
        <v>43</v>
      </c>
      <c r="U156" s="151">
        <f t="shared" si="26"/>
        <v>16</v>
      </c>
      <c r="V156" s="150" t="s">
        <v>34</v>
      </c>
      <c r="W156" s="185">
        <v>0</v>
      </c>
      <c r="X156" s="151">
        <v>0</v>
      </c>
      <c r="Y156" s="151">
        <v>0</v>
      </c>
      <c r="Z156" s="151">
        <v>0</v>
      </c>
      <c r="AA156" s="151">
        <v>0</v>
      </c>
      <c r="AB156" s="151">
        <v>0</v>
      </c>
      <c r="AC156" s="151">
        <v>0</v>
      </c>
      <c r="AD156" s="150" t="s">
        <v>29</v>
      </c>
      <c r="AE156" s="157">
        <f>VLOOKUP(Master2017[[#This Row],[Elevated Priority]],Epriority,2,)</f>
        <v>0</v>
      </c>
      <c r="AF156" s="151">
        <f>IF(Master2017[[#This Row],[Status]]="Active",Master2017[[#This Row],[Status_Score]],IF(C156="","",Q156+G156+S156+U156+AE156-5))</f>
        <v>76</v>
      </c>
      <c r="AG156" s="151"/>
      <c r="AH156" s="151"/>
      <c r="AI156" s="151"/>
      <c r="AJ156" s="156"/>
    </row>
    <row r="157" spans="1:36" ht="45" x14ac:dyDescent="0.25">
      <c r="A157" s="198">
        <f t="shared" si="23"/>
        <v>151</v>
      </c>
      <c r="B157" s="262" t="s">
        <v>299</v>
      </c>
      <c r="C157" s="262" t="s">
        <v>414</v>
      </c>
      <c r="D157" s="262" t="s">
        <v>414</v>
      </c>
      <c r="E157" s="262" t="s">
        <v>415</v>
      </c>
      <c r="F157" s="262" t="s">
        <v>816</v>
      </c>
      <c r="G157" s="262">
        <f t="shared" si="21"/>
        <v>1000</v>
      </c>
      <c r="H157" s="263"/>
      <c r="I157" s="263"/>
      <c r="J157" s="263">
        <f>Master2017[[#This Row],[Initial Budget]]-Master2017[[#This Row],[Previously Committed Funds]]</f>
        <v>0</v>
      </c>
      <c r="K157" s="263"/>
      <c r="L157" s="263"/>
      <c r="M157" s="268">
        <f>Master2017[[#This Row],[Design $ (Add/Deduct)]]+Master2017[[#This Row],[Construction $ (Add/Ded)]]</f>
        <v>0</v>
      </c>
      <c r="N157" s="263">
        <v>100000</v>
      </c>
      <c r="O157" s="267">
        <v>2018</v>
      </c>
      <c r="P157" s="262" t="s">
        <v>688</v>
      </c>
      <c r="Q157" s="267">
        <f t="shared" si="24"/>
        <v>20</v>
      </c>
      <c r="R157" s="264">
        <v>2</v>
      </c>
      <c r="S157" s="265">
        <f t="shared" si="25"/>
        <v>6</v>
      </c>
      <c r="T157" s="264" t="s">
        <v>41</v>
      </c>
      <c r="U157" s="265">
        <f t="shared" si="26"/>
        <v>4</v>
      </c>
      <c r="V157" s="265" t="s">
        <v>30</v>
      </c>
      <c r="W157" s="265">
        <v>0</v>
      </c>
      <c r="X157" s="265">
        <v>0</v>
      </c>
      <c r="Y157" s="265">
        <v>0</v>
      </c>
      <c r="Z157" s="265">
        <v>0</v>
      </c>
      <c r="AA157" s="265">
        <v>0</v>
      </c>
      <c r="AB157" s="265">
        <v>0</v>
      </c>
      <c r="AC157" s="265">
        <v>0</v>
      </c>
      <c r="AD157" s="264" t="s">
        <v>29</v>
      </c>
      <c r="AE157" s="267">
        <f>VLOOKUP(Master2017[[#This Row],[Elevated Priority]],Epriority,2,)</f>
        <v>0</v>
      </c>
      <c r="AF157" s="265">
        <f>IF(Master2017[[#This Row],[Status]]="Active",Master2017[[#This Row],[Status_Score]],IF(C157="","",Q157+G157+S157+U157+AE157-5))</f>
        <v>1025</v>
      </c>
      <c r="AG157" s="265" t="s">
        <v>718</v>
      </c>
      <c r="AH157" s="265">
        <v>2020</v>
      </c>
      <c r="AI157" s="265">
        <v>2021</v>
      </c>
      <c r="AJ157" s="156"/>
    </row>
    <row r="158" spans="1:36" hidden="1" x14ac:dyDescent="0.25">
      <c r="A158" s="198">
        <f t="shared" si="23"/>
        <v>152</v>
      </c>
      <c r="B158" s="149" t="s">
        <v>94</v>
      </c>
      <c r="C158" s="149" t="s">
        <v>465</v>
      </c>
      <c r="D158" s="149" t="s">
        <v>466</v>
      </c>
      <c r="E158" s="149" t="s">
        <v>467</v>
      </c>
      <c r="F158" s="149" t="s">
        <v>29</v>
      </c>
      <c r="G158" s="149">
        <f t="shared" si="21"/>
        <v>0</v>
      </c>
      <c r="H158" s="162"/>
      <c r="I158" s="162"/>
      <c r="J158" s="162">
        <f>Master2017[[#This Row],[Initial Budget]]-Master2017[[#This Row],[Previously Committed Funds]]</f>
        <v>0</v>
      </c>
      <c r="K158" s="162"/>
      <c r="L158" s="162"/>
      <c r="M158" s="189">
        <f>Master2017[[#This Row],[Design $ (Add/Deduct)]]+Master2017[[#This Row],[Construction $ (Add/Ded)]]</f>
        <v>0</v>
      </c>
      <c r="N158" s="171">
        <v>200000</v>
      </c>
      <c r="O158" s="150">
        <v>2018</v>
      </c>
      <c r="P158" s="149" t="s">
        <v>46</v>
      </c>
      <c r="Q158" s="150">
        <f t="shared" si="24"/>
        <v>50</v>
      </c>
      <c r="R158" s="151">
        <v>30</v>
      </c>
      <c r="S158" s="148">
        <f t="shared" si="25"/>
        <v>31</v>
      </c>
      <c r="T158" s="151" t="s">
        <v>37</v>
      </c>
      <c r="U158" s="151">
        <f t="shared" si="26"/>
        <v>3</v>
      </c>
      <c r="V158" s="151" t="s">
        <v>34</v>
      </c>
      <c r="W158" s="185">
        <v>0</v>
      </c>
      <c r="X158" s="151">
        <v>0</v>
      </c>
      <c r="Y158" s="151">
        <v>0</v>
      </c>
      <c r="Z158" s="151">
        <v>0</v>
      </c>
      <c r="AA158" s="151">
        <v>-2</v>
      </c>
      <c r="AB158" s="151">
        <v>0</v>
      </c>
      <c r="AC158" s="151">
        <v>0</v>
      </c>
      <c r="AD158" s="152" t="s">
        <v>29</v>
      </c>
      <c r="AE158" s="157">
        <f>VLOOKUP(Master2017[[#This Row],[Elevated Priority]],Epriority,2,)</f>
        <v>0</v>
      </c>
      <c r="AF158" s="151">
        <f>IF(Master2017[[#This Row],[Status]]="Active",Master2017[[#This Row],[Status_Score]],IF(C158="","",Q158+G158+S158+U158+AE158-5))</f>
        <v>79</v>
      </c>
      <c r="AG158" s="148"/>
      <c r="AH158" s="148"/>
      <c r="AI158" s="148"/>
      <c r="AJ158" s="156"/>
    </row>
    <row r="159" spans="1:36" ht="30" x14ac:dyDescent="0.25">
      <c r="A159" s="198">
        <f t="shared" si="23"/>
        <v>153</v>
      </c>
      <c r="B159" s="262" t="s">
        <v>94</v>
      </c>
      <c r="C159" s="262" t="s">
        <v>134</v>
      </c>
      <c r="D159" s="262" t="s">
        <v>135</v>
      </c>
      <c r="E159" s="262" t="s">
        <v>878</v>
      </c>
      <c r="F159" s="262" t="s">
        <v>816</v>
      </c>
      <c r="G159" s="262">
        <f t="shared" si="21"/>
        <v>1000</v>
      </c>
      <c r="H159" s="263">
        <v>125000</v>
      </c>
      <c r="I159" s="263"/>
      <c r="J159" s="263">
        <f>Master2017[[#This Row],[Initial Budget]]-Master2017[[#This Row],[Previously Committed Funds]]</f>
        <v>125000</v>
      </c>
      <c r="K159" s="263"/>
      <c r="L159" s="263"/>
      <c r="M159" s="268">
        <f>Master2017[[#This Row],[Design $ (Add/Deduct)]]+Master2017[[#This Row],[Construction $ (Add/Ded)]]</f>
        <v>0</v>
      </c>
      <c r="N159" s="266">
        <v>1500000</v>
      </c>
      <c r="O159" s="267">
        <v>2018</v>
      </c>
      <c r="P159" s="262" t="s">
        <v>36</v>
      </c>
      <c r="Q159" s="267">
        <f t="shared" si="24"/>
        <v>10</v>
      </c>
      <c r="R159" s="265">
        <v>1</v>
      </c>
      <c r="S159" s="265">
        <f t="shared" si="25"/>
        <v>3</v>
      </c>
      <c r="T159" s="265" t="s">
        <v>33</v>
      </c>
      <c r="U159" s="265">
        <f t="shared" si="26"/>
        <v>1</v>
      </c>
      <c r="V159" s="265" t="s">
        <v>30</v>
      </c>
      <c r="W159" s="265">
        <v>0</v>
      </c>
      <c r="X159" s="265">
        <v>0</v>
      </c>
      <c r="Y159" s="265">
        <v>0</v>
      </c>
      <c r="Z159" s="265">
        <v>0</v>
      </c>
      <c r="AA159" s="265">
        <v>0</v>
      </c>
      <c r="AB159" s="265">
        <v>0</v>
      </c>
      <c r="AC159" s="265">
        <v>0</v>
      </c>
      <c r="AD159" s="264" t="s">
        <v>29</v>
      </c>
      <c r="AE159" s="267">
        <f>VLOOKUP(Master2017[[#This Row],[Elevated Priority]],Epriority,2,)</f>
        <v>0</v>
      </c>
      <c r="AF159" s="265">
        <f>IF(Master2017[[#This Row],[Status]]="Active",Master2017[[#This Row],[Status_Score]],IF(C159="","",Q159+G159+S159+U159+AE159-5))</f>
        <v>1009</v>
      </c>
      <c r="AG159" s="265" t="s">
        <v>716</v>
      </c>
      <c r="AH159" s="265">
        <v>2019</v>
      </c>
      <c r="AI159" s="265">
        <v>2021</v>
      </c>
      <c r="AJ159" s="262"/>
    </row>
    <row r="160" spans="1:36" ht="30" hidden="1" x14ac:dyDescent="0.25">
      <c r="A160" s="198">
        <f t="shared" si="23"/>
        <v>154</v>
      </c>
      <c r="B160" s="149" t="s">
        <v>94</v>
      </c>
      <c r="C160" s="149" t="s">
        <v>462</v>
      </c>
      <c r="D160" s="149" t="s">
        <v>463</v>
      </c>
      <c r="E160" s="149" t="s">
        <v>464</v>
      </c>
      <c r="F160" s="149" t="s">
        <v>29</v>
      </c>
      <c r="G160" s="149">
        <f t="shared" si="21"/>
        <v>0</v>
      </c>
      <c r="H160" s="162"/>
      <c r="I160" s="162"/>
      <c r="J160" s="162">
        <f>Master2017[[#This Row],[Initial Budget]]-Master2017[[#This Row],[Previously Committed Funds]]</f>
        <v>0</v>
      </c>
      <c r="K160" s="162"/>
      <c r="L160" s="162"/>
      <c r="M160" s="189">
        <f>Master2017[[#This Row],[Design $ (Add/Deduct)]]+Master2017[[#This Row],[Construction $ (Add/Ded)]]</f>
        <v>0</v>
      </c>
      <c r="N160" s="171">
        <v>400000</v>
      </c>
      <c r="O160" s="150">
        <v>2018</v>
      </c>
      <c r="P160" s="149" t="s">
        <v>46</v>
      </c>
      <c r="Q160" s="150">
        <f t="shared" si="24"/>
        <v>50</v>
      </c>
      <c r="R160" s="151">
        <v>33</v>
      </c>
      <c r="S160" s="148">
        <f t="shared" si="25"/>
        <v>33</v>
      </c>
      <c r="T160" s="151" t="s">
        <v>37</v>
      </c>
      <c r="U160" s="151">
        <f t="shared" si="26"/>
        <v>3</v>
      </c>
      <c r="V160" s="151" t="s">
        <v>34</v>
      </c>
      <c r="W160" s="185">
        <v>0</v>
      </c>
      <c r="X160" s="151">
        <v>0</v>
      </c>
      <c r="Y160" s="151">
        <v>0</v>
      </c>
      <c r="Z160" s="151">
        <v>0</v>
      </c>
      <c r="AA160" s="151">
        <v>0</v>
      </c>
      <c r="AB160" s="151">
        <v>0</v>
      </c>
      <c r="AC160" s="151">
        <v>0</v>
      </c>
      <c r="AD160" s="152" t="s">
        <v>29</v>
      </c>
      <c r="AE160" s="157">
        <f>VLOOKUP(Master2017[[#This Row],[Elevated Priority]],Epriority,2,)</f>
        <v>0</v>
      </c>
      <c r="AF160" s="151">
        <f>IF(Master2017[[#This Row],[Status]]="Active",Master2017[[#This Row],[Status_Score]],IF(C160="","",Q160+G160+S160+U160+AE160-5))</f>
        <v>81</v>
      </c>
      <c r="AG160" s="151"/>
      <c r="AH160" s="151"/>
      <c r="AI160" s="151"/>
      <c r="AJ160" s="156" t="s">
        <v>672</v>
      </c>
    </row>
    <row r="161" spans="1:36" ht="30" x14ac:dyDescent="0.25">
      <c r="A161" s="198">
        <f t="shared" si="23"/>
        <v>155</v>
      </c>
      <c r="B161" s="262" t="s">
        <v>94</v>
      </c>
      <c r="C161" s="262" t="s">
        <v>136</v>
      </c>
      <c r="D161" s="262" t="s">
        <v>137</v>
      </c>
      <c r="E161" s="262" t="s">
        <v>879</v>
      </c>
      <c r="F161" s="262" t="s">
        <v>816</v>
      </c>
      <c r="G161" s="262">
        <f t="shared" si="21"/>
        <v>1000</v>
      </c>
      <c r="H161" s="263">
        <v>125000</v>
      </c>
      <c r="I161" s="263"/>
      <c r="J161" s="263">
        <f>Master2017[[#This Row],[Initial Budget]]-Master2017[[#This Row],[Previously Committed Funds]]</f>
        <v>125000</v>
      </c>
      <c r="K161" s="263"/>
      <c r="L161" s="263"/>
      <c r="M161" s="268">
        <f>Master2017[[#This Row],[Design $ (Add/Deduct)]]+Master2017[[#This Row],[Construction $ (Add/Ded)]]</f>
        <v>0</v>
      </c>
      <c r="N161" s="266">
        <v>1500000</v>
      </c>
      <c r="O161" s="267">
        <v>2018</v>
      </c>
      <c r="P161" s="262" t="s">
        <v>36</v>
      </c>
      <c r="Q161" s="267">
        <f t="shared" si="24"/>
        <v>10</v>
      </c>
      <c r="R161" s="265">
        <v>1</v>
      </c>
      <c r="S161" s="265">
        <f t="shared" si="25"/>
        <v>3</v>
      </c>
      <c r="T161" s="265" t="s">
        <v>33</v>
      </c>
      <c r="U161" s="265">
        <f t="shared" si="26"/>
        <v>1</v>
      </c>
      <c r="V161" s="265" t="s">
        <v>30</v>
      </c>
      <c r="W161" s="265">
        <v>0</v>
      </c>
      <c r="X161" s="265">
        <v>0</v>
      </c>
      <c r="Y161" s="265">
        <v>0</v>
      </c>
      <c r="Z161" s="265">
        <v>0</v>
      </c>
      <c r="AA161" s="265">
        <v>0</v>
      </c>
      <c r="AB161" s="265">
        <v>0</v>
      </c>
      <c r="AC161" s="265">
        <v>0</v>
      </c>
      <c r="AD161" s="264" t="s">
        <v>29</v>
      </c>
      <c r="AE161" s="267">
        <f>VLOOKUP(Master2017[[#This Row],[Elevated Priority]],Epriority,2,)</f>
        <v>0</v>
      </c>
      <c r="AF161" s="265">
        <f>IF(Master2017[[#This Row],[Status]]="Active",Master2017[[#This Row],[Status_Score]],IF(C161="","",Q161+G161+S161+U161+AE161-5))</f>
        <v>1009</v>
      </c>
      <c r="AG161" s="265" t="s">
        <v>716</v>
      </c>
      <c r="AH161" s="265">
        <v>2019</v>
      </c>
      <c r="AI161" s="265">
        <v>2021</v>
      </c>
      <c r="AJ161" s="262"/>
    </row>
    <row r="162" spans="1:36" ht="30" hidden="1" x14ac:dyDescent="0.25">
      <c r="A162" s="198">
        <f t="shared" si="23"/>
        <v>156</v>
      </c>
      <c r="B162" s="33" t="s">
        <v>94</v>
      </c>
      <c r="C162" s="33" t="s">
        <v>503</v>
      </c>
      <c r="D162" s="33" t="s">
        <v>504</v>
      </c>
      <c r="E162" s="33" t="s">
        <v>505</v>
      </c>
      <c r="F162" s="33" t="s">
        <v>29</v>
      </c>
      <c r="G162" s="33">
        <f t="shared" si="21"/>
        <v>0</v>
      </c>
      <c r="H162" s="140"/>
      <c r="I162" s="140"/>
      <c r="J162" s="140">
        <f>Master2017[[#This Row],[Initial Budget]]-Master2017[[#This Row],[Previously Committed Funds]]</f>
        <v>0</v>
      </c>
      <c r="K162" s="140"/>
      <c r="L162" s="140"/>
      <c r="M162" s="142">
        <f>Master2017[[#This Row],[Design $ (Add/Deduct)]]+Master2017[[#This Row],[Construction $ (Add/Ded)]]</f>
        <v>0</v>
      </c>
      <c r="N162" s="125">
        <v>75000</v>
      </c>
      <c r="O162" s="36">
        <v>2018</v>
      </c>
      <c r="P162" s="33" t="s">
        <v>46</v>
      </c>
      <c r="Q162" s="150">
        <f t="shared" si="24"/>
        <v>50</v>
      </c>
      <c r="R162" s="103">
        <v>31</v>
      </c>
      <c r="S162" s="148">
        <f t="shared" si="25"/>
        <v>32</v>
      </c>
      <c r="T162" s="103" t="s">
        <v>41</v>
      </c>
      <c r="U162" s="151">
        <f t="shared" si="26"/>
        <v>4</v>
      </c>
      <c r="V162" s="103" t="s">
        <v>34</v>
      </c>
      <c r="W162" s="185">
        <v>0</v>
      </c>
      <c r="X162" s="151">
        <v>0</v>
      </c>
      <c r="Y162" s="151">
        <v>0</v>
      </c>
      <c r="Z162" s="151">
        <v>0</v>
      </c>
      <c r="AA162" s="151">
        <v>0</v>
      </c>
      <c r="AB162" s="151">
        <v>0</v>
      </c>
      <c r="AC162" s="151">
        <v>0</v>
      </c>
      <c r="AD162" s="34" t="s">
        <v>29</v>
      </c>
      <c r="AE162" s="157">
        <f>VLOOKUP(Master2017[[#This Row],[Elevated Priority]],Epriority,2,)</f>
        <v>0</v>
      </c>
      <c r="AF162" s="151">
        <f>IF(Master2017[[#This Row],[Status]]="Active",Master2017[[#This Row],[Status_Score]],IF(C162="","",Q162+G162+S162+U162+AE162-5))</f>
        <v>81</v>
      </c>
      <c r="AG162" s="151"/>
      <c r="AH162" s="151"/>
      <c r="AI162" s="151"/>
      <c r="AJ162" s="156" t="s">
        <v>672</v>
      </c>
    </row>
    <row r="163" spans="1:36" ht="45" hidden="1" x14ac:dyDescent="0.25">
      <c r="A163" s="198">
        <f t="shared" si="23"/>
        <v>157</v>
      </c>
      <c r="B163" s="149" t="s">
        <v>65</v>
      </c>
      <c r="C163" s="149" t="s">
        <v>509</v>
      </c>
      <c r="D163" s="149" t="s">
        <v>922</v>
      </c>
      <c r="E163" s="149" t="s">
        <v>921</v>
      </c>
      <c r="F163" s="149" t="s">
        <v>29</v>
      </c>
      <c r="G163" s="149">
        <f t="shared" si="21"/>
        <v>0</v>
      </c>
      <c r="H163" s="162"/>
      <c r="I163" s="162"/>
      <c r="J163" s="162">
        <f>Master2017[[#This Row],[Initial Budget]]-Master2017[[#This Row],[Previously Committed Funds]]</f>
        <v>0</v>
      </c>
      <c r="K163" s="162"/>
      <c r="L163" s="162"/>
      <c r="M163" s="189">
        <f>Master2017[[#This Row],[Design $ (Add/Deduct)]]+Master2017[[#This Row],[Construction $ (Add/Ded)]]</f>
        <v>0</v>
      </c>
      <c r="N163" s="171">
        <v>3500000</v>
      </c>
      <c r="O163" s="150">
        <v>2018</v>
      </c>
      <c r="P163" s="149" t="s">
        <v>46</v>
      </c>
      <c r="Q163" s="150">
        <f t="shared" si="24"/>
        <v>50</v>
      </c>
      <c r="R163" s="151">
        <v>7</v>
      </c>
      <c r="S163" s="148">
        <f t="shared" si="25"/>
        <v>20</v>
      </c>
      <c r="T163" s="151" t="s">
        <v>43</v>
      </c>
      <c r="U163" s="151">
        <f t="shared" si="26"/>
        <v>16</v>
      </c>
      <c r="V163" s="151" t="s">
        <v>34</v>
      </c>
      <c r="W163" s="185">
        <v>0</v>
      </c>
      <c r="X163" s="151">
        <v>0</v>
      </c>
      <c r="Y163" s="151">
        <v>0</v>
      </c>
      <c r="Z163" s="151">
        <v>0</v>
      </c>
      <c r="AA163" s="151">
        <v>0</v>
      </c>
      <c r="AB163" s="151">
        <v>0</v>
      </c>
      <c r="AC163" s="151">
        <v>0</v>
      </c>
      <c r="AD163" s="152" t="s">
        <v>29</v>
      </c>
      <c r="AE163" s="157">
        <f>VLOOKUP(Master2017[[#This Row],[Elevated Priority]],Epriority,2,)</f>
        <v>0</v>
      </c>
      <c r="AF163" s="151">
        <f>IF(Master2017[[#This Row],[Status]]="Active",Master2017[[#This Row],[Status_Score]],IF(C163="","",Q163+G163+S163+U163+AE163-5))</f>
        <v>81</v>
      </c>
      <c r="AG163" s="148"/>
      <c r="AH163" s="148"/>
      <c r="AI163" s="148"/>
      <c r="AJ163" s="156"/>
    </row>
    <row r="164" spans="1:36" ht="30" hidden="1" x14ac:dyDescent="0.25">
      <c r="A164" s="198">
        <f t="shared" si="23"/>
        <v>158</v>
      </c>
      <c r="B164" s="156" t="s">
        <v>159</v>
      </c>
      <c r="C164" s="156" t="s">
        <v>575</v>
      </c>
      <c r="D164" s="156" t="s">
        <v>576</v>
      </c>
      <c r="E164" s="156" t="s">
        <v>577</v>
      </c>
      <c r="F164" s="149" t="s">
        <v>29</v>
      </c>
      <c r="G164" s="149">
        <f t="shared" si="21"/>
        <v>0</v>
      </c>
      <c r="H164" s="162"/>
      <c r="I164" s="162"/>
      <c r="J164" s="162">
        <f>Master2017[[#This Row],[Initial Budget]]-Master2017[[#This Row],[Previously Committed Funds]]</f>
        <v>0</v>
      </c>
      <c r="K164" s="162"/>
      <c r="L164" s="162"/>
      <c r="M164" s="189">
        <f>Master2017[[#This Row],[Design $ (Add/Deduct)]]+Master2017[[#This Row],[Construction $ (Add/Ded)]]</f>
        <v>0</v>
      </c>
      <c r="N164" s="171">
        <v>350000</v>
      </c>
      <c r="O164" s="157">
        <v>2018</v>
      </c>
      <c r="P164" s="156" t="s">
        <v>830</v>
      </c>
      <c r="Q164" s="150">
        <f t="shared" si="24"/>
        <v>10</v>
      </c>
      <c r="R164" s="148">
        <v>8</v>
      </c>
      <c r="S164" s="148">
        <f t="shared" si="25"/>
        <v>20</v>
      </c>
      <c r="T164" s="148" t="s">
        <v>47</v>
      </c>
      <c r="U164" s="151">
        <f t="shared" si="26"/>
        <v>64</v>
      </c>
      <c r="V164" s="148" t="s">
        <v>34</v>
      </c>
      <c r="W164" s="185">
        <v>0</v>
      </c>
      <c r="X164" s="151">
        <v>0</v>
      </c>
      <c r="Y164" s="151">
        <v>0</v>
      </c>
      <c r="Z164" s="151">
        <v>0</v>
      </c>
      <c r="AA164" s="151">
        <v>-2</v>
      </c>
      <c r="AB164" s="151">
        <v>0</v>
      </c>
      <c r="AC164" s="151">
        <v>0</v>
      </c>
      <c r="AD164" s="158" t="s">
        <v>29</v>
      </c>
      <c r="AE164" s="157">
        <f>VLOOKUP(Master2017[[#This Row],[Elevated Priority]],Epriority,2,)</f>
        <v>0</v>
      </c>
      <c r="AF164" s="151">
        <f>IF(Master2017[[#This Row],[Status]]="Active",Master2017[[#This Row],[Status_Score]],IF(C164="","",Q164+G164+S164+U164+AE164-5))</f>
        <v>89</v>
      </c>
      <c r="AG164" s="148"/>
      <c r="AH164" s="148"/>
      <c r="AI164" s="148"/>
      <c r="AJ164" s="156"/>
    </row>
    <row r="165" spans="1:36" ht="60" hidden="1" x14ac:dyDescent="0.25">
      <c r="A165" s="198">
        <f t="shared" si="23"/>
        <v>159</v>
      </c>
      <c r="B165" s="155" t="s">
        <v>70</v>
      </c>
      <c r="C165" s="173" t="s">
        <v>486</v>
      </c>
      <c r="D165" s="149" t="s">
        <v>487</v>
      </c>
      <c r="E165" s="149" t="s">
        <v>488</v>
      </c>
      <c r="F165" s="155" t="s">
        <v>29</v>
      </c>
      <c r="G165" s="155">
        <f t="shared" si="21"/>
        <v>0</v>
      </c>
      <c r="H165" s="163"/>
      <c r="I165" s="163"/>
      <c r="J165" s="163">
        <f>Master2017[[#This Row],[Initial Budget]]-Master2017[[#This Row],[Previously Committed Funds]]</f>
        <v>0</v>
      </c>
      <c r="K165" s="163"/>
      <c r="L165" s="163"/>
      <c r="M165" s="191">
        <f>Master2017[[#This Row],[Design $ (Add/Deduct)]]+Master2017[[#This Row],[Construction $ (Add/Ded)]]</f>
        <v>0</v>
      </c>
      <c r="N165" s="171">
        <v>1000000</v>
      </c>
      <c r="O165" s="150">
        <v>2018</v>
      </c>
      <c r="P165" s="149" t="s">
        <v>686</v>
      </c>
      <c r="Q165" s="150">
        <f t="shared" si="24"/>
        <v>60</v>
      </c>
      <c r="R165" s="151">
        <v>6</v>
      </c>
      <c r="S165" s="148">
        <f t="shared" si="25"/>
        <v>18</v>
      </c>
      <c r="T165" s="151" t="s">
        <v>45</v>
      </c>
      <c r="U165" s="151">
        <f t="shared" si="26"/>
        <v>32</v>
      </c>
      <c r="V165" s="151" t="s">
        <v>34</v>
      </c>
      <c r="W165" s="185">
        <v>0</v>
      </c>
      <c r="X165" s="151">
        <v>0</v>
      </c>
      <c r="Y165" s="151">
        <v>0</v>
      </c>
      <c r="Z165" s="151">
        <v>0</v>
      </c>
      <c r="AA165" s="151">
        <v>0</v>
      </c>
      <c r="AB165" s="151">
        <v>0</v>
      </c>
      <c r="AC165" s="151">
        <v>-2</v>
      </c>
      <c r="AD165" s="152" t="s">
        <v>29</v>
      </c>
      <c r="AE165" s="157">
        <f>VLOOKUP(Master2017[[#This Row],[Elevated Priority]],Epriority,2,)</f>
        <v>0</v>
      </c>
      <c r="AF165" s="151">
        <f>IF(Master2017[[#This Row],[Status]]="Active",Master2017[[#This Row],[Status_Score]],IF(C165="","",Q165+G165+S165+U165+AE165-5))</f>
        <v>105</v>
      </c>
      <c r="AG165" s="151"/>
      <c r="AH165" s="151"/>
      <c r="AI165" s="151"/>
      <c r="AJ165" s="156"/>
    </row>
    <row r="166" spans="1:36" ht="60" hidden="1" x14ac:dyDescent="0.25">
      <c r="A166" s="198">
        <f t="shared" si="23"/>
        <v>160</v>
      </c>
      <c r="B166" s="149" t="s">
        <v>71</v>
      </c>
      <c r="C166" s="149" t="s">
        <v>562</v>
      </c>
      <c r="D166" s="149" t="s">
        <v>563</v>
      </c>
      <c r="E166" s="149" t="s">
        <v>564</v>
      </c>
      <c r="F166" s="149" t="s">
        <v>29</v>
      </c>
      <c r="G166" s="149">
        <f t="shared" si="21"/>
        <v>0</v>
      </c>
      <c r="H166" s="162"/>
      <c r="I166" s="162"/>
      <c r="J166" s="162">
        <f>Master2017[[#This Row],[Initial Budget]]-Master2017[[#This Row],[Previously Committed Funds]]</f>
        <v>0</v>
      </c>
      <c r="K166" s="162"/>
      <c r="L166" s="162"/>
      <c r="M166" s="189">
        <f>Master2017[[#This Row],[Design $ (Add/Deduct)]]+Master2017[[#This Row],[Construction $ (Add/Ded)]]</f>
        <v>0</v>
      </c>
      <c r="N166" s="171">
        <v>850000</v>
      </c>
      <c r="O166" s="150">
        <v>2018</v>
      </c>
      <c r="P166" s="149" t="s">
        <v>46</v>
      </c>
      <c r="Q166" s="150">
        <f t="shared" si="24"/>
        <v>50</v>
      </c>
      <c r="R166" s="151">
        <v>4</v>
      </c>
      <c r="S166" s="148">
        <f t="shared" si="25"/>
        <v>12</v>
      </c>
      <c r="T166" s="151" t="s">
        <v>45</v>
      </c>
      <c r="U166" s="151">
        <f t="shared" si="26"/>
        <v>32</v>
      </c>
      <c r="V166" s="151" t="s">
        <v>34</v>
      </c>
      <c r="W166" s="185">
        <v>0</v>
      </c>
      <c r="X166" s="151">
        <v>0</v>
      </c>
      <c r="Y166" s="151">
        <v>0</v>
      </c>
      <c r="Z166" s="151">
        <v>0</v>
      </c>
      <c r="AA166" s="151">
        <v>-2</v>
      </c>
      <c r="AB166" s="151">
        <v>0</v>
      </c>
      <c r="AC166" s="151">
        <v>-1</v>
      </c>
      <c r="AD166" s="152" t="s">
        <v>29</v>
      </c>
      <c r="AE166" s="157">
        <f>VLOOKUP(Master2017[[#This Row],[Elevated Priority]],Epriority,2,)</f>
        <v>0</v>
      </c>
      <c r="AF166" s="151">
        <f>IF(Master2017[[#This Row],[Status]]="Active",Master2017[[#This Row],[Status_Score]],IF(C166="","",Q166+G166+S166+U166+AE166-5))</f>
        <v>89</v>
      </c>
      <c r="AG166" s="148"/>
      <c r="AH166" s="148"/>
      <c r="AI166" s="148"/>
      <c r="AJ166" s="156"/>
    </row>
    <row r="167" spans="1:36" ht="135" hidden="1" x14ac:dyDescent="0.25">
      <c r="A167" s="198">
        <f t="shared" si="23"/>
        <v>161</v>
      </c>
      <c r="B167" s="156" t="s">
        <v>61</v>
      </c>
      <c r="C167" s="156" t="s">
        <v>912</v>
      </c>
      <c r="D167" s="156" t="s">
        <v>913</v>
      </c>
      <c r="E167" s="156" t="s">
        <v>914</v>
      </c>
      <c r="F167" s="149" t="s">
        <v>29</v>
      </c>
      <c r="G167" s="149">
        <f t="shared" si="21"/>
        <v>0</v>
      </c>
      <c r="H167" s="162"/>
      <c r="I167" s="162"/>
      <c r="J167" s="162">
        <f>Master2017[[#This Row],[Initial Budget]]-Master2017[[#This Row],[Previously Committed Funds]]</f>
        <v>0</v>
      </c>
      <c r="K167" s="162"/>
      <c r="L167" s="162"/>
      <c r="M167" s="189">
        <f>Master2017[[#This Row],[Design $ (Add/Deduct)]]+Master2017[[#This Row],[Construction $ (Add/Ded)]]</f>
        <v>0</v>
      </c>
      <c r="N167" s="159">
        <v>30000000</v>
      </c>
      <c r="O167" s="157">
        <v>2018</v>
      </c>
      <c r="P167" s="156" t="s">
        <v>46</v>
      </c>
      <c r="Q167" s="150">
        <f t="shared" si="24"/>
        <v>50</v>
      </c>
      <c r="R167" s="148">
        <v>6</v>
      </c>
      <c r="S167" s="148">
        <f t="shared" si="25"/>
        <v>18</v>
      </c>
      <c r="T167" s="148" t="s">
        <v>45</v>
      </c>
      <c r="U167" s="151">
        <f t="shared" si="26"/>
        <v>32</v>
      </c>
      <c r="V167" s="148" t="s">
        <v>34</v>
      </c>
      <c r="W167" s="185">
        <v>-3</v>
      </c>
      <c r="X167" s="151">
        <v>0</v>
      </c>
      <c r="Y167" s="151">
        <v>0</v>
      </c>
      <c r="Z167" s="151">
        <v>0</v>
      </c>
      <c r="AA167" s="151">
        <v>-2</v>
      </c>
      <c r="AB167" s="151">
        <v>-3</v>
      </c>
      <c r="AC167" s="151">
        <v>0</v>
      </c>
      <c r="AD167" s="158" t="s">
        <v>29</v>
      </c>
      <c r="AE167" s="157">
        <f>VLOOKUP(Master2017[[#This Row],[Elevated Priority]],Epriority,2,)</f>
        <v>0</v>
      </c>
      <c r="AF167" s="151">
        <f>IF(Master2017[[#This Row],[Status]]="Active",Master2017[[#This Row],[Status_Score]],IF(C167="","",Q167+G167+S167+U167+AE167-5))</f>
        <v>95</v>
      </c>
      <c r="AG167" s="148"/>
      <c r="AH167" s="148"/>
      <c r="AI167" s="148"/>
      <c r="AJ167" s="156"/>
    </row>
    <row r="168" spans="1:36" ht="45" hidden="1" x14ac:dyDescent="0.25">
      <c r="A168" s="198">
        <f t="shared" si="23"/>
        <v>162</v>
      </c>
      <c r="B168" s="149" t="s">
        <v>94</v>
      </c>
      <c r="C168" s="149" t="s">
        <v>535</v>
      </c>
      <c r="D168" s="149" t="s">
        <v>536</v>
      </c>
      <c r="E168" s="149" t="s">
        <v>537</v>
      </c>
      <c r="F168" s="149" t="s">
        <v>29</v>
      </c>
      <c r="G168" s="149">
        <f t="shared" si="21"/>
        <v>0</v>
      </c>
      <c r="H168" s="162"/>
      <c r="I168" s="162"/>
      <c r="J168" s="162">
        <f>Master2017[[#This Row],[Initial Budget]]-Master2017[[#This Row],[Previously Committed Funds]]</f>
        <v>0</v>
      </c>
      <c r="K168" s="162"/>
      <c r="L168" s="162"/>
      <c r="M168" s="189">
        <f>Master2017[[#This Row],[Design $ (Add/Deduct)]]+Master2017[[#This Row],[Construction $ (Add/Ded)]]</f>
        <v>0</v>
      </c>
      <c r="N168" s="171">
        <v>500000</v>
      </c>
      <c r="O168" s="150">
        <v>2018</v>
      </c>
      <c r="P168" s="149" t="s">
        <v>46</v>
      </c>
      <c r="Q168" s="150">
        <f t="shared" si="24"/>
        <v>50</v>
      </c>
      <c r="R168" s="151">
        <v>24</v>
      </c>
      <c r="S168" s="148">
        <f t="shared" si="25"/>
        <v>28</v>
      </c>
      <c r="T168" s="151" t="s">
        <v>43</v>
      </c>
      <c r="U168" s="151">
        <f t="shared" si="26"/>
        <v>16</v>
      </c>
      <c r="V168" s="151" t="s">
        <v>34</v>
      </c>
      <c r="W168" s="185">
        <v>-1</v>
      </c>
      <c r="X168" s="151">
        <v>0</v>
      </c>
      <c r="Y168" s="151">
        <v>0</v>
      </c>
      <c r="Z168" s="151">
        <v>0</v>
      </c>
      <c r="AA168" s="151">
        <v>0</v>
      </c>
      <c r="AB168" s="151">
        <v>0</v>
      </c>
      <c r="AC168" s="151">
        <v>0</v>
      </c>
      <c r="AD168" s="152" t="s">
        <v>29</v>
      </c>
      <c r="AE168" s="157">
        <f>VLOOKUP(Master2017[[#This Row],[Elevated Priority]],Epriority,2,)</f>
        <v>0</v>
      </c>
      <c r="AF168" s="151">
        <f>IF(Master2017[[#This Row],[Status]]="Active",Master2017[[#This Row],[Status_Score]],IF(C168="","",Q168+G168+S168+U168+AE168-5))</f>
        <v>89</v>
      </c>
      <c r="AG168" s="148"/>
      <c r="AH168" s="148"/>
      <c r="AI168" s="148"/>
      <c r="AJ168" s="156"/>
    </row>
    <row r="169" spans="1:36" ht="30" hidden="1" x14ac:dyDescent="0.25">
      <c r="A169" s="198">
        <f t="shared" si="23"/>
        <v>163</v>
      </c>
      <c r="B169" s="149" t="s">
        <v>65</v>
      </c>
      <c r="C169" s="149" t="s">
        <v>550</v>
      </c>
      <c r="D169" s="149" t="s">
        <v>551</v>
      </c>
      <c r="E169" s="149"/>
      <c r="F169" s="149" t="s">
        <v>29</v>
      </c>
      <c r="G169" s="149">
        <f t="shared" si="21"/>
        <v>0</v>
      </c>
      <c r="H169" s="162"/>
      <c r="I169" s="162"/>
      <c r="J169" s="162">
        <f>Master2017[[#This Row],[Initial Budget]]-Master2017[[#This Row],[Previously Committed Funds]]</f>
        <v>0</v>
      </c>
      <c r="K169" s="162"/>
      <c r="L169" s="162"/>
      <c r="M169" s="189">
        <f>Master2017[[#This Row],[Design $ (Add/Deduct)]]+Master2017[[#This Row],[Construction $ (Add/Ded)]]</f>
        <v>0</v>
      </c>
      <c r="N169" s="171">
        <v>2000000</v>
      </c>
      <c r="O169" s="150">
        <v>2018</v>
      </c>
      <c r="P169" s="149" t="s">
        <v>46</v>
      </c>
      <c r="Q169" s="150">
        <f t="shared" si="24"/>
        <v>50</v>
      </c>
      <c r="R169" s="151">
        <v>10</v>
      </c>
      <c r="S169" s="148">
        <f t="shared" si="25"/>
        <v>21</v>
      </c>
      <c r="T169" s="151" t="s">
        <v>45</v>
      </c>
      <c r="U169" s="151">
        <f t="shared" si="26"/>
        <v>32</v>
      </c>
      <c r="V169" s="151" t="s">
        <v>34</v>
      </c>
      <c r="W169" s="185">
        <v>-3</v>
      </c>
      <c r="X169" s="151">
        <v>0</v>
      </c>
      <c r="Y169" s="151">
        <v>0</v>
      </c>
      <c r="Z169" s="151">
        <v>-3</v>
      </c>
      <c r="AA169" s="151">
        <v>-2</v>
      </c>
      <c r="AB169" s="151">
        <v>-1</v>
      </c>
      <c r="AC169" s="151">
        <v>0</v>
      </c>
      <c r="AD169" s="152" t="s">
        <v>29</v>
      </c>
      <c r="AE169" s="157">
        <f>VLOOKUP(Master2017[[#This Row],[Elevated Priority]],Epriority,2,)</f>
        <v>0</v>
      </c>
      <c r="AF169" s="151">
        <f>IF(Master2017[[#This Row],[Status]]="Active",Master2017[[#This Row],[Status_Score]],IF(C169="","",Q169+G169+S169+U169+AE169-5))</f>
        <v>98</v>
      </c>
      <c r="AG169" s="148"/>
      <c r="AH169" s="148"/>
      <c r="AI169" s="148"/>
      <c r="AJ169" s="156"/>
    </row>
    <row r="170" spans="1:36" ht="45" x14ac:dyDescent="0.25">
      <c r="A170" s="198">
        <f t="shared" si="23"/>
        <v>164</v>
      </c>
      <c r="B170" s="262" t="s">
        <v>79</v>
      </c>
      <c r="C170" s="262" t="s">
        <v>864</v>
      </c>
      <c r="D170" s="262" t="s">
        <v>862</v>
      </c>
      <c r="E170" s="262" t="s">
        <v>863</v>
      </c>
      <c r="F170" s="262" t="s">
        <v>816</v>
      </c>
      <c r="G170" s="272">
        <f t="shared" si="21"/>
        <v>1000</v>
      </c>
      <c r="H170" s="263"/>
      <c r="I170" s="263"/>
      <c r="J170" s="263">
        <f>Master2017[[#This Row],[Initial Budget]]-Master2017[[#This Row],[Previously Committed Funds]]</f>
        <v>0</v>
      </c>
      <c r="K170" s="263"/>
      <c r="L170" s="263"/>
      <c r="M170" s="268">
        <f>Master2017[[#This Row],[Design $ (Add/Deduct)]]+Master2017[[#This Row],[Construction $ (Add/Ded)]]</f>
        <v>0</v>
      </c>
      <c r="N170" s="266">
        <v>175000</v>
      </c>
      <c r="O170" s="267">
        <v>2020</v>
      </c>
      <c r="P170" s="262" t="s">
        <v>830</v>
      </c>
      <c r="Q170" s="267">
        <f t="shared" si="24"/>
        <v>10</v>
      </c>
      <c r="R170" s="265">
        <v>1</v>
      </c>
      <c r="S170" s="265">
        <f t="shared" si="25"/>
        <v>3</v>
      </c>
      <c r="T170" s="265" t="s">
        <v>33</v>
      </c>
      <c r="U170" s="265">
        <f t="shared" si="26"/>
        <v>1</v>
      </c>
      <c r="V170" s="265" t="s">
        <v>30</v>
      </c>
      <c r="W170" s="265">
        <v>0</v>
      </c>
      <c r="X170" s="265">
        <v>0</v>
      </c>
      <c r="Y170" s="265">
        <v>0</v>
      </c>
      <c r="Z170" s="265">
        <v>0</v>
      </c>
      <c r="AA170" s="265">
        <v>0</v>
      </c>
      <c r="AB170" s="265">
        <v>0</v>
      </c>
      <c r="AC170" s="265">
        <v>0</v>
      </c>
      <c r="AD170" s="264" t="s">
        <v>31</v>
      </c>
      <c r="AE170" s="267">
        <f>VLOOKUP(Master2017[[#This Row],[Elevated Priority]],Epriority,2,)</f>
        <v>-25</v>
      </c>
      <c r="AF170" s="265">
        <f>IF(Master2017[[#This Row],[Status]]="Active",Master2017[[#This Row],[Status_Score]],IF(C170="","",Q170+G170+S170+U170+AE170-5))</f>
        <v>984</v>
      </c>
      <c r="AG170" s="265"/>
      <c r="AH170" s="265">
        <v>2020</v>
      </c>
      <c r="AI170" s="265">
        <v>2020</v>
      </c>
      <c r="AJ170" s="156"/>
    </row>
    <row r="171" spans="1:36" ht="30" x14ac:dyDescent="0.25">
      <c r="A171" s="198">
        <f t="shared" si="23"/>
        <v>165</v>
      </c>
      <c r="B171" s="262" t="s">
        <v>646</v>
      </c>
      <c r="C171" s="262" t="s">
        <v>956</v>
      </c>
      <c r="D171" s="262" t="s">
        <v>957</v>
      </c>
      <c r="E171" s="262" t="s">
        <v>958</v>
      </c>
      <c r="F171" s="262" t="s">
        <v>816</v>
      </c>
      <c r="G171" s="272">
        <f t="shared" si="21"/>
        <v>1000</v>
      </c>
      <c r="H171" s="263"/>
      <c r="I171" s="263"/>
      <c r="J171" s="263">
        <f>Master2017[[#This Row],[Initial Budget]]-Master2017[[#This Row],[Previously Committed Funds]]</f>
        <v>0</v>
      </c>
      <c r="K171" s="263"/>
      <c r="L171" s="263"/>
      <c r="M171" s="268">
        <f>Master2017[[#This Row],[Design $ (Add/Deduct)]]+Master2017[[#This Row],[Construction $ (Add/Ded)]]</f>
        <v>0</v>
      </c>
      <c r="N171" s="266">
        <v>150000</v>
      </c>
      <c r="O171" s="267">
        <v>2020</v>
      </c>
      <c r="P171" s="262" t="s">
        <v>32</v>
      </c>
      <c r="Q171" s="267">
        <f t="shared" si="24"/>
        <v>1</v>
      </c>
      <c r="R171" s="264">
        <v>1</v>
      </c>
      <c r="S171" s="265">
        <f t="shared" si="25"/>
        <v>3</v>
      </c>
      <c r="T171" s="264" t="s">
        <v>33</v>
      </c>
      <c r="U171" s="265">
        <f t="shared" si="26"/>
        <v>1</v>
      </c>
      <c r="V171" s="265" t="s">
        <v>30</v>
      </c>
      <c r="W171" s="265">
        <v>0</v>
      </c>
      <c r="X171" s="265">
        <v>0</v>
      </c>
      <c r="Y171" s="265">
        <v>0</v>
      </c>
      <c r="Z171" s="265">
        <v>0</v>
      </c>
      <c r="AA171" s="265">
        <v>0</v>
      </c>
      <c r="AB171" s="265">
        <v>0</v>
      </c>
      <c r="AC171" s="265">
        <v>0</v>
      </c>
      <c r="AD171" s="264" t="s">
        <v>29</v>
      </c>
      <c r="AE171" s="267">
        <f>VLOOKUP(Master2017[[#This Row],[Elevated Priority]],Epriority,2,)</f>
        <v>0</v>
      </c>
      <c r="AF171" s="267">
        <f>IF(Master2017[[#This Row],[Status]]="Active",Master2017[[#This Row],[Status_Score]],IF(C171="","",Q171+G171+S171+U171+AE171-5))</f>
        <v>1000</v>
      </c>
      <c r="AG171" s="265"/>
      <c r="AH171" s="265">
        <v>2020</v>
      </c>
      <c r="AI171" s="265">
        <v>2021</v>
      </c>
      <c r="AJ171" s="156"/>
    </row>
    <row r="172" spans="1:36" ht="120" x14ac:dyDescent="0.25">
      <c r="A172" s="198">
        <f t="shared" si="23"/>
        <v>166</v>
      </c>
      <c r="B172" s="262" t="s">
        <v>73</v>
      </c>
      <c r="C172" s="262" t="s">
        <v>107</v>
      </c>
      <c r="D172" s="262" t="s">
        <v>108</v>
      </c>
      <c r="E172" s="262" t="s">
        <v>883</v>
      </c>
      <c r="F172" s="262" t="s">
        <v>816</v>
      </c>
      <c r="G172" s="262">
        <f t="shared" si="21"/>
        <v>1000</v>
      </c>
      <c r="H172" s="263"/>
      <c r="I172" s="263"/>
      <c r="J172" s="263">
        <f>Master2017[[#This Row],[Initial Budget]]-Master2017[[#This Row],[Previously Committed Funds]]</f>
        <v>0</v>
      </c>
      <c r="K172" s="263"/>
      <c r="L172" s="263"/>
      <c r="M172" s="268">
        <f>Master2017[[#This Row],[Design $ (Add/Deduct)]]+Master2017[[#This Row],[Construction $ (Add/Ded)]]</f>
        <v>0</v>
      </c>
      <c r="N172" s="266">
        <v>25000</v>
      </c>
      <c r="O172" s="267">
        <v>2018</v>
      </c>
      <c r="P172" s="262" t="s">
        <v>32</v>
      </c>
      <c r="Q172" s="267">
        <f t="shared" si="24"/>
        <v>1</v>
      </c>
      <c r="R172" s="265">
        <v>1</v>
      </c>
      <c r="S172" s="265">
        <f t="shared" si="25"/>
        <v>3</v>
      </c>
      <c r="T172" s="265" t="s">
        <v>41</v>
      </c>
      <c r="U172" s="265">
        <f t="shared" si="26"/>
        <v>4</v>
      </c>
      <c r="V172" s="265" t="s">
        <v>30</v>
      </c>
      <c r="W172" s="265">
        <v>0</v>
      </c>
      <c r="X172" s="265">
        <v>0</v>
      </c>
      <c r="Y172" s="265">
        <v>0</v>
      </c>
      <c r="Z172" s="265">
        <v>-2.5</v>
      </c>
      <c r="AA172" s="265">
        <v>0</v>
      </c>
      <c r="AB172" s="265">
        <v>0</v>
      </c>
      <c r="AC172" s="265">
        <v>0</v>
      </c>
      <c r="AD172" s="264" t="s">
        <v>29</v>
      </c>
      <c r="AE172" s="267">
        <f>VLOOKUP(Master2017[[#This Row],[Elevated Priority]],Epriority,2,)</f>
        <v>0</v>
      </c>
      <c r="AF172" s="265">
        <f>IF(Master2017[[#This Row],[Status]]="Active",Master2017[[#This Row],[Status_Score]],IF(C172="","",Q172+G172+S172+U172+AE172-5))</f>
        <v>1003</v>
      </c>
      <c r="AG172" s="265"/>
      <c r="AH172" s="265">
        <v>2020</v>
      </c>
      <c r="AI172" s="265">
        <v>2021</v>
      </c>
      <c r="AJ172" s="156"/>
    </row>
    <row r="173" spans="1:36" ht="45" x14ac:dyDescent="0.25">
      <c r="A173" s="198">
        <f t="shared" si="23"/>
        <v>167</v>
      </c>
      <c r="B173" s="262" t="s">
        <v>61</v>
      </c>
      <c r="C173" s="262" t="s">
        <v>972</v>
      </c>
      <c r="D173" s="262" t="s">
        <v>947</v>
      </c>
      <c r="E173" s="262" t="s">
        <v>948</v>
      </c>
      <c r="F173" s="262" t="s">
        <v>816</v>
      </c>
      <c r="G173" s="272">
        <f t="shared" si="21"/>
        <v>1000</v>
      </c>
      <c r="H173" s="263"/>
      <c r="I173" s="263"/>
      <c r="J173" s="263">
        <f>Master2017[[#This Row],[Initial Budget]]-Master2017[[#This Row],[Previously Committed Funds]]</f>
        <v>0</v>
      </c>
      <c r="K173" s="263"/>
      <c r="L173" s="263"/>
      <c r="M173" s="268">
        <f>Master2017[[#This Row],[Design $ (Add/Deduct)]]+Master2017[[#This Row],[Construction $ (Add/Ded)]]</f>
        <v>0</v>
      </c>
      <c r="N173" s="266">
        <v>125000</v>
      </c>
      <c r="O173" s="267">
        <v>2020</v>
      </c>
      <c r="P173" s="262" t="s">
        <v>32</v>
      </c>
      <c r="Q173" s="267">
        <f t="shared" si="24"/>
        <v>1</v>
      </c>
      <c r="R173" s="265">
        <v>1</v>
      </c>
      <c r="S173" s="265">
        <f t="shared" si="25"/>
        <v>3</v>
      </c>
      <c r="T173" s="265" t="s">
        <v>37</v>
      </c>
      <c r="U173" s="265">
        <f t="shared" si="26"/>
        <v>3</v>
      </c>
      <c r="V173" s="265" t="s">
        <v>30</v>
      </c>
      <c r="W173" s="185">
        <v>0</v>
      </c>
      <c r="X173" s="265">
        <v>0</v>
      </c>
      <c r="Y173" s="265">
        <v>0</v>
      </c>
      <c r="Z173" s="265">
        <v>0</v>
      </c>
      <c r="AA173" s="265">
        <v>0</v>
      </c>
      <c r="AB173" s="265">
        <v>0</v>
      </c>
      <c r="AC173" s="265">
        <v>0</v>
      </c>
      <c r="AD173" s="264" t="s">
        <v>29</v>
      </c>
      <c r="AE173" s="267">
        <f>VLOOKUP(Master2017[[#This Row],[Elevated Priority]],Epriority,2,)</f>
        <v>0</v>
      </c>
      <c r="AF173" s="265">
        <f>IF(Master2017[[#This Row],[Status]]="Active",Master2017[[#This Row],[Status_Score]],IF(C173="","",Q173+G173+S173+U173+AE173-5))</f>
        <v>1002</v>
      </c>
      <c r="AG173" s="265"/>
      <c r="AH173" s="265">
        <v>2020</v>
      </c>
      <c r="AI173" s="265">
        <v>2021</v>
      </c>
      <c r="AJ173" s="156"/>
    </row>
    <row r="174" spans="1:36" ht="45" hidden="1" x14ac:dyDescent="0.25">
      <c r="A174" s="198">
        <f t="shared" si="23"/>
        <v>168</v>
      </c>
      <c r="B174" s="149" t="s">
        <v>67</v>
      </c>
      <c r="C174" s="149" t="s">
        <v>615</v>
      </c>
      <c r="D174" s="149" t="s">
        <v>917</v>
      </c>
      <c r="E174" s="149" t="s">
        <v>617</v>
      </c>
      <c r="F174" s="149" t="s">
        <v>29</v>
      </c>
      <c r="G174" s="171">
        <f t="shared" si="21"/>
        <v>0</v>
      </c>
      <c r="H174" s="171"/>
      <c r="I174" s="171"/>
      <c r="J174" s="171">
        <f>Master2017[[#This Row],[Initial Budget]]-Master2017[[#This Row],[Previously Committed Funds]]</f>
        <v>0</v>
      </c>
      <c r="K174" s="171"/>
      <c r="L174" s="171"/>
      <c r="M174" s="192">
        <f>Master2017[[#This Row],[Design $ (Add/Deduct)]]+Master2017[[#This Row],[Construction $ (Add/Ded)]]</f>
        <v>0</v>
      </c>
      <c r="N174" s="171">
        <v>1500000</v>
      </c>
      <c r="O174" s="150">
        <v>2019</v>
      </c>
      <c r="P174" s="149" t="s">
        <v>46</v>
      </c>
      <c r="Q174" s="150">
        <f t="shared" si="24"/>
        <v>50</v>
      </c>
      <c r="R174" s="150">
        <v>9</v>
      </c>
      <c r="S174" s="148">
        <f t="shared" si="25"/>
        <v>21</v>
      </c>
      <c r="T174" s="150" t="s">
        <v>45</v>
      </c>
      <c r="U174" s="151">
        <f t="shared" si="26"/>
        <v>32</v>
      </c>
      <c r="V174" s="150" t="s">
        <v>34</v>
      </c>
      <c r="W174" s="185">
        <v>0</v>
      </c>
      <c r="X174" s="151">
        <v>0</v>
      </c>
      <c r="Y174" s="151">
        <v>0</v>
      </c>
      <c r="Z174" s="151">
        <v>0</v>
      </c>
      <c r="AA174" s="151">
        <v>0</v>
      </c>
      <c r="AB174" s="151">
        <v>0</v>
      </c>
      <c r="AC174" s="151">
        <v>0</v>
      </c>
      <c r="AD174" s="150" t="s">
        <v>29</v>
      </c>
      <c r="AE174" s="157">
        <f>VLOOKUP(Master2017[[#This Row],[Elevated Priority]],Epriority,2,)</f>
        <v>0</v>
      </c>
      <c r="AF174" s="151">
        <f>IF(Master2017[[#This Row],[Status]]="Active",Master2017[[#This Row],[Status_Score]],IF(C174="","",Q174+G174+S174+U174+AE174-5))</f>
        <v>98</v>
      </c>
      <c r="AG174" s="151"/>
      <c r="AH174" s="151"/>
      <c r="AI174" s="151"/>
      <c r="AJ174" s="156"/>
    </row>
    <row r="175" spans="1:36" ht="75" hidden="1" x14ac:dyDescent="0.25">
      <c r="A175" s="198">
        <f t="shared" si="23"/>
        <v>169</v>
      </c>
      <c r="B175" s="149" t="s">
        <v>61</v>
      </c>
      <c r="C175" s="149" t="s">
        <v>519</v>
      </c>
      <c r="D175" s="149" t="s">
        <v>520</v>
      </c>
      <c r="E175" s="149" t="s">
        <v>521</v>
      </c>
      <c r="F175" s="149" t="s">
        <v>29</v>
      </c>
      <c r="G175" s="149">
        <f t="shared" si="21"/>
        <v>0</v>
      </c>
      <c r="H175" s="162"/>
      <c r="I175" s="162"/>
      <c r="J175" s="162">
        <f>Master2017[[#This Row],[Initial Budget]]-Master2017[[#This Row],[Previously Committed Funds]]</f>
        <v>0</v>
      </c>
      <c r="K175" s="162"/>
      <c r="L175" s="162"/>
      <c r="M175" s="189">
        <f>Master2017[[#This Row],[Design $ (Add/Deduct)]]+Master2017[[#This Row],[Construction $ (Add/Ded)]]</f>
        <v>0</v>
      </c>
      <c r="N175" s="171">
        <v>22000000</v>
      </c>
      <c r="O175" s="150">
        <v>2018</v>
      </c>
      <c r="P175" s="149" t="s">
        <v>46</v>
      </c>
      <c r="Q175" s="150">
        <f t="shared" si="24"/>
        <v>50</v>
      </c>
      <c r="R175" s="151">
        <v>3</v>
      </c>
      <c r="S175" s="148">
        <f t="shared" si="25"/>
        <v>9</v>
      </c>
      <c r="T175" s="151" t="s">
        <v>47</v>
      </c>
      <c r="U175" s="151">
        <f t="shared" si="26"/>
        <v>64</v>
      </c>
      <c r="V175" s="151" t="s">
        <v>34</v>
      </c>
      <c r="W175" s="185">
        <v>-7</v>
      </c>
      <c r="X175" s="151">
        <v>0</v>
      </c>
      <c r="Y175" s="151">
        <v>0</v>
      </c>
      <c r="Z175" s="151">
        <v>0</v>
      </c>
      <c r="AA175" s="151">
        <v>0</v>
      </c>
      <c r="AB175" s="151">
        <v>-3</v>
      </c>
      <c r="AC175" s="151">
        <v>0</v>
      </c>
      <c r="AD175" s="152" t="s">
        <v>29</v>
      </c>
      <c r="AE175" s="157">
        <f>VLOOKUP(Master2017[[#This Row],[Elevated Priority]],Epriority,2,)</f>
        <v>0</v>
      </c>
      <c r="AF175" s="151">
        <f>IF(Master2017[[#This Row],[Status]]="Active",Master2017[[#This Row],[Status_Score]],IF(C175="","",Q175+G175+S175+U175+AE175-5))</f>
        <v>118</v>
      </c>
      <c r="AG175" s="148"/>
      <c r="AH175" s="148"/>
      <c r="AI175" s="148"/>
      <c r="AJ175" s="156"/>
    </row>
    <row r="176" spans="1:36" ht="165" hidden="1" x14ac:dyDescent="0.25">
      <c r="A176" s="198">
        <f t="shared" si="23"/>
        <v>170</v>
      </c>
      <c r="B176" s="149" t="s">
        <v>143</v>
      </c>
      <c r="C176" s="149" t="s">
        <v>372</v>
      </c>
      <c r="D176" s="149" t="s">
        <v>765</v>
      </c>
      <c r="E176" s="149" t="s">
        <v>766</v>
      </c>
      <c r="F176" s="149" t="s">
        <v>29</v>
      </c>
      <c r="G176" s="149">
        <f t="shared" si="21"/>
        <v>0</v>
      </c>
      <c r="H176" s="162"/>
      <c r="I176" s="162"/>
      <c r="J176" s="162">
        <f>Master2017[[#This Row],[Initial Budget]]-Master2017[[#This Row],[Previously Committed Funds]]</f>
        <v>0</v>
      </c>
      <c r="K176" s="162"/>
      <c r="L176" s="162"/>
      <c r="M176" s="189">
        <f>Master2017[[#This Row],[Design $ (Add/Deduct)]]+Master2017[[#This Row],[Construction $ (Add/Ded)]]</f>
        <v>0</v>
      </c>
      <c r="N176" s="162">
        <v>15000000</v>
      </c>
      <c r="O176" s="150">
        <v>2018</v>
      </c>
      <c r="P176" s="149" t="s">
        <v>46</v>
      </c>
      <c r="Q176" s="150">
        <f t="shared" si="24"/>
        <v>50</v>
      </c>
      <c r="R176" s="152">
        <v>6</v>
      </c>
      <c r="S176" s="148">
        <f t="shared" si="25"/>
        <v>18</v>
      </c>
      <c r="T176" s="152" t="s">
        <v>47</v>
      </c>
      <c r="U176" s="151">
        <f t="shared" si="26"/>
        <v>64</v>
      </c>
      <c r="V176" s="151" t="s">
        <v>34</v>
      </c>
      <c r="W176" s="151">
        <v>0</v>
      </c>
      <c r="X176" s="151">
        <v>0</v>
      </c>
      <c r="Y176" s="151">
        <v>-1</v>
      </c>
      <c r="Z176" s="151">
        <v>0</v>
      </c>
      <c r="AA176" s="151">
        <v>0</v>
      </c>
      <c r="AB176" s="151">
        <v>0</v>
      </c>
      <c r="AC176" s="151">
        <v>0</v>
      </c>
      <c r="AD176" s="152" t="s">
        <v>29</v>
      </c>
      <c r="AE176" s="157">
        <f>VLOOKUP(Master2017[[#This Row],[Elevated Priority]],Epriority,2,)</f>
        <v>0</v>
      </c>
      <c r="AF176" s="151">
        <f>IF(Master2017[[#This Row],[Status]]="Active",Master2017[[#This Row],[Status_Score]],IF(C176="","",Q176+G176+S176+U176+AE176-5))</f>
        <v>127</v>
      </c>
      <c r="AG176" s="148"/>
      <c r="AH176" s="148"/>
      <c r="AI176" s="148"/>
      <c r="AJ176" s="156"/>
    </row>
    <row r="177" spans="1:63" ht="30" hidden="1" x14ac:dyDescent="0.25">
      <c r="A177" s="198">
        <f t="shared" si="23"/>
        <v>171</v>
      </c>
      <c r="B177" s="172" t="s">
        <v>65</v>
      </c>
      <c r="C177" s="169" t="s">
        <v>578</v>
      </c>
      <c r="D177" s="169" t="s">
        <v>579</v>
      </c>
      <c r="E177" s="169" t="s">
        <v>580</v>
      </c>
      <c r="F177" s="149" t="s">
        <v>29</v>
      </c>
      <c r="G177" s="149">
        <f t="shared" si="21"/>
        <v>0</v>
      </c>
      <c r="H177" s="162"/>
      <c r="I177" s="162"/>
      <c r="J177" s="162">
        <f>Master2017[[#This Row],[Initial Budget]]-Master2017[[#This Row],[Previously Committed Funds]]</f>
        <v>0</v>
      </c>
      <c r="K177" s="162"/>
      <c r="L177" s="162"/>
      <c r="M177" s="189">
        <f>Master2017[[#This Row],[Design $ (Add/Deduct)]]+Master2017[[#This Row],[Construction $ (Add/Ded)]]</f>
        <v>0</v>
      </c>
      <c r="N177" s="159">
        <v>100000</v>
      </c>
      <c r="O177" s="157">
        <v>2018</v>
      </c>
      <c r="P177" s="156" t="s">
        <v>46</v>
      </c>
      <c r="Q177" s="150">
        <f t="shared" si="24"/>
        <v>50</v>
      </c>
      <c r="R177" s="148">
        <v>15</v>
      </c>
      <c r="S177" s="148">
        <f t="shared" si="25"/>
        <v>24</v>
      </c>
      <c r="T177" s="148" t="s">
        <v>47</v>
      </c>
      <c r="U177" s="151">
        <f t="shared" si="26"/>
        <v>64</v>
      </c>
      <c r="V177" s="148" t="s">
        <v>34</v>
      </c>
      <c r="W177" s="151">
        <v>0</v>
      </c>
      <c r="X177" s="151">
        <v>0</v>
      </c>
      <c r="Y177" s="151">
        <v>0</v>
      </c>
      <c r="Z177" s="151">
        <v>0</v>
      </c>
      <c r="AA177" s="151">
        <v>0</v>
      </c>
      <c r="AB177" s="151">
        <v>0</v>
      </c>
      <c r="AC177" s="151">
        <v>0</v>
      </c>
      <c r="AD177" s="158" t="s">
        <v>29</v>
      </c>
      <c r="AE177" s="157">
        <f>VLOOKUP(Master2017[[#This Row],[Elevated Priority]],Epriority,2,)</f>
        <v>0</v>
      </c>
      <c r="AF177" s="151">
        <f>IF(Master2017[[#This Row],[Status]]="Active",Master2017[[#This Row],[Status_Score]],IF(C177="","",Q177+G177+S177+U177+AE177-5))</f>
        <v>133</v>
      </c>
      <c r="AG177" s="148"/>
      <c r="AH177" s="148"/>
      <c r="AI177" s="148"/>
      <c r="AJ177" s="156"/>
    </row>
    <row r="178" spans="1:63" ht="45" x14ac:dyDescent="0.25">
      <c r="A178" s="198">
        <f t="shared" si="23"/>
        <v>172</v>
      </c>
      <c r="B178" s="273" t="s">
        <v>923</v>
      </c>
      <c r="C178" s="262" t="s">
        <v>786</v>
      </c>
      <c r="D178" s="262" t="s">
        <v>787</v>
      </c>
      <c r="E178" s="262" t="s">
        <v>204</v>
      </c>
      <c r="F178" s="262" t="s">
        <v>816</v>
      </c>
      <c r="G178" s="262">
        <f t="shared" si="21"/>
        <v>1000</v>
      </c>
      <c r="H178" s="263"/>
      <c r="I178" s="263"/>
      <c r="J178" s="263">
        <f>Master2017[[#This Row],[Initial Budget]]-Master2017[[#This Row],[Previously Committed Funds]]</f>
        <v>0</v>
      </c>
      <c r="K178" s="263"/>
      <c r="L178" s="263"/>
      <c r="M178" s="268">
        <f>Master2017[[#This Row],[Design $ (Add/Deduct)]]+Master2017[[#This Row],[Construction $ (Add/Ded)]]</f>
        <v>0</v>
      </c>
      <c r="N178" s="266">
        <v>250000</v>
      </c>
      <c r="O178" s="267">
        <v>2018</v>
      </c>
      <c r="P178" s="262" t="s">
        <v>688</v>
      </c>
      <c r="Q178" s="267">
        <f t="shared" si="24"/>
        <v>20</v>
      </c>
      <c r="R178" s="265">
        <v>4</v>
      </c>
      <c r="S178" s="265">
        <f t="shared" si="25"/>
        <v>12</v>
      </c>
      <c r="T178" s="265" t="s">
        <v>41</v>
      </c>
      <c r="U178" s="265">
        <f t="shared" si="26"/>
        <v>4</v>
      </c>
      <c r="V178" s="265" t="s">
        <v>30</v>
      </c>
      <c r="W178" s="265">
        <v>0</v>
      </c>
      <c r="X178" s="265">
        <v>0</v>
      </c>
      <c r="Y178" s="265">
        <v>0</v>
      </c>
      <c r="Z178" s="265">
        <v>0</v>
      </c>
      <c r="AA178" s="265">
        <v>0</v>
      </c>
      <c r="AB178" s="265">
        <v>0</v>
      </c>
      <c r="AC178" s="265">
        <v>0</v>
      </c>
      <c r="AD178" s="264" t="s">
        <v>31</v>
      </c>
      <c r="AE178" s="267">
        <f>VLOOKUP(Master2017[[#This Row],[Elevated Priority]],Epriority,2,)</f>
        <v>-25</v>
      </c>
      <c r="AF178" s="265">
        <f>IF(Master2017[[#This Row],[Status]]="Active",Master2017[[#This Row],[Status_Score]],IF(C178="","",Q178+G178+S178+U178+AE178-5))</f>
        <v>1006</v>
      </c>
      <c r="AG178" s="265"/>
      <c r="AH178" s="265">
        <v>2020</v>
      </c>
      <c r="AI178" s="265">
        <v>2021</v>
      </c>
      <c r="AJ178" s="156"/>
    </row>
    <row r="179" spans="1:63" s="66" customFormat="1" ht="61.5" customHeight="1" x14ac:dyDescent="0.25">
      <c r="A179" s="198">
        <f t="shared" si="23"/>
        <v>173</v>
      </c>
      <c r="B179" s="262" t="s">
        <v>73</v>
      </c>
      <c r="C179" s="262" t="s">
        <v>257</v>
      </c>
      <c r="D179" s="262" t="s">
        <v>258</v>
      </c>
      <c r="E179" s="262" t="s">
        <v>888</v>
      </c>
      <c r="F179" s="262" t="s">
        <v>816</v>
      </c>
      <c r="G179" s="262">
        <f t="shared" si="21"/>
        <v>1000</v>
      </c>
      <c r="H179" s="274"/>
      <c r="I179" s="274"/>
      <c r="J179" s="274">
        <f>Master2017[[#This Row],[Initial Budget]]-Master2017[[#This Row],[Previously Committed Funds]]</f>
        <v>0</v>
      </c>
      <c r="K179" s="274"/>
      <c r="L179" s="275"/>
      <c r="M179" s="283">
        <f>Master2017[[#This Row],[Design $ (Add/Deduct)]]+Master2017[[#This Row],[Construction $ (Add/Ded)]]</f>
        <v>0</v>
      </c>
      <c r="N179" s="287">
        <v>35000</v>
      </c>
      <c r="O179" s="267">
        <v>2018</v>
      </c>
      <c r="P179" s="262" t="s">
        <v>688</v>
      </c>
      <c r="Q179" s="267">
        <f t="shared" si="24"/>
        <v>20</v>
      </c>
      <c r="R179" s="265">
        <v>1</v>
      </c>
      <c r="S179" s="265">
        <f t="shared" si="25"/>
        <v>3</v>
      </c>
      <c r="T179" s="265" t="s">
        <v>41</v>
      </c>
      <c r="U179" s="265">
        <f t="shared" si="26"/>
        <v>4</v>
      </c>
      <c r="V179" s="265" t="s">
        <v>30</v>
      </c>
      <c r="W179" s="265">
        <v>0</v>
      </c>
      <c r="X179" s="265">
        <v>0</v>
      </c>
      <c r="Y179" s="265">
        <v>0</v>
      </c>
      <c r="Z179" s="265">
        <v>0</v>
      </c>
      <c r="AA179" s="265">
        <v>0</v>
      </c>
      <c r="AB179" s="265">
        <v>0</v>
      </c>
      <c r="AC179" s="265">
        <v>0</v>
      </c>
      <c r="AD179" s="264" t="s">
        <v>29</v>
      </c>
      <c r="AE179" s="267">
        <f>VLOOKUP(Master2017[[#This Row],[Elevated Priority]],Epriority,2,)</f>
        <v>0</v>
      </c>
      <c r="AF179" s="265">
        <f>IF(Master2017[[#This Row],[Status]]="Active",Master2017[[#This Row],[Status_Score]],IF(C179="","",Q179+G179+S179+U179+AE179-5))</f>
        <v>1022</v>
      </c>
      <c r="AG179" s="265"/>
      <c r="AH179" s="265">
        <v>2020</v>
      </c>
      <c r="AI179" s="265">
        <v>2021</v>
      </c>
      <c r="AJ179" s="156" t="s">
        <v>934</v>
      </c>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row>
    <row r="180" spans="1:63" s="66" customFormat="1" ht="31.5" customHeight="1" x14ac:dyDescent="0.25">
      <c r="A180" s="198">
        <f t="shared" si="23"/>
        <v>174</v>
      </c>
      <c r="B180" s="181" t="s">
        <v>72</v>
      </c>
      <c r="C180" s="181" t="s">
        <v>13</v>
      </c>
      <c r="D180" s="181" t="s">
        <v>845</v>
      </c>
      <c r="E180" s="233" t="s">
        <v>846</v>
      </c>
      <c r="F180" s="181" t="s">
        <v>816</v>
      </c>
      <c r="G180" s="181">
        <f t="shared" si="21"/>
        <v>1000</v>
      </c>
      <c r="H180" s="274">
        <v>2000000</v>
      </c>
      <c r="I180" s="274">
        <v>1392886</v>
      </c>
      <c r="J180" s="274">
        <f>Master2017[[#This Row],[Initial Budget]]-Master2017[[#This Row],[Previously Committed Funds]]</f>
        <v>607114</v>
      </c>
      <c r="K180" s="274"/>
      <c r="L180" s="275">
        <v>16000000</v>
      </c>
      <c r="M180" s="283">
        <f>Master2017[[#This Row],[Design $ (Add/Deduct)]]+Master2017[[#This Row],[Construction $ (Add/Ded)]]</f>
        <v>16000000</v>
      </c>
      <c r="N180" s="215">
        <f>Master2017[[#This Row],[Total Add]]+Master2017[[#This Row],[Current Available Balance]]+Master2017[[#This Row],[Previously Committed Funds]]</f>
        <v>18000000</v>
      </c>
      <c r="O180" s="264">
        <v>2018</v>
      </c>
      <c r="P180" s="181" t="s">
        <v>29</v>
      </c>
      <c r="Q180" s="262">
        <f>VLOOKUP(P180,Importance, 2, FALSE)</f>
        <v>0</v>
      </c>
      <c r="R180" s="264" t="s">
        <v>29</v>
      </c>
      <c r="S180" s="262">
        <f t="shared" si="25"/>
        <v>0</v>
      </c>
      <c r="T180" s="262" t="s">
        <v>29</v>
      </c>
      <c r="U180" s="262">
        <f t="shared" si="26"/>
        <v>0</v>
      </c>
      <c r="V180" s="262" t="s">
        <v>38</v>
      </c>
      <c r="W180" s="262"/>
      <c r="X180" s="262"/>
      <c r="Y180" s="262"/>
      <c r="Z180" s="262"/>
      <c r="AA180" s="262"/>
      <c r="AB180" s="262"/>
      <c r="AC180" s="262"/>
      <c r="AD180" s="262" t="s">
        <v>29</v>
      </c>
      <c r="AE180" s="262">
        <f>VLOOKUP(Master2017[[#This Row],[Elevated Priority]],Epriority,2,)</f>
        <v>0</v>
      </c>
      <c r="AF180" s="264">
        <f>IF(Master2017[[#This Row],[Status]]="Active",Master2017[[#This Row],[Status_Score]],IF(C180="","",Q180+G180+S180+U180+AE180-5))</f>
        <v>995</v>
      </c>
      <c r="AG180" s="185" t="s">
        <v>757</v>
      </c>
      <c r="AH180" s="185">
        <v>2017</v>
      </c>
      <c r="AI180" s="185">
        <v>2020</v>
      </c>
      <c r="AJ180" s="181" t="s">
        <v>157</v>
      </c>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row>
    <row r="181" spans="1:63" ht="57.75" customHeight="1" x14ac:dyDescent="0.25">
      <c r="A181" s="198">
        <f t="shared" si="23"/>
        <v>175</v>
      </c>
      <c r="B181" s="273" t="s">
        <v>94</v>
      </c>
      <c r="C181" s="181" t="s">
        <v>99</v>
      </c>
      <c r="D181" s="181" t="s">
        <v>875</v>
      </c>
      <c r="E181" s="181" t="s">
        <v>876</v>
      </c>
      <c r="F181" s="181" t="s">
        <v>816</v>
      </c>
      <c r="G181" s="181">
        <f t="shared" si="21"/>
        <v>1000</v>
      </c>
      <c r="H181" s="274">
        <v>150000</v>
      </c>
      <c r="I181" s="274">
        <v>0</v>
      </c>
      <c r="J181" s="274">
        <f>Master2017[[#This Row],[Initial Budget]]-Master2017[[#This Row],[Previously Committed Funds]]</f>
        <v>150000</v>
      </c>
      <c r="K181" s="274">
        <v>0</v>
      </c>
      <c r="L181" s="275">
        <v>0</v>
      </c>
      <c r="M181" s="283">
        <v>1850000</v>
      </c>
      <c r="N181" s="287">
        <f>Master2017[[#This Row],[Total Add]]+Master2017[[#This Row],[Current Available Balance]]</f>
        <v>2000000</v>
      </c>
      <c r="O181" s="187">
        <v>2018</v>
      </c>
      <c r="P181" s="181" t="s">
        <v>32</v>
      </c>
      <c r="Q181" s="187">
        <f>VLOOKUP(P181,Importance,2,FALSE)</f>
        <v>1</v>
      </c>
      <c r="R181" s="185">
        <v>1</v>
      </c>
      <c r="S181" s="185">
        <f t="shared" si="25"/>
        <v>3</v>
      </c>
      <c r="T181" s="185" t="s">
        <v>37</v>
      </c>
      <c r="U181" s="185">
        <f t="shared" si="26"/>
        <v>3</v>
      </c>
      <c r="V181" s="185" t="s">
        <v>30</v>
      </c>
      <c r="W181" s="265">
        <v>0</v>
      </c>
      <c r="X181" s="185">
        <v>0</v>
      </c>
      <c r="Y181" s="185">
        <v>0</v>
      </c>
      <c r="Z181" s="185">
        <v>0</v>
      </c>
      <c r="AA181" s="185">
        <v>0</v>
      </c>
      <c r="AB181" s="185">
        <v>0</v>
      </c>
      <c r="AC181" s="185">
        <v>0</v>
      </c>
      <c r="AD181" s="183" t="s">
        <v>29</v>
      </c>
      <c r="AE181" s="187">
        <f>VLOOKUP(Master2017[[#This Row],[Elevated Priority]],Epriority,2,)</f>
        <v>0</v>
      </c>
      <c r="AF181" s="185">
        <f>IF(Master2017[[#This Row],[Status]]="Active",Master2017[[#This Row],[Status_Score]],IF(C181="","",Q181+G181+S181+U181+AE181-5))</f>
        <v>1002</v>
      </c>
      <c r="AG181" s="185" t="s">
        <v>715</v>
      </c>
      <c r="AH181" s="185">
        <v>2019</v>
      </c>
      <c r="AI181" s="185">
        <v>2020</v>
      </c>
      <c r="AJ181" s="181"/>
    </row>
    <row r="182" spans="1:63" ht="30" x14ac:dyDescent="0.25">
      <c r="A182" s="198">
        <f t="shared" si="23"/>
        <v>176</v>
      </c>
      <c r="B182" s="273" t="s">
        <v>61</v>
      </c>
      <c r="C182" s="262" t="s">
        <v>642</v>
      </c>
      <c r="D182" s="262" t="s">
        <v>643</v>
      </c>
      <c r="E182" s="262" t="s">
        <v>644</v>
      </c>
      <c r="F182" s="262" t="s">
        <v>816</v>
      </c>
      <c r="G182" s="272">
        <f t="shared" si="21"/>
        <v>1000</v>
      </c>
      <c r="H182" s="274"/>
      <c r="I182" s="274"/>
      <c r="J182" s="274">
        <f>Master2017[[#This Row],[Initial Budget]]-Master2017[[#This Row],[Previously Committed Funds]]</f>
        <v>0</v>
      </c>
      <c r="K182" s="274"/>
      <c r="L182" s="274">
        <v>550000</v>
      </c>
      <c r="M182" s="283">
        <f>Master2017[[#This Row],[Design $ (Add/Deduct)]]+Master2017[[#This Row],[Construction $ (Add/Ded)]]</f>
        <v>550000</v>
      </c>
      <c r="N182" s="292">
        <v>550000</v>
      </c>
      <c r="O182" s="267">
        <v>2018</v>
      </c>
      <c r="P182" s="262" t="s">
        <v>36</v>
      </c>
      <c r="Q182" s="267">
        <f>VLOOKUP(P182,Importance,2,FALSE)</f>
        <v>10</v>
      </c>
      <c r="R182" s="267">
        <v>1</v>
      </c>
      <c r="S182" s="265">
        <f t="shared" si="25"/>
        <v>3</v>
      </c>
      <c r="T182" s="267" t="s">
        <v>33</v>
      </c>
      <c r="U182" s="265">
        <f t="shared" si="26"/>
        <v>1</v>
      </c>
      <c r="V182" s="267" t="s">
        <v>30</v>
      </c>
      <c r="W182" s="265">
        <v>0</v>
      </c>
      <c r="X182" s="265">
        <v>0</v>
      </c>
      <c r="Y182" s="265">
        <v>0</v>
      </c>
      <c r="Z182" s="265">
        <v>0</v>
      </c>
      <c r="AA182" s="265">
        <v>0</v>
      </c>
      <c r="AB182" s="265">
        <v>0</v>
      </c>
      <c r="AC182" s="265">
        <v>0</v>
      </c>
      <c r="AD182" s="267" t="s">
        <v>29</v>
      </c>
      <c r="AE182" s="267">
        <f>VLOOKUP(Master2017[[#This Row],[Elevated Priority]],Epriority,2,)</f>
        <v>0</v>
      </c>
      <c r="AF182" s="265">
        <f>IF(Master2017[[#This Row],[Status]]="Active",Master2017[[#This Row],[Status_Score]],IF(C182="","",Q182+G182+S182+U182+AE182-5))</f>
        <v>1009</v>
      </c>
      <c r="AG182" s="265" t="s">
        <v>760</v>
      </c>
      <c r="AH182" s="265">
        <v>2019</v>
      </c>
      <c r="AI182" s="265">
        <v>2020</v>
      </c>
      <c r="AJ182" s="262" t="s">
        <v>724</v>
      </c>
    </row>
    <row r="183" spans="1:63" ht="60" x14ac:dyDescent="0.25">
      <c r="A183" s="198">
        <f t="shared" si="23"/>
        <v>177</v>
      </c>
      <c r="B183" s="273" t="s">
        <v>65</v>
      </c>
      <c r="C183" s="262" t="s">
        <v>960</v>
      </c>
      <c r="D183" s="262" t="s">
        <v>961</v>
      </c>
      <c r="E183" s="262" t="s">
        <v>962</v>
      </c>
      <c r="F183" s="262" t="s">
        <v>816</v>
      </c>
      <c r="G183" s="272">
        <f t="shared" si="21"/>
        <v>1000</v>
      </c>
      <c r="H183" s="274"/>
      <c r="I183" s="274"/>
      <c r="J183" s="274">
        <f>Master2017[[#This Row],[Initial Budget]]-Master2017[[#This Row],[Previously Committed Funds]]</f>
        <v>0</v>
      </c>
      <c r="K183" s="274"/>
      <c r="L183" s="275"/>
      <c r="M183" s="283">
        <f>Master2017[[#This Row],[Design $ (Add/Deduct)]]+Master2017[[#This Row],[Construction $ (Add/Ded)]]</f>
        <v>0</v>
      </c>
      <c r="N183" s="290">
        <v>200000</v>
      </c>
      <c r="O183" s="267">
        <v>2019</v>
      </c>
      <c r="P183" s="262" t="s">
        <v>32</v>
      </c>
      <c r="Q183" s="267">
        <f>VLOOKUP(P183,Importance,2,FALSE)</f>
        <v>1</v>
      </c>
      <c r="R183" s="265">
        <v>1</v>
      </c>
      <c r="S183" s="265">
        <f t="shared" si="25"/>
        <v>3</v>
      </c>
      <c r="T183" s="264" t="s">
        <v>33</v>
      </c>
      <c r="U183" s="265">
        <f t="shared" si="26"/>
        <v>1</v>
      </c>
      <c r="V183" s="265" t="s">
        <v>30</v>
      </c>
      <c r="W183" s="265">
        <v>0</v>
      </c>
      <c r="X183" s="265">
        <v>0</v>
      </c>
      <c r="Y183" s="265">
        <v>0</v>
      </c>
      <c r="Z183" s="265">
        <v>0</v>
      </c>
      <c r="AA183" s="265">
        <v>0</v>
      </c>
      <c r="AB183" s="265">
        <v>0</v>
      </c>
      <c r="AC183" s="265">
        <v>0</v>
      </c>
      <c r="AD183" s="264" t="s">
        <v>39</v>
      </c>
      <c r="AE183" s="267">
        <f>VLOOKUP(Master2017[[#This Row],[Elevated Priority]],Epriority,2,)</f>
        <v>-30</v>
      </c>
      <c r="AF183" s="267">
        <f>IF(Master2017[[#This Row],[Status]]="Active",Master2017[[#This Row],[Status_Score]],IF(C183="","",Q183+G183+S183+U183+AE183-5))</f>
        <v>970</v>
      </c>
      <c r="AG183" s="265"/>
      <c r="AH183" s="265">
        <v>2019</v>
      </c>
      <c r="AI183" s="265">
        <v>2020</v>
      </c>
      <c r="AJ183" s="262"/>
    </row>
    <row r="184" spans="1:63" ht="45" x14ac:dyDescent="0.25">
      <c r="A184" s="198">
        <f t="shared" si="23"/>
        <v>178</v>
      </c>
      <c r="B184" s="273" t="s">
        <v>91</v>
      </c>
      <c r="C184" s="285" t="s">
        <v>973</v>
      </c>
      <c r="D184" s="285" t="s">
        <v>973</v>
      </c>
      <c r="E184" s="286" t="s">
        <v>882</v>
      </c>
      <c r="F184" s="262" t="s">
        <v>816</v>
      </c>
      <c r="G184" s="262">
        <f t="shared" si="21"/>
        <v>1000</v>
      </c>
      <c r="H184" s="274"/>
      <c r="I184" s="274"/>
      <c r="J184" s="274">
        <f>Master2017[[#This Row],[Initial Budget]]-Master2017[[#This Row],[Previously Committed Funds]]</f>
        <v>0</v>
      </c>
      <c r="K184" s="274"/>
      <c r="L184" s="275"/>
      <c r="M184" s="283">
        <f>Master2017[[#This Row],[Design $ (Add/Deduct)]]+Master2017[[#This Row],[Construction $ (Add/Ded)]]</f>
        <v>0</v>
      </c>
      <c r="N184" s="287">
        <v>40000</v>
      </c>
      <c r="O184" s="267">
        <v>2020</v>
      </c>
      <c r="P184" s="262" t="s">
        <v>46</v>
      </c>
      <c r="Q184" s="267">
        <f>VLOOKUP(P184,Importance,2,FALSE)</f>
        <v>50</v>
      </c>
      <c r="R184" s="265">
        <v>0</v>
      </c>
      <c r="S184" s="265" t="e">
        <f t="shared" si="25"/>
        <v>#N/A</v>
      </c>
      <c r="T184" s="265" t="s">
        <v>41</v>
      </c>
      <c r="U184" s="265">
        <f t="shared" si="26"/>
        <v>4</v>
      </c>
      <c r="V184" s="265" t="s">
        <v>30</v>
      </c>
      <c r="W184" s="185">
        <v>0</v>
      </c>
      <c r="X184" s="265">
        <v>0</v>
      </c>
      <c r="Y184" s="265">
        <v>0</v>
      </c>
      <c r="Z184" s="265">
        <v>0</v>
      </c>
      <c r="AA184" s="265">
        <v>0</v>
      </c>
      <c r="AB184" s="265">
        <v>0</v>
      </c>
      <c r="AC184" s="265">
        <v>0</v>
      </c>
      <c r="AD184" s="264" t="s">
        <v>29</v>
      </c>
      <c r="AE184" s="267">
        <f>VLOOKUP(Master2017[[#This Row],[Elevated Priority]],Epriority,2,)</f>
        <v>0</v>
      </c>
      <c r="AF184" s="265" t="e">
        <f>IF(Master2017[[#This Row],[Status]]="Active",Master2017[[#This Row],[Status_Score]],IF(C184="","",Q184+G184+S184+U184+AE184-5))</f>
        <v>#N/A</v>
      </c>
      <c r="AG184" s="265"/>
      <c r="AH184" s="265"/>
      <c r="AI184" s="265">
        <v>2020</v>
      </c>
      <c r="AJ184" s="262"/>
    </row>
    <row r="185" spans="1:63" ht="45" x14ac:dyDescent="0.25">
      <c r="A185" s="198">
        <f t="shared" si="23"/>
        <v>179</v>
      </c>
      <c r="B185" s="273" t="s">
        <v>91</v>
      </c>
      <c r="C185" s="285" t="s">
        <v>794</v>
      </c>
      <c r="D185" s="285" t="s">
        <v>794</v>
      </c>
      <c r="E185" s="286" t="s">
        <v>882</v>
      </c>
      <c r="F185" s="262" t="s">
        <v>816</v>
      </c>
      <c r="G185" s="262">
        <f t="shared" si="21"/>
        <v>1000</v>
      </c>
      <c r="H185" s="274"/>
      <c r="I185" s="274"/>
      <c r="J185" s="274">
        <f>Master2017[[#This Row],[Initial Budget]]-Master2017[[#This Row],[Previously Committed Funds]]</f>
        <v>0</v>
      </c>
      <c r="K185" s="274"/>
      <c r="L185" s="274"/>
      <c r="M185" s="283">
        <f>Master2017[[#This Row],[Design $ (Add/Deduct)]]+Master2017[[#This Row],[Construction $ (Add/Ded)]]</f>
        <v>0</v>
      </c>
      <c r="N185" s="292">
        <v>40000</v>
      </c>
      <c r="O185" s="267">
        <v>2020</v>
      </c>
      <c r="P185" s="262" t="s">
        <v>46</v>
      </c>
      <c r="Q185" s="267">
        <f>VLOOKUP(P185,Importance,2,FALSE)</f>
        <v>50</v>
      </c>
      <c r="R185" s="293">
        <v>1</v>
      </c>
      <c r="S185" s="265">
        <f t="shared" si="25"/>
        <v>3</v>
      </c>
      <c r="T185" s="265" t="s">
        <v>41</v>
      </c>
      <c r="U185" s="265">
        <f t="shared" si="26"/>
        <v>4</v>
      </c>
      <c r="V185" s="293" t="s">
        <v>30</v>
      </c>
      <c r="W185" s="265">
        <v>0</v>
      </c>
      <c r="X185" s="265">
        <v>0</v>
      </c>
      <c r="Y185" s="265">
        <v>0</v>
      </c>
      <c r="Z185" s="265">
        <v>0</v>
      </c>
      <c r="AA185" s="265">
        <v>0</v>
      </c>
      <c r="AB185" s="265">
        <v>0</v>
      </c>
      <c r="AC185" s="265">
        <v>0</v>
      </c>
      <c r="AD185" s="264" t="s">
        <v>29</v>
      </c>
      <c r="AE185" s="267">
        <f>VLOOKUP(Master2017[[#This Row],[Elevated Priority]],Epriority,2,)</f>
        <v>0</v>
      </c>
      <c r="AF185" s="265">
        <f>IF(Master2017[[#This Row],[Status]]="Active",Master2017[[#This Row],[Status_Score]],IF(C185="","",Q185+G185+S185+U185+AE185-5))</f>
        <v>1052</v>
      </c>
      <c r="AG185" s="265"/>
      <c r="AH185" s="265"/>
      <c r="AI185" s="265">
        <v>2021</v>
      </c>
      <c r="AJ185" s="262"/>
    </row>
    <row r="186" spans="1:63" ht="75" x14ac:dyDescent="0.25">
      <c r="A186" s="198">
        <f t="shared" si="23"/>
        <v>180</v>
      </c>
      <c r="B186" s="197" t="s">
        <v>65</v>
      </c>
      <c r="C186" s="181" t="s">
        <v>733</v>
      </c>
      <c r="D186" s="181" t="s">
        <v>709</v>
      </c>
      <c r="E186" s="181" t="s">
        <v>735</v>
      </c>
      <c r="F186" s="181" t="s">
        <v>816</v>
      </c>
      <c r="G186" s="181">
        <f t="shared" si="21"/>
        <v>1000</v>
      </c>
      <c r="H186" s="199">
        <v>1319975</v>
      </c>
      <c r="I186" s="199">
        <v>230202.8</v>
      </c>
      <c r="J186" s="199">
        <f>Master2017[[#This Row],[Initial Budget]]-Master2017[[#This Row],[Previously Committed Funds]]</f>
        <v>1089772.2</v>
      </c>
      <c r="K186" s="199">
        <v>89000</v>
      </c>
      <c r="L186" s="200">
        <f>2425000-Master2017[[#This Row],[Design $ (Add/Deduct)]]-Master2017[[#This Row],[Current Available Balance]]-Master2017[[#This Row],[Previously Committed Funds]]</f>
        <v>1016025</v>
      </c>
      <c r="M186" s="214">
        <f>Master2017[[#This Row],[Design $ (Add/Deduct)]]+Master2017[[#This Row],[Construction $ (Add/Ded)]]</f>
        <v>1105025</v>
      </c>
      <c r="N186" s="215">
        <f>Master2017[[#This Row],[Total Add]]+Master2017[[#This Row],[Current Available Balance]]+Master2017[[#This Row],[Previously Committed Funds]]</f>
        <v>2425000</v>
      </c>
      <c r="O186" s="183">
        <v>2018</v>
      </c>
      <c r="P186" s="181" t="s">
        <v>29</v>
      </c>
      <c r="Q186" s="181">
        <f>VLOOKUP(P186,Importance, 2, FALSE)</f>
        <v>0</v>
      </c>
      <c r="R186" s="183" t="s">
        <v>29</v>
      </c>
      <c r="S186" s="181">
        <f t="shared" si="25"/>
        <v>0</v>
      </c>
      <c r="T186" s="181" t="s">
        <v>29</v>
      </c>
      <c r="U186" s="181">
        <f t="shared" si="26"/>
        <v>0</v>
      </c>
      <c r="V186" s="181" t="s">
        <v>38</v>
      </c>
      <c r="W186" s="181"/>
      <c r="X186" s="181"/>
      <c r="Y186" s="181"/>
      <c r="Z186" s="181"/>
      <c r="AA186" s="181"/>
      <c r="AB186" s="181"/>
      <c r="AC186" s="181"/>
      <c r="AD186" s="181" t="s">
        <v>29</v>
      </c>
      <c r="AE186" s="181">
        <f>VLOOKUP(Master2017[[#This Row],[Elevated Priority]],Epriority,2,)</f>
        <v>0</v>
      </c>
      <c r="AF186" s="183">
        <f>IF(Master2017[[#This Row],[Status]]="Active",Master2017[[#This Row],[Status_Score]],IF(C186="","",Q186+G186+S186+U186+AE186-5))</f>
        <v>995</v>
      </c>
      <c r="AG186" s="183" t="s">
        <v>715</v>
      </c>
      <c r="AH186" s="183">
        <v>2017</v>
      </c>
      <c r="AI186" s="183">
        <v>2020</v>
      </c>
      <c r="AJ186" s="181" t="s">
        <v>740</v>
      </c>
    </row>
    <row r="187" spans="1:63" ht="30" x14ac:dyDescent="0.25">
      <c r="A187" s="198">
        <f t="shared" si="23"/>
        <v>181</v>
      </c>
      <c r="B187" s="197" t="s">
        <v>732</v>
      </c>
      <c r="C187" s="181" t="s">
        <v>733</v>
      </c>
      <c r="D187" s="181" t="s">
        <v>709</v>
      </c>
      <c r="E187" s="181" t="s">
        <v>735</v>
      </c>
      <c r="F187" s="181" t="s">
        <v>816</v>
      </c>
      <c r="G187" s="181">
        <f t="shared" si="21"/>
        <v>1000</v>
      </c>
      <c r="H187" s="199">
        <v>342669</v>
      </c>
      <c r="I187" s="199">
        <v>11710</v>
      </c>
      <c r="J187" s="199">
        <f>Master2017[[#This Row],[Initial Budget]]-Master2017[[#This Row],[Previously Committed Funds]]</f>
        <v>330959</v>
      </c>
      <c r="K187" s="199">
        <v>0</v>
      </c>
      <c r="L187" s="200">
        <f>175000-Master2017[[#This Row],[Current Available Balance]]-Master2017[[#This Row],[Previously Committed Funds]]</f>
        <v>-167669</v>
      </c>
      <c r="M187" s="214">
        <f>Master2017[[#This Row],[Design $ (Add/Deduct)]]+Master2017[[#This Row],[Construction $ (Add/Ded)]]</f>
        <v>-167669</v>
      </c>
      <c r="N187" s="215">
        <f>Master2017[[#This Row],[Total Add]]+Master2017[[#This Row],[Current Available Balance]]+Master2017[[#This Row],[Previously Committed Funds]]</f>
        <v>175000</v>
      </c>
      <c r="O187" s="183">
        <v>2017</v>
      </c>
      <c r="P187" s="181" t="s">
        <v>29</v>
      </c>
      <c r="Q187" s="181"/>
      <c r="R187" s="183">
        <v>1</v>
      </c>
      <c r="S187" s="181"/>
      <c r="T187" s="181" t="s">
        <v>37</v>
      </c>
      <c r="U187" s="181"/>
      <c r="V187" s="181" t="s">
        <v>38</v>
      </c>
      <c r="W187" s="181"/>
      <c r="X187" s="181"/>
      <c r="Y187" s="181"/>
      <c r="Z187" s="181"/>
      <c r="AA187" s="181"/>
      <c r="AB187" s="181"/>
      <c r="AC187" s="181"/>
      <c r="AD187" s="181" t="s">
        <v>29</v>
      </c>
      <c r="AE187" s="181">
        <f>VLOOKUP(Master2017[[#This Row],[Elevated Priority]],Epriority,2,)</f>
        <v>0</v>
      </c>
      <c r="AF187" s="183">
        <f>IF(Master2017[[#This Row],[Status]]="Active",Master2017[[#This Row],[Status_Score]],IF(C187="","",Q187+G187+S187+U187+AE187-5))</f>
        <v>995</v>
      </c>
      <c r="AG187" s="183" t="s">
        <v>715</v>
      </c>
      <c r="AH187" s="183">
        <v>2017</v>
      </c>
      <c r="AI187" s="183">
        <v>2020</v>
      </c>
      <c r="AJ187" s="181"/>
    </row>
    <row r="188" spans="1:63" ht="30" x14ac:dyDescent="0.25">
      <c r="A188" s="198">
        <f t="shared" si="23"/>
        <v>182</v>
      </c>
      <c r="B188" s="197" t="s">
        <v>65</v>
      </c>
      <c r="C188" s="181" t="s">
        <v>734</v>
      </c>
      <c r="D188" s="181" t="s">
        <v>709</v>
      </c>
      <c r="E188" s="181" t="s">
        <v>868</v>
      </c>
      <c r="F188" s="181" t="s">
        <v>816</v>
      </c>
      <c r="G188" s="181">
        <f t="shared" si="21"/>
        <v>1000</v>
      </c>
      <c r="H188" s="199">
        <v>0</v>
      </c>
      <c r="I188" s="199">
        <v>0</v>
      </c>
      <c r="J188" s="199">
        <f>Master2017[[#This Row],[Initial Budget]]-Master2017[[#This Row],[Previously Committed Funds]]</f>
        <v>0</v>
      </c>
      <c r="K188" s="199">
        <v>9000</v>
      </c>
      <c r="L188" s="200">
        <v>218000</v>
      </c>
      <c r="M188" s="214">
        <f>Master2017[[#This Row],[Design $ (Add/Deduct)]]+Master2017[[#This Row],[Construction $ (Add/Ded)]]</f>
        <v>227000</v>
      </c>
      <c r="N188" s="215">
        <f>Master2017[[#This Row],[Total Add]]+Master2017[[#This Row],[Current Available Balance]]+Master2017[[#This Row],[Previously Committed Funds]]</f>
        <v>227000</v>
      </c>
      <c r="O188" s="183">
        <v>2017</v>
      </c>
      <c r="P188" s="181" t="s">
        <v>29</v>
      </c>
      <c r="Q188" s="181"/>
      <c r="R188" s="183">
        <v>1</v>
      </c>
      <c r="S188" s="181"/>
      <c r="T188" s="181" t="s">
        <v>37</v>
      </c>
      <c r="U188" s="181"/>
      <c r="V188" s="181" t="s">
        <v>38</v>
      </c>
      <c r="W188" s="181"/>
      <c r="X188" s="181"/>
      <c r="Y188" s="181"/>
      <c r="Z188" s="181"/>
      <c r="AA188" s="181"/>
      <c r="AB188" s="181"/>
      <c r="AC188" s="181"/>
      <c r="AD188" s="181" t="s">
        <v>29</v>
      </c>
      <c r="AE188" s="181">
        <f>VLOOKUP(Master2017[[#This Row],[Elevated Priority]],Epriority,2,)</f>
        <v>0</v>
      </c>
      <c r="AF188" s="183">
        <f>IF(Master2017[[#This Row],[Status]]="Active",Master2017[[#This Row],[Status_Score]],IF(C188="","",Q188+G188+S188+U188+AE188-5))</f>
        <v>995</v>
      </c>
      <c r="AG188" s="183" t="s">
        <v>715</v>
      </c>
      <c r="AH188" s="183">
        <v>2017</v>
      </c>
      <c r="AI188" s="183">
        <v>2020</v>
      </c>
      <c r="AJ188" s="181"/>
    </row>
    <row r="189" spans="1:63" ht="30" x14ac:dyDescent="0.25">
      <c r="A189" s="198">
        <f t="shared" si="23"/>
        <v>183</v>
      </c>
      <c r="B189" s="197" t="s">
        <v>65</v>
      </c>
      <c r="C189" s="181" t="s">
        <v>869</v>
      </c>
      <c r="D189" s="181" t="s">
        <v>709</v>
      </c>
      <c r="E189" s="181" t="s">
        <v>870</v>
      </c>
      <c r="F189" s="181" t="s">
        <v>816</v>
      </c>
      <c r="G189" s="181">
        <f t="shared" si="21"/>
        <v>1000</v>
      </c>
      <c r="H189" s="199">
        <v>450000</v>
      </c>
      <c r="I189" s="199">
        <v>101407.72</v>
      </c>
      <c r="J189" s="199">
        <f>Master2017[[#This Row],[Initial Budget]]-Master2017[[#This Row],[Previously Committed Funds]]</f>
        <v>348592.28</v>
      </c>
      <c r="K189" s="199">
        <v>21160</v>
      </c>
      <c r="L189" s="200">
        <f>635435-Master2017[[#This Row],[Design $ (Add/Deduct)]]-Master2017[[#This Row],[Current Available Balance]]-Master2017[[#This Row],[Previously Committed Funds]]</f>
        <v>164274.99999999997</v>
      </c>
      <c r="M189" s="214">
        <f>Master2017[[#This Row],[Design $ (Add/Deduct)]]+Master2017[[#This Row],[Construction $ (Add/Ded)]]</f>
        <v>185434.99999999997</v>
      </c>
      <c r="N189" s="215">
        <f>Master2017[[#This Row],[Total Add]]+Master2017[[#This Row],[Current Available Balance]]+Master2017[[#This Row],[Previously Committed Funds]]</f>
        <v>635435</v>
      </c>
      <c r="O189" s="183">
        <v>2017</v>
      </c>
      <c r="P189" s="181" t="s">
        <v>29</v>
      </c>
      <c r="Q189" s="181"/>
      <c r="R189" s="183">
        <v>1</v>
      </c>
      <c r="S189" s="181"/>
      <c r="T189" s="181" t="s">
        <v>37</v>
      </c>
      <c r="U189" s="181"/>
      <c r="V189" s="181" t="s">
        <v>38</v>
      </c>
      <c r="W189" s="181"/>
      <c r="X189" s="181"/>
      <c r="Y189" s="181"/>
      <c r="Z189" s="181"/>
      <c r="AA189" s="181"/>
      <c r="AB189" s="181"/>
      <c r="AC189" s="181"/>
      <c r="AD189" s="181" t="s">
        <v>29</v>
      </c>
      <c r="AE189" s="181">
        <f>VLOOKUP(Master2017[[#This Row],[Elevated Priority]],Epriority,2,)</f>
        <v>0</v>
      </c>
      <c r="AF189" s="183">
        <f>IF(Master2017[[#This Row],[Status]]="Active",Master2017[[#This Row],[Status_Score]],IF(C189="","",Q189+G189+S189+U189+AE189-5))</f>
        <v>995</v>
      </c>
      <c r="AG189" s="183" t="s">
        <v>715</v>
      </c>
      <c r="AH189" s="183">
        <v>2017</v>
      </c>
      <c r="AI189" s="183">
        <v>2020</v>
      </c>
      <c r="AJ189" s="181"/>
    </row>
    <row r="190" spans="1:63" hidden="1" x14ac:dyDescent="0.25">
      <c r="A190" s="198">
        <f t="shared" si="23"/>
        <v>184</v>
      </c>
      <c r="B190" s="161" t="s">
        <v>94</v>
      </c>
      <c r="C190" s="149" t="s">
        <v>592</v>
      </c>
      <c r="D190" s="149" t="s">
        <v>593</v>
      </c>
      <c r="E190" s="149"/>
      <c r="F190" s="149" t="s">
        <v>816</v>
      </c>
      <c r="G190" s="149">
        <f t="shared" si="21"/>
        <v>1000</v>
      </c>
      <c r="H190" s="163"/>
      <c r="I190" s="163"/>
      <c r="J190" s="163">
        <f>Master2017[[#This Row],[Initial Budget]]-Master2017[[#This Row],[Previously Committed Funds]]</f>
        <v>0</v>
      </c>
      <c r="K190" s="163"/>
      <c r="L190" s="203"/>
      <c r="M190" s="191">
        <f>Master2017[[#This Row],[Design $ (Add/Deduct)]]+Master2017[[#This Row],[Construction $ (Add/Ded)]]</f>
        <v>0</v>
      </c>
      <c r="N190" s="206">
        <v>350000</v>
      </c>
      <c r="O190" s="152">
        <v>2019</v>
      </c>
      <c r="P190" s="149" t="s">
        <v>686</v>
      </c>
      <c r="Q190" s="150">
        <f>VLOOKUP(P190,Importance,2,FALSE)</f>
        <v>60</v>
      </c>
      <c r="R190" s="151">
        <v>16</v>
      </c>
      <c r="S190" s="148">
        <f t="shared" ref="S190:S205" si="27">VLOOKUP(R190,Department,2,FALSE)</f>
        <v>24</v>
      </c>
      <c r="T190" s="151" t="s">
        <v>43</v>
      </c>
      <c r="U190" s="151">
        <f t="shared" ref="U190:U205" si="28">VLOOKUP(T190,Urgency,2,FALSE)</f>
        <v>16</v>
      </c>
      <c r="V190" s="151" t="s">
        <v>34</v>
      </c>
      <c r="W190" s="185">
        <v>0</v>
      </c>
      <c r="X190" s="151">
        <v>0</v>
      </c>
      <c r="Y190" s="151">
        <v>-3</v>
      </c>
      <c r="Z190" s="151">
        <v>0</v>
      </c>
      <c r="AA190" s="151">
        <v>0</v>
      </c>
      <c r="AB190" s="151">
        <v>0</v>
      </c>
      <c r="AC190" s="151">
        <v>0</v>
      </c>
      <c r="AD190" s="152" t="s">
        <v>29</v>
      </c>
      <c r="AE190" s="157">
        <f>VLOOKUP(Master2017[[#This Row],[Elevated Priority]],Epriority,2,)</f>
        <v>0</v>
      </c>
      <c r="AF190" s="151">
        <f>IF(Master2017[[#This Row],[Status]]="Active",Master2017[[#This Row],[Status_Score]],IF(C190="","",Q190+G190+S190+U190+AE190-5))</f>
        <v>1095</v>
      </c>
      <c r="AG190" s="151"/>
      <c r="AH190" s="151"/>
      <c r="AI190" s="151"/>
      <c r="AJ190" s="156" t="s">
        <v>985</v>
      </c>
    </row>
    <row r="191" spans="1:63" ht="60" x14ac:dyDescent="0.25">
      <c r="A191" s="198">
        <f t="shared" si="23"/>
        <v>185</v>
      </c>
      <c r="B191" s="197" t="s">
        <v>91</v>
      </c>
      <c r="C191" s="181" t="s">
        <v>677</v>
      </c>
      <c r="D191" s="181" t="s">
        <v>678</v>
      </c>
      <c r="E191" s="181" t="s">
        <v>98</v>
      </c>
      <c r="F191" s="181" t="s">
        <v>816</v>
      </c>
      <c r="G191" s="181">
        <f t="shared" si="21"/>
        <v>1000</v>
      </c>
      <c r="H191" s="199">
        <v>35000</v>
      </c>
      <c r="I191" s="199">
        <v>14750</v>
      </c>
      <c r="J191" s="199">
        <f>Master2017[[#This Row],[Initial Budget]]-Master2017[[#This Row],[Previously Committed Funds]]</f>
        <v>20250</v>
      </c>
      <c r="K191" s="199"/>
      <c r="L191" s="200">
        <v>600000</v>
      </c>
      <c r="M191" s="214">
        <f>Master2017[[#This Row],[Design $ (Add/Deduct)]]+Master2017[[#This Row],[Construction $ (Add/Ded)]]</f>
        <v>600000</v>
      </c>
      <c r="N191" s="230">
        <v>350000</v>
      </c>
      <c r="O191" s="187">
        <v>2018</v>
      </c>
      <c r="P191" s="181" t="s">
        <v>32</v>
      </c>
      <c r="Q191" s="187">
        <f>VLOOKUP(P191,Importance,2,FALSE)</f>
        <v>1</v>
      </c>
      <c r="R191" s="185">
        <v>1</v>
      </c>
      <c r="S191" s="185">
        <f t="shared" si="27"/>
        <v>3</v>
      </c>
      <c r="T191" s="185" t="s">
        <v>37</v>
      </c>
      <c r="U191" s="185">
        <f t="shared" si="28"/>
        <v>3</v>
      </c>
      <c r="V191" s="185" t="s">
        <v>30</v>
      </c>
      <c r="W191" s="185">
        <v>0</v>
      </c>
      <c r="X191" s="185">
        <v>0</v>
      </c>
      <c r="Y191" s="185">
        <v>0</v>
      </c>
      <c r="Z191" s="185">
        <v>0</v>
      </c>
      <c r="AA191" s="185">
        <v>0</v>
      </c>
      <c r="AB191" s="185">
        <v>0</v>
      </c>
      <c r="AC191" s="185">
        <v>0</v>
      </c>
      <c r="AD191" s="183" t="s">
        <v>29</v>
      </c>
      <c r="AE191" s="187">
        <f>VLOOKUP(Master2017[[#This Row],[Elevated Priority]],Epriority,2,)</f>
        <v>0</v>
      </c>
      <c r="AF191" s="185">
        <f>IF(Master2017[[#This Row],[Status]]="Active",Master2017[[#This Row],[Status_Score]],IF(C191="","",Q191+G191+S191+U191+AE191-5))</f>
        <v>1002</v>
      </c>
      <c r="AG191" s="185" t="s">
        <v>754</v>
      </c>
      <c r="AH191" s="185">
        <v>2019</v>
      </c>
      <c r="AI191" s="185">
        <v>2020</v>
      </c>
      <c r="AJ191" s="181" t="s">
        <v>747</v>
      </c>
    </row>
    <row r="192" spans="1:63" ht="60" x14ac:dyDescent="0.25">
      <c r="A192" s="198">
        <f t="shared" si="23"/>
        <v>186</v>
      </c>
      <c r="B192" s="197" t="s">
        <v>72</v>
      </c>
      <c r="C192" s="181" t="s">
        <v>74</v>
      </c>
      <c r="D192" s="181" t="s">
        <v>844</v>
      </c>
      <c r="E192" s="181" t="s">
        <v>843</v>
      </c>
      <c r="F192" s="181" t="s">
        <v>816</v>
      </c>
      <c r="G192" s="181">
        <f t="shared" si="21"/>
        <v>1000</v>
      </c>
      <c r="H192" s="199"/>
      <c r="I192" s="199"/>
      <c r="J192" s="199">
        <f>Master2017[[#This Row],[Initial Budget]]-Master2017[[#This Row],[Previously Committed Funds]]</f>
        <v>0</v>
      </c>
      <c r="K192" s="199"/>
      <c r="L192" s="200"/>
      <c r="M192" s="214">
        <f>Master2017[[#This Row],[Design $ (Add/Deduct)]]+Master2017[[#This Row],[Construction $ (Add/Ded)]]</f>
        <v>0</v>
      </c>
      <c r="N192" s="230">
        <v>500000</v>
      </c>
      <c r="O192" s="187">
        <v>2018</v>
      </c>
      <c r="P192" s="181" t="s">
        <v>32</v>
      </c>
      <c r="Q192" s="187">
        <f>VLOOKUP(P192,Importance, 2, FALSE)</f>
        <v>1</v>
      </c>
      <c r="R192" s="185">
        <v>1</v>
      </c>
      <c r="S192" s="185">
        <f t="shared" si="27"/>
        <v>3</v>
      </c>
      <c r="T192" s="185" t="s">
        <v>37</v>
      </c>
      <c r="U192" s="185">
        <f t="shared" si="28"/>
        <v>3</v>
      </c>
      <c r="V192" s="185" t="s">
        <v>38</v>
      </c>
      <c r="W192" s="185"/>
      <c r="X192" s="185"/>
      <c r="Y192" s="185"/>
      <c r="Z192" s="185"/>
      <c r="AA192" s="185"/>
      <c r="AB192" s="185"/>
      <c r="AC192" s="185"/>
      <c r="AD192" s="183" t="s">
        <v>29</v>
      </c>
      <c r="AE192" s="187">
        <f>VLOOKUP(Master2017[[#This Row],[Elevated Priority]],Epriority,2,)</f>
        <v>0</v>
      </c>
      <c r="AF192" s="185">
        <f>IF(Master2017[[#This Row],[Status]]="Active",Master2017[[#This Row],[Status_Score]],IF(C192="","",Q192+G192+S192+U192+AE192-5))</f>
        <v>1002</v>
      </c>
      <c r="AG192" s="185" t="s">
        <v>758</v>
      </c>
      <c r="AH192" s="185">
        <v>2019</v>
      </c>
      <c r="AI192" s="185">
        <v>2020</v>
      </c>
      <c r="AJ192" s="181"/>
    </row>
    <row r="193" spans="1:36" ht="30" x14ac:dyDescent="0.25">
      <c r="A193" s="198">
        <f t="shared" si="23"/>
        <v>187</v>
      </c>
      <c r="B193" s="227" t="s">
        <v>646</v>
      </c>
      <c r="C193" s="193" t="s">
        <v>721</v>
      </c>
      <c r="D193" s="193" t="s">
        <v>871</v>
      </c>
      <c r="E193" s="193" t="s">
        <v>683</v>
      </c>
      <c r="F193" s="193" t="s">
        <v>816</v>
      </c>
      <c r="G193" s="195">
        <f t="shared" si="21"/>
        <v>1000</v>
      </c>
      <c r="H193" s="228">
        <v>1400000</v>
      </c>
      <c r="I193" s="228">
        <v>17787.71</v>
      </c>
      <c r="J193" s="199">
        <f>Master2017[[#This Row],[Initial Budget]]-Master2017[[#This Row],[Previously Committed Funds]]</f>
        <v>1382212.29</v>
      </c>
      <c r="K193" s="228">
        <v>0</v>
      </c>
      <c r="L193" s="229">
        <v>-750000</v>
      </c>
      <c r="M193" s="214">
        <f>Master2017[[#This Row],[Design $ (Add/Deduct)]]+Master2017[[#This Row],[Construction $ (Add/Ded)]]</f>
        <v>-750000</v>
      </c>
      <c r="N193" s="215">
        <f>Master2017[[#This Row],[Total Add]]+Master2017[[#This Row],[Current Available Balance]]+Master2017[[#This Row],[Previously Committed Funds]]</f>
        <v>650000</v>
      </c>
      <c r="O193" s="194">
        <v>2019</v>
      </c>
      <c r="P193" s="181" t="s">
        <v>36</v>
      </c>
      <c r="Q193" s="187">
        <f>VLOOKUP(P193,Importance, 2, FALSE)</f>
        <v>10</v>
      </c>
      <c r="R193" s="185">
        <v>1</v>
      </c>
      <c r="S193" s="185">
        <f t="shared" si="27"/>
        <v>3</v>
      </c>
      <c r="T193" s="185" t="s">
        <v>37</v>
      </c>
      <c r="U193" s="185">
        <f t="shared" si="28"/>
        <v>3</v>
      </c>
      <c r="V193" s="185" t="s">
        <v>38</v>
      </c>
      <c r="W193" s="185"/>
      <c r="X193" s="185"/>
      <c r="Y193" s="185"/>
      <c r="Z193" s="185"/>
      <c r="AA193" s="185"/>
      <c r="AB193" s="185"/>
      <c r="AC193" s="185"/>
      <c r="AD193" s="183" t="s">
        <v>29</v>
      </c>
      <c r="AE193" s="187">
        <f>VLOOKUP(Master2017[[#This Row],[Elevated Priority]],Epriority,2,)</f>
        <v>0</v>
      </c>
      <c r="AF193" s="185">
        <f>IF(Master2017[[#This Row],[Status]]="Active",Master2017[[#This Row],[Status_Score]],IF(C193="","",Q193+G193+S193+U193+AE193-5))</f>
        <v>1011</v>
      </c>
      <c r="AG193" s="184" t="s">
        <v>758</v>
      </c>
      <c r="AH193" s="184">
        <v>2019</v>
      </c>
      <c r="AI193" s="184">
        <v>2020</v>
      </c>
      <c r="AJ193" s="193" t="s">
        <v>713</v>
      </c>
    </row>
    <row r="194" spans="1:36" ht="60" x14ac:dyDescent="0.25">
      <c r="A194" s="198">
        <f t="shared" si="23"/>
        <v>188</v>
      </c>
      <c r="B194" s="197" t="s">
        <v>61</v>
      </c>
      <c r="C194" s="181" t="s">
        <v>742</v>
      </c>
      <c r="D194" s="181" t="s">
        <v>847</v>
      </c>
      <c r="E194" s="181" t="s">
        <v>848</v>
      </c>
      <c r="F194" s="181" t="s">
        <v>816</v>
      </c>
      <c r="G194" s="181">
        <f t="shared" ref="G194:G205" si="29">VLOOKUP(F194,Status_Score,2,FALSE)</f>
        <v>1000</v>
      </c>
      <c r="H194" s="199">
        <v>350000</v>
      </c>
      <c r="I194" s="199">
        <v>287550</v>
      </c>
      <c r="J194" s="199">
        <f>Master2017[[#This Row],[Initial Budget]]-Master2017[[#This Row],[Previously Committed Funds]]</f>
        <v>62450</v>
      </c>
      <c r="K194" s="199">
        <v>30000</v>
      </c>
      <c r="L194" s="200">
        <v>2200000</v>
      </c>
      <c r="M194" s="214">
        <f>Master2017[[#This Row],[Design $ (Add/Deduct)]]+Master2017[[#This Row],[Construction $ (Add/Ded)]]</f>
        <v>2230000</v>
      </c>
      <c r="N194" s="215">
        <f>Master2017[[#This Row],[Total Add]]+Master2017[[#This Row],[Current Available Balance]]+Master2017[[#This Row],[Previously Committed Funds]]</f>
        <v>2580000</v>
      </c>
      <c r="O194" s="183">
        <v>2018</v>
      </c>
      <c r="P194" s="181" t="s">
        <v>29</v>
      </c>
      <c r="Q194" s="181">
        <f>VLOOKUP(P194,Importance, 2, FALSE)</f>
        <v>0</v>
      </c>
      <c r="R194" s="183" t="s">
        <v>29</v>
      </c>
      <c r="S194" s="181">
        <f t="shared" si="27"/>
        <v>0</v>
      </c>
      <c r="T194" s="181" t="s">
        <v>29</v>
      </c>
      <c r="U194" s="181">
        <f t="shared" si="28"/>
        <v>0</v>
      </c>
      <c r="V194" s="181" t="s">
        <v>38</v>
      </c>
      <c r="W194" s="181"/>
      <c r="X194" s="181"/>
      <c r="Y194" s="181"/>
      <c r="Z194" s="181"/>
      <c r="AA194" s="181"/>
      <c r="AB194" s="181"/>
      <c r="AC194" s="181"/>
      <c r="AD194" s="181" t="s">
        <v>29</v>
      </c>
      <c r="AE194" s="181">
        <f>VLOOKUP(Master2017[[#This Row],[Elevated Priority]],Epriority,2,)</f>
        <v>0</v>
      </c>
      <c r="AF194" s="183">
        <f>IF(Master2017[[#This Row],[Status]]="Active",Master2017[[#This Row],[Status_Score]],IF(C194="","",Q194+G194+S194+U194+AE194-5))</f>
        <v>995</v>
      </c>
      <c r="AG194" s="185" t="s">
        <v>757</v>
      </c>
      <c r="AH194" s="185">
        <v>2018</v>
      </c>
      <c r="AI194" s="185">
        <v>2020</v>
      </c>
      <c r="AJ194" s="181"/>
    </row>
    <row r="195" spans="1:36" ht="75" x14ac:dyDescent="0.25">
      <c r="A195" s="198">
        <f t="shared" si="23"/>
        <v>189</v>
      </c>
      <c r="B195" s="197" t="s">
        <v>61</v>
      </c>
      <c r="C195" s="181" t="s">
        <v>743</v>
      </c>
      <c r="D195" s="181" t="s">
        <v>849</v>
      </c>
      <c r="E195" s="181" t="s">
        <v>850</v>
      </c>
      <c r="F195" s="181" t="s">
        <v>816</v>
      </c>
      <c r="G195" s="181">
        <f t="shared" si="29"/>
        <v>1000</v>
      </c>
      <c r="H195" s="199">
        <v>0</v>
      </c>
      <c r="I195" s="199">
        <v>0</v>
      </c>
      <c r="J195" s="199">
        <f>Master2017[[#This Row],[Initial Budget]]-Master2017[[#This Row],[Previously Committed Funds]]</f>
        <v>0</v>
      </c>
      <c r="K195" s="199">
        <v>280000</v>
      </c>
      <c r="L195" s="200">
        <v>5000000</v>
      </c>
      <c r="M195" s="214">
        <f>Master2017[[#This Row],[Design $ (Add/Deduct)]]+Master2017[[#This Row],[Construction $ (Add/Ded)]]</f>
        <v>5280000</v>
      </c>
      <c r="N195" s="215">
        <f>Master2017[[#This Row],[Total Add]]+Master2017[[#This Row],[Current Available Balance]]+Master2017[[#This Row],[Previously Committed Funds]]</f>
        <v>5280000</v>
      </c>
      <c r="O195" s="183">
        <v>2018</v>
      </c>
      <c r="P195" s="181" t="s">
        <v>29</v>
      </c>
      <c r="Q195" s="181">
        <f>VLOOKUP(P195,Importance, 2, FALSE)</f>
        <v>0</v>
      </c>
      <c r="R195" s="183" t="s">
        <v>29</v>
      </c>
      <c r="S195" s="181">
        <f t="shared" si="27"/>
        <v>0</v>
      </c>
      <c r="T195" s="181" t="s">
        <v>29</v>
      </c>
      <c r="U195" s="181">
        <f t="shared" si="28"/>
        <v>0</v>
      </c>
      <c r="V195" s="181" t="s">
        <v>38</v>
      </c>
      <c r="W195" s="181"/>
      <c r="X195" s="181"/>
      <c r="Y195" s="181"/>
      <c r="Z195" s="181"/>
      <c r="AA195" s="181"/>
      <c r="AB195" s="181"/>
      <c r="AC195" s="181"/>
      <c r="AD195" s="181" t="s">
        <v>29</v>
      </c>
      <c r="AE195" s="181">
        <f>VLOOKUP(Master2017[[#This Row],[Elevated Priority]],Epriority,2,)</f>
        <v>0</v>
      </c>
      <c r="AF195" s="183">
        <f>IF(Master2017[[#This Row],[Status]]="Active",Master2017[[#This Row],[Status_Score]],IF(C195="","",Q195+G195+S195+U195+AE195-5))</f>
        <v>995</v>
      </c>
      <c r="AG195" s="185" t="s">
        <v>757</v>
      </c>
      <c r="AH195" s="185">
        <v>2018</v>
      </c>
      <c r="AI195" s="185">
        <v>2020</v>
      </c>
      <c r="AJ195" s="181"/>
    </row>
    <row r="196" spans="1:36" ht="150" x14ac:dyDescent="0.25">
      <c r="A196" s="198">
        <f t="shared" si="23"/>
        <v>190</v>
      </c>
      <c r="B196" s="197" t="s">
        <v>73</v>
      </c>
      <c r="C196" s="181" t="s">
        <v>640</v>
      </c>
      <c r="D196" s="181" t="s">
        <v>679</v>
      </c>
      <c r="E196" s="181" t="s">
        <v>877</v>
      </c>
      <c r="F196" s="181" t="s">
        <v>816</v>
      </c>
      <c r="G196" s="181">
        <f t="shared" si="29"/>
        <v>1000</v>
      </c>
      <c r="H196" s="199">
        <v>150000</v>
      </c>
      <c r="I196" s="199">
        <f>13467.55+12925.45</f>
        <v>26393</v>
      </c>
      <c r="J196" s="199">
        <f>Master2017[[#This Row],[Initial Budget]]-Master2017[[#This Row],[Previously Committed Funds]]</f>
        <v>123607</v>
      </c>
      <c r="K196" s="199"/>
      <c r="L196" s="200">
        <v>400000</v>
      </c>
      <c r="M196" s="214">
        <f>Master2017[[#This Row],[Design $ (Add/Deduct)]]+Master2017[[#This Row],[Construction $ (Add/Ded)]]</f>
        <v>400000</v>
      </c>
      <c r="N196" s="230">
        <v>650000</v>
      </c>
      <c r="O196" s="187">
        <v>2018</v>
      </c>
      <c r="P196" s="181" t="s">
        <v>36</v>
      </c>
      <c r="Q196" s="187">
        <f t="shared" ref="Q196:Q205" si="30">VLOOKUP(P196,Importance,2,FALSE)</f>
        <v>10</v>
      </c>
      <c r="R196" s="185">
        <v>1</v>
      </c>
      <c r="S196" s="185">
        <f t="shared" si="27"/>
        <v>3</v>
      </c>
      <c r="T196" s="185" t="s">
        <v>33</v>
      </c>
      <c r="U196" s="185">
        <f t="shared" si="28"/>
        <v>1</v>
      </c>
      <c r="V196" s="185" t="s">
        <v>30</v>
      </c>
      <c r="W196" s="185">
        <v>0</v>
      </c>
      <c r="X196" s="185">
        <v>0</v>
      </c>
      <c r="Y196" s="185">
        <v>0</v>
      </c>
      <c r="Z196" s="185">
        <v>0</v>
      </c>
      <c r="AA196" s="185">
        <v>0</v>
      </c>
      <c r="AB196" s="185">
        <v>0</v>
      </c>
      <c r="AC196" s="185">
        <v>0</v>
      </c>
      <c r="AD196" s="183" t="s">
        <v>29</v>
      </c>
      <c r="AE196" s="187">
        <f>VLOOKUP(Master2017[[#This Row],[Elevated Priority]],Epriority,2,)</f>
        <v>0</v>
      </c>
      <c r="AF196" s="185">
        <f>IF(Master2017[[#This Row],[Status]]="Active",Master2017[[#This Row],[Status_Score]],IF(C196="","",Q196+G196+S196+U196+AE196-5))</f>
        <v>1009</v>
      </c>
      <c r="AG196" s="185" t="s">
        <v>715</v>
      </c>
      <c r="AH196" s="185">
        <v>2019</v>
      </c>
      <c r="AI196" s="185">
        <v>2020</v>
      </c>
      <c r="AJ196" s="181" t="s">
        <v>157</v>
      </c>
    </row>
    <row r="197" spans="1:36" ht="45" x14ac:dyDescent="0.25">
      <c r="A197" s="198">
        <f t="shared" si="23"/>
        <v>191</v>
      </c>
      <c r="B197" s="197" t="s">
        <v>655</v>
      </c>
      <c r="C197" s="181" t="s">
        <v>753</v>
      </c>
      <c r="D197" s="181" t="s">
        <v>854</v>
      </c>
      <c r="E197" s="181" t="s">
        <v>880</v>
      </c>
      <c r="F197" s="181" t="s">
        <v>816</v>
      </c>
      <c r="G197" s="181">
        <f t="shared" si="29"/>
        <v>1000</v>
      </c>
      <c r="H197" s="199"/>
      <c r="I197" s="199"/>
      <c r="J197" s="199">
        <f>Master2017[[#This Row],[Initial Budget]]-Master2017[[#This Row],[Previously Committed Funds]]</f>
        <v>0</v>
      </c>
      <c r="K197" s="199"/>
      <c r="L197" s="200"/>
      <c r="M197" s="214">
        <f>Master2017[[#This Row],[Design $ (Add/Deduct)]]+Master2017[[#This Row],[Construction $ (Add/Ded)]]</f>
        <v>0</v>
      </c>
      <c r="N197" s="230">
        <v>300000</v>
      </c>
      <c r="O197" s="183">
        <v>2019</v>
      </c>
      <c r="P197" s="181" t="s">
        <v>36</v>
      </c>
      <c r="Q197" s="187">
        <f t="shared" si="30"/>
        <v>10</v>
      </c>
      <c r="R197" s="185">
        <v>10</v>
      </c>
      <c r="S197" s="185">
        <f t="shared" si="27"/>
        <v>21</v>
      </c>
      <c r="T197" s="185" t="s">
        <v>33</v>
      </c>
      <c r="U197" s="185">
        <f t="shared" si="28"/>
        <v>1</v>
      </c>
      <c r="V197" s="185" t="s">
        <v>30</v>
      </c>
      <c r="W197" s="185">
        <v>0</v>
      </c>
      <c r="X197" s="185">
        <v>0</v>
      </c>
      <c r="Y197" s="185">
        <v>0</v>
      </c>
      <c r="Z197" s="185">
        <v>0</v>
      </c>
      <c r="AA197" s="185">
        <v>0</v>
      </c>
      <c r="AB197" s="185">
        <v>0</v>
      </c>
      <c r="AC197" s="185">
        <v>0</v>
      </c>
      <c r="AD197" s="183" t="s">
        <v>29</v>
      </c>
      <c r="AE197" s="187">
        <f>VLOOKUP(Master2017[[#This Row],[Elevated Priority]],Epriority,2,)</f>
        <v>0</v>
      </c>
      <c r="AF197" s="185">
        <f>IF(Master2017[[#This Row],[Status]]="Active",Master2017[[#This Row],[Status_Score]],IF(C197="","",Q197+G197+S197+U197+AE197-5))</f>
        <v>1027</v>
      </c>
      <c r="AG197" s="185"/>
      <c r="AH197" s="185">
        <v>2019</v>
      </c>
      <c r="AI197" s="185">
        <v>2020</v>
      </c>
      <c r="AJ197" s="181" t="s">
        <v>654</v>
      </c>
    </row>
    <row r="198" spans="1:36" ht="30" x14ac:dyDescent="0.25">
      <c r="A198" s="198">
        <f t="shared" si="23"/>
        <v>192</v>
      </c>
      <c r="B198" s="197" t="s">
        <v>79</v>
      </c>
      <c r="C198" s="181" t="s">
        <v>199</v>
      </c>
      <c r="D198" s="181" t="s">
        <v>200</v>
      </c>
      <c r="E198" s="181" t="s">
        <v>201</v>
      </c>
      <c r="F198" s="181" t="s">
        <v>816</v>
      </c>
      <c r="G198" s="181">
        <f t="shared" si="29"/>
        <v>1000</v>
      </c>
      <c r="H198" s="199"/>
      <c r="I198" s="199"/>
      <c r="J198" s="199">
        <f>Master2017[[#This Row],[Initial Budget]]-Master2017[[#This Row],[Previously Committed Funds]]</f>
        <v>0</v>
      </c>
      <c r="K198" s="199"/>
      <c r="L198" s="200"/>
      <c r="M198" s="214">
        <f>Master2017[[#This Row],[Design $ (Add/Deduct)]]+Master2017[[#This Row],[Construction $ (Add/Ded)]]</f>
        <v>0</v>
      </c>
      <c r="N198" s="230">
        <v>30000</v>
      </c>
      <c r="O198" s="187">
        <v>2018</v>
      </c>
      <c r="P198" s="181" t="s">
        <v>36</v>
      </c>
      <c r="Q198" s="187">
        <f t="shared" si="30"/>
        <v>10</v>
      </c>
      <c r="R198" s="185">
        <v>4</v>
      </c>
      <c r="S198" s="185">
        <f t="shared" si="27"/>
        <v>12</v>
      </c>
      <c r="T198" s="185" t="s">
        <v>41</v>
      </c>
      <c r="U198" s="185">
        <f t="shared" si="28"/>
        <v>4</v>
      </c>
      <c r="V198" s="185" t="s">
        <v>30</v>
      </c>
      <c r="W198" s="151">
        <v>0</v>
      </c>
      <c r="X198" s="185">
        <v>0</v>
      </c>
      <c r="Y198" s="185">
        <v>0</v>
      </c>
      <c r="Z198" s="185">
        <v>0</v>
      </c>
      <c r="AA198" s="185">
        <v>0</v>
      </c>
      <c r="AB198" s="185">
        <v>0</v>
      </c>
      <c r="AC198" s="185">
        <v>0</v>
      </c>
      <c r="AD198" s="183" t="s">
        <v>29</v>
      </c>
      <c r="AE198" s="187">
        <f>VLOOKUP(Master2017[[#This Row],[Elevated Priority]],Epriority,2,)</f>
        <v>0</v>
      </c>
      <c r="AF198" s="185">
        <f>IF(Master2017[[#This Row],[Status]]="Active",Master2017[[#This Row],[Status_Score]],IF(C198="","",Q198+G198+S198+U198+AE198-5))</f>
        <v>1021</v>
      </c>
      <c r="AG198" s="185"/>
      <c r="AH198" s="185"/>
      <c r="AI198" s="185">
        <v>2020</v>
      </c>
      <c r="AJ198" s="196"/>
    </row>
    <row r="199" spans="1:36" ht="60" hidden="1" x14ac:dyDescent="0.25">
      <c r="A199" s="198">
        <f t="shared" si="23"/>
        <v>193</v>
      </c>
      <c r="B199" s="197" t="s">
        <v>61</v>
      </c>
      <c r="C199" s="181" t="s">
        <v>478</v>
      </c>
      <c r="D199" s="181" t="s">
        <v>711</v>
      </c>
      <c r="E199" s="181" t="s">
        <v>480</v>
      </c>
      <c r="F199" s="181" t="s">
        <v>816</v>
      </c>
      <c r="G199" s="181">
        <f t="shared" si="29"/>
        <v>1000</v>
      </c>
      <c r="H199" s="199">
        <f>326250+108750</f>
        <v>435000</v>
      </c>
      <c r="I199" s="199">
        <v>15857</v>
      </c>
      <c r="J199" s="199">
        <f>Master2017[[#This Row],[Initial Budget]]-Master2017[[#This Row],[Previously Committed Funds]]</f>
        <v>419143</v>
      </c>
      <c r="K199" s="199">
        <v>0</v>
      </c>
      <c r="L199" s="200">
        <v>0</v>
      </c>
      <c r="M199" s="214">
        <f>Master2017[[#This Row],[Design $ (Add/Deduct)]]+Master2017[[#This Row],[Construction $ (Add/Ded)]]</f>
        <v>0</v>
      </c>
      <c r="N199" s="215">
        <f>Master2017[[#This Row],[Total Add]]+Master2017[[#This Row],[Current Available Balance]]+Master2017[[#This Row],[Previously Committed Funds]]</f>
        <v>435000</v>
      </c>
      <c r="O199" s="187">
        <v>2018</v>
      </c>
      <c r="P199" s="181" t="s">
        <v>686</v>
      </c>
      <c r="Q199" s="187">
        <f t="shared" si="30"/>
        <v>60</v>
      </c>
      <c r="R199" s="185">
        <v>1</v>
      </c>
      <c r="S199" s="185">
        <f t="shared" si="27"/>
        <v>3</v>
      </c>
      <c r="T199" s="185" t="s">
        <v>37</v>
      </c>
      <c r="U199" s="185">
        <f t="shared" si="28"/>
        <v>3</v>
      </c>
      <c r="V199" s="185" t="s">
        <v>34</v>
      </c>
      <c r="W199" s="185">
        <v>0</v>
      </c>
      <c r="X199" s="151">
        <v>0</v>
      </c>
      <c r="Y199" s="185">
        <v>0</v>
      </c>
      <c r="Z199" s="185">
        <v>0</v>
      </c>
      <c r="AA199" s="151">
        <v>0</v>
      </c>
      <c r="AB199" s="151">
        <v>0</v>
      </c>
      <c r="AC199" s="151">
        <v>0</v>
      </c>
      <c r="AD199" s="183" t="s">
        <v>29</v>
      </c>
      <c r="AE199" s="187">
        <f>VLOOKUP(Master2017[[#This Row],[Elevated Priority]],Epriority,2,)</f>
        <v>0</v>
      </c>
      <c r="AF199" s="185">
        <f>IF(Master2017[[#This Row],[Status]]="Active",Master2017[[#This Row],[Status_Score]],IF(C199="","",Q199+G199+S199+U199+AE199-5))</f>
        <v>1061</v>
      </c>
      <c r="AG199" s="185" t="s">
        <v>759</v>
      </c>
      <c r="AH199" s="185">
        <v>2018</v>
      </c>
      <c r="AI199" s="185">
        <v>2020</v>
      </c>
      <c r="AJ199" s="181" t="s">
        <v>748</v>
      </c>
    </row>
    <row r="200" spans="1:36" ht="45" x14ac:dyDescent="0.25">
      <c r="A200" s="198">
        <f t="shared" si="23"/>
        <v>194</v>
      </c>
      <c r="B200" s="227" t="s">
        <v>761</v>
      </c>
      <c r="C200" s="193" t="s">
        <v>745</v>
      </c>
      <c r="D200" s="193" t="s">
        <v>675</v>
      </c>
      <c r="E200" s="193" t="s">
        <v>676</v>
      </c>
      <c r="F200" s="193" t="s">
        <v>816</v>
      </c>
      <c r="G200" s="195">
        <f t="shared" si="29"/>
        <v>1000</v>
      </c>
      <c r="H200" s="228">
        <v>200000</v>
      </c>
      <c r="I200" s="228">
        <v>19607</v>
      </c>
      <c r="J200" s="199">
        <f>Master2017[[#This Row],[Initial Budget]]-Master2017[[#This Row],[Previously Committed Funds]]</f>
        <v>180393</v>
      </c>
      <c r="K200" s="228">
        <v>0</v>
      </c>
      <c r="L200" s="229">
        <v>0</v>
      </c>
      <c r="M200" s="214">
        <f>Master2017[[#This Row],[Design $ (Add/Deduct)]]+Master2017[[#This Row],[Construction $ (Add/Ded)]]</f>
        <v>0</v>
      </c>
      <c r="N200" s="231">
        <v>250000</v>
      </c>
      <c r="O200" s="194">
        <v>2019</v>
      </c>
      <c r="P200" s="181" t="s">
        <v>686</v>
      </c>
      <c r="Q200" s="187">
        <f t="shared" si="30"/>
        <v>60</v>
      </c>
      <c r="R200" s="185">
        <v>1</v>
      </c>
      <c r="S200" s="185">
        <f t="shared" si="27"/>
        <v>3</v>
      </c>
      <c r="T200" s="185" t="s">
        <v>47</v>
      </c>
      <c r="U200" s="185">
        <f t="shared" si="28"/>
        <v>64</v>
      </c>
      <c r="V200" s="185" t="s">
        <v>38</v>
      </c>
      <c r="W200" s="185"/>
      <c r="X200" s="185"/>
      <c r="Y200" s="185"/>
      <c r="Z200" s="185"/>
      <c r="AA200" s="185"/>
      <c r="AB200" s="185"/>
      <c r="AC200" s="185"/>
      <c r="AD200" s="183" t="s">
        <v>29</v>
      </c>
      <c r="AE200" s="187">
        <f>VLOOKUP(Master2017[[#This Row],[Elevated Priority]],Epriority,2,)</f>
        <v>0</v>
      </c>
      <c r="AF200" s="185">
        <f>IF(C200="","",Q200+G200+S200+U200+AE200-5)</f>
        <v>1122</v>
      </c>
      <c r="AG200" s="184" t="s">
        <v>758</v>
      </c>
      <c r="AH200" s="184">
        <v>2019</v>
      </c>
      <c r="AI200" s="184">
        <v>2020</v>
      </c>
      <c r="AJ200" s="193"/>
    </row>
    <row r="201" spans="1:36" ht="30" x14ac:dyDescent="0.25">
      <c r="A201" s="198">
        <f t="shared" si="23"/>
        <v>195</v>
      </c>
      <c r="B201" s="197" t="s">
        <v>94</v>
      </c>
      <c r="C201" s="181" t="s">
        <v>139</v>
      </c>
      <c r="D201" s="181" t="s">
        <v>137</v>
      </c>
      <c r="E201" s="181" t="s">
        <v>879</v>
      </c>
      <c r="F201" s="181" t="s">
        <v>816</v>
      </c>
      <c r="G201" s="181">
        <f t="shared" si="29"/>
        <v>1000</v>
      </c>
      <c r="H201" s="199">
        <v>50000</v>
      </c>
      <c r="I201" s="199">
        <v>48635</v>
      </c>
      <c r="J201" s="199">
        <f>Master2017[[#This Row],[Initial Budget]]-Master2017[[#This Row],[Previously Committed Funds]]</f>
        <v>1365</v>
      </c>
      <c r="K201" s="199">
        <v>0</v>
      </c>
      <c r="L201" s="200">
        <v>0</v>
      </c>
      <c r="M201" s="214">
        <f>Master2017[[#This Row],[Design $ (Add/Deduct)]]+Master2017[[#This Row],[Construction $ (Add/Ded)]]</f>
        <v>0</v>
      </c>
      <c r="N201" s="215">
        <f>Master2017[[#This Row],[Total Add]]+Master2017[[#This Row],[Current Available Balance]]+Master2017[[#This Row],[Previously Committed Funds]]</f>
        <v>50000</v>
      </c>
      <c r="O201" s="187">
        <v>2018</v>
      </c>
      <c r="P201" s="181" t="s">
        <v>140</v>
      </c>
      <c r="Q201" s="187">
        <f t="shared" si="30"/>
        <v>10</v>
      </c>
      <c r="R201" s="185">
        <v>1</v>
      </c>
      <c r="S201" s="185">
        <f t="shared" si="27"/>
        <v>3</v>
      </c>
      <c r="T201" s="185" t="s">
        <v>33</v>
      </c>
      <c r="U201" s="185">
        <f t="shared" si="28"/>
        <v>1</v>
      </c>
      <c r="V201" s="185" t="s">
        <v>30</v>
      </c>
      <c r="W201" s="151">
        <v>0</v>
      </c>
      <c r="X201" s="151">
        <v>0</v>
      </c>
      <c r="Y201" s="151">
        <v>0</v>
      </c>
      <c r="Z201" s="151">
        <v>0</v>
      </c>
      <c r="AA201" s="151">
        <v>0</v>
      </c>
      <c r="AB201" s="151">
        <v>0</v>
      </c>
      <c r="AC201" s="151">
        <v>0</v>
      </c>
      <c r="AD201" s="183" t="s">
        <v>29</v>
      </c>
      <c r="AE201" s="187">
        <f>VLOOKUP(Master2017[[#This Row],[Elevated Priority]],Epriority,2,)</f>
        <v>0</v>
      </c>
      <c r="AF201" s="151">
        <f>IF(Master2017[[#This Row],[Status]]="Active",Master2017[[#This Row],[Status_Score]],IF(C201="","",Q201+G201+S201+U201+AE201-5))</f>
        <v>1009</v>
      </c>
      <c r="AG201" s="185" t="s">
        <v>716</v>
      </c>
      <c r="AH201" s="185"/>
      <c r="AI201" s="185"/>
      <c r="AJ201" s="181" t="s">
        <v>937</v>
      </c>
    </row>
    <row r="202" spans="1:36" ht="90" x14ac:dyDescent="0.25">
      <c r="A202" s="198">
        <f t="shared" si="23"/>
        <v>196</v>
      </c>
      <c r="B202" s="161" t="s">
        <v>73</v>
      </c>
      <c r="C202" s="149" t="s">
        <v>438</v>
      </c>
      <c r="D202" s="149" t="s">
        <v>439</v>
      </c>
      <c r="E202" s="149" t="s">
        <v>918</v>
      </c>
      <c r="F202" s="149" t="s">
        <v>816</v>
      </c>
      <c r="G202" s="149">
        <f t="shared" si="29"/>
        <v>1000</v>
      </c>
      <c r="H202" s="163"/>
      <c r="I202" s="163"/>
      <c r="J202" s="163">
        <f>Master2017[[#This Row],[Initial Budget]]-Master2017[[#This Row],[Previously Committed Funds]]</f>
        <v>0</v>
      </c>
      <c r="K202" s="163"/>
      <c r="L202" s="203"/>
      <c r="M202" s="191">
        <f>Master2017[[#This Row],[Design $ (Add/Deduct)]]+Master2017[[#This Row],[Construction $ (Add/Ded)]]</f>
        <v>0</v>
      </c>
      <c r="N202" s="206">
        <v>15000</v>
      </c>
      <c r="O202" s="150">
        <v>2018</v>
      </c>
      <c r="P202" s="149" t="s">
        <v>687</v>
      </c>
      <c r="Q202" s="150">
        <f t="shared" si="30"/>
        <v>30</v>
      </c>
      <c r="R202" s="151">
        <v>3</v>
      </c>
      <c r="S202" s="148">
        <f t="shared" si="27"/>
        <v>9</v>
      </c>
      <c r="T202" s="151" t="s">
        <v>43</v>
      </c>
      <c r="U202" s="151">
        <f t="shared" si="28"/>
        <v>16</v>
      </c>
      <c r="V202" s="151" t="s">
        <v>30</v>
      </c>
      <c r="W202" s="151">
        <v>0</v>
      </c>
      <c r="X202" s="151">
        <v>0</v>
      </c>
      <c r="Y202" s="151">
        <v>0</v>
      </c>
      <c r="Z202" s="151">
        <v>0</v>
      </c>
      <c r="AA202" s="151">
        <v>0</v>
      </c>
      <c r="AB202" s="151">
        <v>0</v>
      </c>
      <c r="AC202" s="151">
        <v>0</v>
      </c>
      <c r="AD202" s="152" t="s">
        <v>39</v>
      </c>
      <c r="AE202" s="157">
        <f>VLOOKUP(Master2017[[#This Row],[Elevated Priority]],Epriority,2,)</f>
        <v>-30</v>
      </c>
      <c r="AF202" s="151">
        <f>IF(Master2017[[#This Row],[Status]]="Active",Master2017[[#This Row],[Status_Score]],IF(C202="","",Q202+G202+S202+U202+AE202-5))</f>
        <v>1020</v>
      </c>
      <c r="AG202" s="148"/>
      <c r="AH202" s="148"/>
      <c r="AI202" s="148"/>
      <c r="AJ202" s="156"/>
    </row>
    <row r="203" spans="1:36" x14ac:dyDescent="0.25">
      <c r="A203" s="198">
        <f t="shared" si="23"/>
        <v>197</v>
      </c>
      <c r="B203" s="161" t="s">
        <v>79</v>
      </c>
      <c r="C203" s="149" t="s">
        <v>248</v>
      </c>
      <c r="D203" s="149" t="s">
        <v>249</v>
      </c>
      <c r="E203" s="149" t="s">
        <v>250</v>
      </c>
      <c r="F203" s="149" t="s">
        <v>816</v>
      </c>
      <c r="G203" s="149">
        <f t="shared" si="29"/>
        <v>1000</v>
      </c>
      <c r="H203" s="163"/>
      <c r="I203" s="163"/>
      <c r="J203" s="163">
        <f>Master2017[[#This Row],[Initial Budget]]-Master2017[[#This Row],[Previously Committed Funds]]</f>
        <v>0</v>
      </c>
      <c r="K203" s="163"/>
      <c r="L203" s="203"/>
      <c r="M203" s="191">
        <f>Master2017[[#This Row],[Design $ (Add/Deduct)]]+Master2017[[#This Row],[Construction $ (Add/Ded)]]</f>
        <v>0</v>
      </c>
      <c r="N203" s="206">
        <v>50000</v>
      </c>
      <c r="O203" s="150">
        <v>2018</v>
      </c>
      <c r="P203" s="149" t="s">
        <v>36</v>
      </c>
      <c r="Q203" s="150">
        <f t="shared" si="30"/>
        <v>10</v>
      </c>
      <c r="R203" s="151">
        <v>6</v>
      </c>
      <c r="S203" s="148">
        <f t="shared" si="27"/>
        <v>18</v>
      </c>
      <c r="T203" s="151" t="s">
        <v>41</v>
      </c>
      <c r="U203" s="151">
        <f t="shared" si="28"/>
        <v>4</v>
      </c>
      <c r="V203" s="151" t="s">
        <v>30</v>
      </c>
      <c r="W203" s="151">
        <v>0</v>
      </c>
      <c r="X203" s="151">
        <v>0</v>
      </c>
      <c r="Y203" s="151">
        <v>0</v>
      </c>
      <c r="Z203" s="151">
        <v>0</v>
      </c>
      <c r="AA203" s="151">
        <v>0</v>
      </c>
      <c r="AB203" s="151">
        <v>0</v>
      </c>
      <c r="AC203" s="151">
        <v>0</v>
      </c>
      <c r="AD203" s="152" t="s">
        <v>29</v>
      </c>
      <c r="AE203" s="157">
        <f>VLOOKUP(Master2017[[#This Row],[Elevated Priority]],Epriority,2,)</f>
        <v>0</v>
      </c>
      <c r="AF203" s="151">
        <f>IF(Master2017[[#This Row],[Status]]="Active",Master2017[[#This Row],[Status_Score]],IF(C203="","",Q203+G203+S203+U203+AE203-5))</f>
        <v>1027</v>
      </c>
      <c r="AG203" s="148"/>
      <c r="AH203" s="148"/>
      <c r="AI203" s="148"/>
      <c r="AJ203" s="156"/>
    </row>
    <row r="204" spans="1:36" ht="60" x14ac:dyDescent="0.25">
      <c r="A204" s="198">
        <f t="shared" si="23"/>
        <v>198</v>
      </c>
      <c r="B204" s="161" t="s">
        <v>70</v>
      </c>
      <c r="C204" s="149" t="s">
        <v>296</v>
      </c>
      <c r="D204" s="149" t="s">
        <v>297</v>
      </c>
      <c r="E204" s="149" t="s">
        <v>298</v>
      </c>
      <c r="F204" s="149" t="s">
        <v>816</v>
      </c>
      <c r="G204" s="149">
        <f t="shared" si="29"/>
        <v>1000</v>
      </c>
      <c r="H204" s="163"/>
      <c r="I204" s="163"/>
      <c r="J204" s="163">
        <f>Master2017[[#This Row],[Initial Budget]]-Master2017[[#This Row],[Previously Committed Funds]]</f>
        <v>0</v>
      </c>
      <c r="K204" s="163"/>
      <c r="L204" s="203"/>
      <c r="M204" s="191">
        <f>Master2017[[#This Row],[Design $ (Add/Deduct)]]+Master2017[[#This Row],[Construction $ (Add/Ded)]]</f>
        <v>0</v>
      </c>
      <c r="N204" s="206">
        <v>25000</v>
      </c>
      <c r="O204" s="150">
        <v>2018</v>
      </c>
      <c r="P204" s="149" t="s">
        <v>687</v>
      </c>
      <c r="Q204" s="150">
        <f t="shared" si="30"/>
        <v>30</v>
      </c>
      <c r="R204" s="151">
        <v>4</v>
      </c>
      <c r="S204" s="148">
        <f t="shared" si="27"/>
        <v>12</v>
      </c>
      <c r="T204" s="151" t="s">
        <v>41</v>
      </c>
      <c r="U204" s="151">
        <f t="shared" si="28"/>
        <v>4</v>
      </c>
      <c r="V204" s="151" t="s">
        <v>30</v>
      </c>
      <c r="W204" s="151">
        <v>0</v>
      </c>
      <c r="X204" s="151">
        <v>0</v>
      </c>
      <c r="Y204" s="151">
        <v>0</v>
      </c>
      <c r="Z204" s="151">
        <v>0</v>
      </c>
      <c r="AA204" s="151">
        <v>0</v>
      </c>
      <c r="AB204" s="151">
        <v>0</v>
      </c>
      <c r="AC204" s="151">
        <v>0</v>
      </c>
      <c r="AD204" s="152" t="s">
        <v>29</v>
      </c>
      <c r="AE204" s="157">
        <f>VLOOKUP(Master2017[[#This Row],[Elevated Priority]],Epriority,2,)</f>
        <v>0</v>
      </c>
      <c r="AF204" s="151">
        <f>IF(Master2017[[#This Row],[Status]]="Active",Master2017[[#This Row],[Status_Score]],IF(C204="","",Q204+G204+S204+U204+AE204-5))</f>
        <v>1041</v>
      </c>
      <c r="AG204" s="148"/>
      <c r="AH204" s="148"/>
      <c r="AI204" s="148"/>
      <c r="AJ204" s="156" t="s">
        <v>667</v>
      </c>
    </row>
    <row r="205" spans="1:36" ht="75" x14ac:dyDescent="0.25">
      <c r="A205" s="198">
        <f t="shared" si="23"/>
        <v>199</v>
      </c>
      <c r="B205" s="149" t="s">
        <v>143</v>
      </c>
      <c r="C205" s="149" t="s">
        <v>333</v>
      </c>
      <c r="D205" s="149" t="s">
        <v>334</v>
      </c>
      <c r="E205" s="149" t="s">
        <v>894</v>
      </c>
      <c r="F205" s="149" t="s">
        <v>816</v>
      </c>
      <c r="G205" s="149">
        <f t="shared" si="29"/>
        <v>1000</v>
      </c>
      <c r="H205" s="162"/>
      <c r="I205" s="162"/>
      <c r="J205" s="162">
        <f>Master2017[[#This Row],[Initial Budget]]-Master2017[[#This Row],[Previously Committed Funds]]</f>
        <v>0</v>
      </c>
      <c r="K205" s="162"/>
      <c r="L205" s="162"/>
      <c r="M205" s="189">
        <f>Master2017[[#This Row],[Design $ (Add/Deduct)]]+Master2017[[#This Row],[Construction $ (Add/Ded)]]</f>
        <v>0</v>
      </c>
      <c r="N205" s="162">
        <v>40000</v>
      </c>
      <c r="O205" s="150">
        <v>2018</v>
      </c>
      <c r="P205" s="149" t="s">
        <v>686</v>
      </c>
      <c r="Q205" s="150">
        <f t="shared" si="30"/>
        <v>60</v>
      </c>
      <c r="R205" s="152">
        <v>1</v>
      </c>
      <c r="S205" s="148">
        <f t="shared" si="27"/>
        <v>3</v>
      </c>
      <c r="T205" s="152" t="s">
        <v>41</v>
      </c>
      <c r="U205" s="151">
        <f t="shared" si="28"/>
        <v>4</v>
      </c>
      <c r="V205" s="151" t="s">
        <v>30</v>
      </c>
      <c r="W205" s="151">
        <v>0</v>
      </c>
      <c r="X205" s="151">
        <v>0</v>
      </c>
      <c r="Y205" s="151">
        <v>0</v>
      </c>
      <c r="Z205" s="151">
        <v>0</v>
      </c>
      <c r="AA205" s="151">
        <v>0</v>
      </c>
      <c r="AB205" s="151">
        <v>0</v>
      </c>
      <c r="AC205" s="151">
        <v>0</v>
      </c>
      <c r="AD205" s="152" t="s">
        <v>29</v>
      </c>
      <c r="AE205" s="157">
        <f>VLOOKUP(Master2017[[#This Row],[Elevated Priority]],Epriority,2,)</f>
        <v>0</v>
      </c>
      <c r="AF205" s="151">
        <f>IF(Master2017[[#This Row],[Status]]="Active",Master2017[[#This Row],[Status_Score]],IF(C205="","",Q205+G205+S205+U205+AE205-5))</f>
        <v>1062</v>
      </c>
      <c r="AG205" s="148"/>
      <c r="AH205" s="148"/>
      <c r="AI205" s="148"/>
      <c r="AJ205" s="156" t="s">
        <v>664</v>
      </c>
    </row>
    <row r="206" spans="1:36" x14ac:dyDescent="0.25">
      <c r="B206" s="161"/>
      <c r="C206" s="149"/>
      <c r="D206" s="149"/>
      <c r="E206" s="149"/>
      <c r="F206" s="149"/>
      <c r="G206" s="155"/>
      <c r="H206" s="163"/>
      <c r="I206" s="163"/>
      <c r="J206" s="163"/>
      <c r="K206" s="163"/>
      <c r="L206" s="163"/>
      <c r="M206" s="191"/>
      <c r="N206" s="163"/>
      <c r="O206" s="150"/>
      <c r="P206" s="149"/>
      <c r="Q206" s="150"/>
      <c r="R206" s="32"/>
      <c r="T206" s="152"/>
      <c r="U206" s="107"/>
      <c r="V206" s="107"/>
      <c r="W206" s="107"/>
      <c r="X206" s="107"/>
      <c r="Y206" s="107"/>
      <c r="Z206" s="107"/>
      <c r="AA206" s="107"/>
      <c r="AB206" s="107"/>
      <c r="AC206" s="107"/>
      <c r="AD206" s="32"/>
      <c r="AE206" s="226"/>
      <c r="AF206" s="107"/>
      <c r="AJ206" s="102"/>
    </row>
    <row r="207" spans="1:36" x14ac:dyDescent="0.25">
      <c r="A207" s="198">
        <f>A205+1</f>
        <v>200</v>
      </c>
      <c r="B207" s="161"/>
      <c r="C207" s="164"/>
      <c r="D207" s="164"/>
      <c r="E207" s="180"/>
      <c r="F207" s="149"/>
      <c r="G207" s="155"/>
      <c r="H207" s="163"/>
      <c r="I207" s="163"/>
      <c r="J207" s="163"/>
      <c r="K207" s="163"/>
      <c r="L207" s="163"/>
      <c r="M207" s="191"/>
      <c r="N207" s="122"/>
      <c r="O207" s="150"/>
      <c r="P207" s="149"/>
      <c r="Q207" s="150"/>
      <c r="R207" s="107"/>
      <c r="S207" s="151"/>
      <c r="T207" s="151"/>
      <c r="U207" s="107"/>
      <c r="V207" s="107"/>
      <c r="W207" s="107"/>
      <c r="X207" s="107"/>
      <c r="Y207" s="107"/>
      <c r="Z207" s="107"/>
      <c r="AA207" s="107"/>
      <c r="AB207" s="107"/>
      <c r="AC207" s="107"/>
      <c r="AD207" s="32"/>
      <c r="AE207" s="31"/>
      <c r="AF207" s="107"/>
      <c r="AJ207" s="102"/>
    </row>
  </sheetData>
  <conditionalFormatting sqref="C208:C1048576 C48:C50 C1 C173:C174 C41:C46 C181 C54:C166 C9:C39">
    <cfRule type="duplicateValues" priority="19"/>
  </conditionalFormatting>
  <conditionalFormatting sqref="C47">
    <cfRule type="duplicateValues" priority="18"/>
  </conditionalFormatting>
  <conditionalFormatting sqref="C167">
    <cfRule type="duplicateValues" priority="17"/>
  </conditionalFormatting>
  <conditionalFormatting sqref="C168:C172">
    <cfRule type="duplicateValues" priority="16"/>
  </conditionalFormatting>
  <conditionalFormatting sqref="C178 C175:C176">
    <cfRule type="duplicateValues" priority="20"/>
  </conditionalFormatting>
  <conditionalFormatting sqref="C40">
    <cfRule type="duplicateValues" priority="15"/>
  </conditionalFormatting>
  <conditionalFormatting sqref="C53">
    <cfRule type="duplicateValues" priority="14"/>
  </conditionalFormatting>
  <conditionalFormatting sqref="C182">
    <cfRule type="duplicateValues" priority="13"/>
  </conditionalFormatting>
  <conditionalFormatting sqref="C183">
    <cfRule type="duplicateValues" priority="12"/>
  </conditionalFormatting>
  <conditionalFormatting sqref="C184">
    <cfRule type="duplicateValues" priority="11"/>
  </conditionalFormatting>
  <conditionalFormatting sqref="C207:D207">
    <cfRule type="duplicateValues" priority="10"/>
  </conditionalFormatting>
  <conditionalFormatting sqref="C185:D204">
    <cfRule type="duplicateValues" priority="9"/>
  </conditionalFormatting>
  <conditionalFormatting sqref="D43">
    <cfRule type="duplicateValues" priority="8"/>
  </conditionalFormatting>
  <conditionalFormatting sqref="B49:B50">
    <cfRule type="duplicateValues" priority="7"/>
  </conditionalFormatting>
  <conditionalFormatting sqref="C51:C52">
    <cfRule type="duplicateValues" priority="6"/>
  </conditionalFormatting>
  <conditionalFormatting sqref="B51:B52">
    <cfRule type="duplicateValues" priority="5"/>
  </conditionalFormatting>
  <conditionalFormatting sqref="D46">
    <cfRule type="duplicateValues" priority="4"/>
  </conditionalFormatting>
  <conditionalFormatting sqref="C177">
    <cfRule type="duplicateValues" priority="21"/>
  </conditionalFormatting>
  <conditionalFormatting sqref="C205:C206">
    <cfRule type="duplicateValues" priority="3"/>
  </conditionalFormatting>
  <conditionalFormatting sqref="B62">
    <cfRule type="duplicateValues" priority="2"/>
  </conditionalFormatting>
  <conditionalFormatting sqref="B64">
    <cfRule type="duplicateValues" priority="1"/>
  </conditionalFormatting>
  <dataValidations count="13">
    <dataValidation type="list" allowBlank="1" showInputMessage="1" showErrorMessage="1" sqref="AC9:AC207" xr:uid="{00000000-0002-0000-0300-000000000000}">
      <formula1>Risk</formula1>
    </dataValidation>
    <dataValidation type="list" allowBlank="1" showInputMessage="1" showErrorMessage="1" sqref="AA9:AA207" xr:uid="{00000000-0002-0000-0300-000001000000}">
      <formula1>Com_Request</formula1>
    </dataValidation>
    <dataValidation type="list" allowBlank="1" showInputMessage="1" showErrorMessage="1" sqref="Z9:Z207" xr:uid="{00000000-0002-0000-0300-000002000000}">
      <formula1>Com_Need</formula1>
    </dataValidation>
    <dataValidation type="list" allowBlank="1" showInputMessage="1" showErrorMessage="1" sqref="Y9:Y207" xr:uid="{00000000-0002-0000-0300-000003000000}">
      <formula1>Age_Inf</formula1>
    </dataValidation>
    <dataValidation type="list" allowBlank="1" showInputMessage="1" showErrorMessage="1" sqref="AD2:AD207" xr:uid="{00000000-0002-0000-0300-000004000000}">
      <formula1>ele_pri</formula1>
    </dataValidation>
    <dataValidation type="list" allowBlank="1" showInputMessage="1" showErrorMessage="1" sqref="T2:T207" xr:uid="{00000000-0002-0000-0300-000005000000}">
      <formula1>Urgency_List</formula1>
    </dataValidation>
    <dataValidation type="list" allowBlank="1" showInputMessage="1" showErrorMessage="1" sqref="R2:R207" xr:uid="{00000000-0002-0000-0300-000006000000}">
      <formula1>Department_List</formula1>
    </dataValidation>
    <dataValidation type="list" allowBlank="1" showInputMessage="1" showErrorMessage="1" sqref="F2:F207" xr:uid="{00000000-0002-0000-0300-000007000000}">
      <formula1>Status</formula1>
    </dataValidation>
    <dataValidation type="list" allowBlank="1" showInputMessage="1" showErrorMessage="1" sqref="AB39 AB33 AB25:AB26 AB21:AB22 AB9" xr:uid="{00000000-0002-0000-0300-000008000000}">
      <formula1>MasterPlan</formula1>
    </dataValidation>
    <dataValidation type="list" allowBlank="1" showInputMessage="1" showErrorMessage="1" sqref="W9 W21:W22 W25:W26 W33 W39 W43:W44 W50 W59 W66:W67 W71 W73 W77 W80 W84 W88 W92 W94:W95 W100 W102 W107 W114 W120:W121 W123:W125 W132:W134 W137:W139 W141:W142 W145 W147:W148 W156 W158:W160 W162:W167 W170:W171 W173:W175 W177:W180 W150:W154 W183:W189" xr:uid="{00000000-0002-0000-0300-000009000000}">
      <formula1>Revenue</formula1>
    </dataValidation>
    <dataValidation type="list" allowBlank="1" showInputMessage="1" showErrorMessage="1" sqref="X25:X26 X21:X22 X9 X33 X39 X43:X44 X50 X59 X66:X67 X71 X73 X77 X80 X84 X88 X92 X94:X95 X100 X102 X107 X114 X120:X121 X123:X125 X132:X134 X137:X139 X141:X142 X145 X147:X148 X156 X158:X160 X162:X167 X170:X171 X173:X175 X177:X180 X183 X185:X187 X189:X191 X150:X154" xr:uid="{00000000-0002-0000-0300-00000A000000}">
      <formula1>Energy</formula1>
    </dataValidation>
    <dataValidation type="list" allowBlank="1" showInputMessage="1" showErrorMessage="1" sqref="W2:AC5 W7:AC8 AB188 AB207 AB191 AB10:AB13 AB24 W207:X207 X188 W34:X34 W24:X24 W10:X13 AB34 V2:V207" xr:uid="{00000000-0002-0000-0300-00000B000000}">
      <formula1>Funding</formula1>
    </dataValidation>
    <dataValidation type="list" allowBlank="1" showInputMessage="1" showErrorMessage="1" sqref="N208:O219" xr:uid="{00000000-0002-0000-0300-00000C000000}">
      <formula1>"implist"</formula1>
    </dataValidation>
  </dataValidations>
  <pageMargins left="0.7" right="0.7" top="0.75" bottom="0.75" header="0.3" footer="0.3"/>
  <pageSetup paperSize="3" scale="32" fitToHeight="0"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D000000}">
          <x14:formula1>
            <xm:f>Database!$U$24:$U$25</xm:f>
          </x14:formula1>
          <xm:sqref>AC6</xm:sqref>
        </x14:dataValidation>
        <x14:dataValidation type="list" allowBlank="1" showInputMessage="1" showErrorMessage="1" xr:uid="{00000000-0002-0000-0300-00000E000000}">
          <x14:formula1>
            <xm:f>Database!$W$11:$W$16</xm:f>
          </x14:formula1>
          <xm:sqref>AB6 AB40:AB187 AB189:AB190 AB192:AB206 AB14:AB20 AB23 AB35:AB38 AB27:AB32</xm:sqref>
        </x14:dataValidation>
        <x14:dataValidation type="list" allowBlank="1" showInputMessage="1" showErrorMessage="1" xr:uid="{00000000-0002-0000-0300-00000F000000}">
          <x14:formula1>
            <xm:f>Database!$U$16:$U$17</xm:f>
          </x14:formula1>
          <xm:sqref>AA6</xm:sqref>
        </x14:dataValidation>
        <x14:dataValidation type="list" allowBlank="1" showInputMessage="1" showErrorMessage="1" xr:uid="{00000000-0002-0000-0300-000010000000}">
          <x14:formula1>
            <xm:f>Database!$U$13:$U$13</xm:f>
          </x14:formula1>
          <xm:sqref>Y6</xm:sqref>
        </x14:dataValidation>
        <x14:dataValidation type="list" allowBlank="1" showInputMessage="1" showErrorMessage="1" xr:uid="{00000000-0002-0000-0300-000011000000}">
          <x14:formula1>
            <xm:f>Database!$U$8:$U$10</xm:f>
          </x14:formula1>
          <xm:sqref>X69:X70 X64 X61 X54 X42 X75 X78 X82 X90 X93 X98 X105 X119 X122 X126:X127 X131 X136 X140 X144 X146 X149 X155 X157 X161 X169 X172 X176 X182 X184 X101</xm:sqref>
        </x14:dataValidation>
        <x14:dataValidation type="list" allowBlank="1" showInputMessage="1" showErrorMessage="1" xr:uid="{00000000-0002-0000-0300-000012000000}">
          <x14:formula1>
            <xm:f>Database!$U$14:$U$15</xm:f>
          </x14:formula1>
          <xm:sqref>Z6</xm:sqref>
        </x14:dataValidation>
        <x14:dataValidation type="list" allowBlank="1" showInputMessage="1" showErrorMessage="1" xr:uid="{00000000-0002-0000-0300-000013000000}">
          <x14:formula1>
            <xm:f>Database!$U$8:$U$9</xm:f>
          </x14:formula1>
          <xm:sqref>X6 X14:X20 X23 X45:X49 X51:X53 X181 X192:X206 X72 X74 X65 X68 X62:X63 X55:X58 X60 X35:X38 X40:X41 X76 X79 X81 X83 X85:X87 X89 X91 X96:X97 X99 X103:X104 X106 X108:X113 X115:X118 X128:X130 X135 X143 X168 X27:X32</xm:sqref>
        </x14:dataValidation>
        <x14:dataValidation type="list" allowBlank="1" showInputMessage="1" showErrorMessage="1" xr:uid="{00000000-0002-0000-0300-000014000000}">
          <x14:formula1>
            <xm:f>Database!$U$3:$U$8</xm:f>
          </x14:formula1>
          <xm:sqref>W190:W206</xm:sqref>
        </x14:dataValidation>
        <x14:dataValidation type="list" allowBlank="1" showInputMessage="1" showErrorMessage="1" xr:uid="{00000000-0002-0000-0300-000015000000}">
          <x14:formula1>
            <xm:f>Database!$U$3:$U$4</xm:f>
          </x14:formula1>
          <xm:sqref>W172 W23 W93 W6 W176 W181:W182 W14:W20 W35:W38 W40:W42 W45:W49 W51:W58 W60:W65 W68:W70 W72 W74:W76 W78:W79 W81:W83 W85:W87 W89:W91 W96:W99 W101 W103:W106 W108:W113 W115:W119 W122 W126:W131 W135:W136 W140 W143:W144 W146 W149 W155 W157 W161 W168:W169 W27:W32</xm:sqref>
        </x14:dataValidation>
        <x14:dataValidation type="list" allowBlank="1" showInputMessage="1" showErrorMessage="1" xr:uid="{00000000-0002-0000-0300-000016000000}">
          <x14:formula1>
            <xm:f>Database!$D$3:$D$12</xm:f>
          </x14:formula1>
          <xm:sqref>P2:P207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BK207"/>
  <sheetViews>
    <sheetView zoomScaleNormal="100" workbookViewId="0">
      <pane xSplit="5" topLeftCell="F1" activePane="topRight" state="frozen"/>
      <selection pane="topRight" activeCell="F39" sqref="F39"/>
    </sheetView>
  </sheetViews>
  <sheetFormatPr defaultColWidth="9.140625" defaultRowHeight="15" x14ac:dyDescent="0.25"/>
  <cols>
    <col min="1" max="1" width="5" style="198" customWidth="1"/>
    <col min="2" max="2" width="28.140625" style="147" bestFit="1" customWidth="1"/>
    <col min="3" max="3" width="39.7109375" style="156" customWidth="1"/>
    <col min="4" max="4" width="28.5703125" style="156" customWidth="1"/>
    <col min="5" max="5" width="33.42578125" style="3" customWidth="1"/>
    <col min="6" max="6" width="12.28515625" style="3" customWidth="1"/>
    <col min="7" max="8" width="12.42578125" style="3" customWidth="1"/>
    <col min="9" max="9" width="12.85546875" style="3" customWidth="1"/>
    <col min="10" max="10" width="20.42578125" style="3" customWidth="1"/>
    <col min="11" max="12" width="14.28515625" style="3" customWidth="1"/>
    <col min="13" max="13" width="15.85546875" style="143" customWidth="1"/>
    <col min="14" max="14" width="18.85546875" style="159" customWidth="1"/>
    <col min="15" max="15" width="15.140625" style="43" customWidth="1"/>
    <col min="16" max="16" width="24.5703125" style="156" customWidth="1"/>
    <col min="17" max="17" width="14.7109375" style="157" customWidth="1"/>
    <col min="18" max="18" width="15.7109375" style="148" customWidth="1"/>
    <col min="19" max="19" width="14.7109375" style="148" customWidth="1"/>
    <col min="20" max="20" width="12.85546875" style="148" customWidth="1"/>
    <col min="21" max="22" width="14.7109375" style="148" customWidth="1"/>
    <col min="23" max="25" width="14.7109375" style="148" hidden="1" customWidth="1"/>
    <col min="26" max="26" width="16.5703125" style="148" hidden="1" customWidth="1"/>
    <col min="27" max="29" width="14.7109375" style="148" hidden="1" customWidth="1"/>
    <col min="30" max="30" width="13.28515625" style="148" customWidth="1"/>
    <col min="31" max="31" width="14.7109375" style="148" customWidth="1"/>
    <col min="32" max="32" width="18.7109375" style="148" customWidth="1"/>
    <col min="33" max="34" width="13" style="51" customWidth="1"/>
    <col min="35" max="35" width="13.85546875" style="51" customWidth="1"/>
    <col min="36" max="36" width="33" style="9" hidden="1" customWidth="1"/>
    <col min="37" max="37" width="14.28515625" style="48" customWidth="1"/>
    <col min="38" max="63" width="9.140625" style="48"/>
  </cols>
  <sheetData>
    <row r="1" spans="1:63" ht="46.5" customHeight="1" x14ac:dyDescent="0.25">
      <c r="A1" s="198" t="s">
        <v>48</v>
      </c>
      <c r="B1" s="4" t="s">
        <v>49</v>
      </c>
      <c r="C1" s="5" t="s">
        <v>50</v>
      </c>
      <c r="D1" s="5" t="s">
        <v>51</v>
      </c>
      <c r="E1" s="5" t="s">
        <v>52</v>
      </c>
      <c r="F1" s="5" t="s">
        <v>53</v>
      </c>
      <c r="G1" s="5" t="s">
        <v>645</v>
      </c>
      <c r="H1" s="139" t="s">
        <v>736</v>
      </c>
      <c r="I1" s="139" t="s">
        <v>730</v>
      </c>
      <c r="J1" s="139" t="s">
        <v>741</v>
      </c>
      <c r="K1" s="139" t="s">
        <v>738</v>
      </c>
      <c r="L1" s="139" t="s">
        <v>739</v>
      </c>
      <c r="M1" s="139" t="s">
        <v>737</v>
      </c>
      <c r="N1" s="6" t="s">
        <v>731</v>
      </c>
      <c r="O1" s="6" t="s">
        <v>55</v>
      </c>
      <c r="P1" s="4" t="s">
        <v>26</v>
      </c>
      <c r="Q1" s="81" t="s">
        <v>56</v>
      </c>
      <c r="R1" s="4" t="s">
        <v>27</v>
      </c>
      <c r="S1" s="4" t="s">
        <v>57</v>
      </c>
      <c r="T1" s="4" t="s">
        <v>28</v>
      </c>
      <c r="U1" s="7" t="s">
        <v>58</v>
      </c>
      <c r="V1" s="7" t="s">
        <v>23</v>
      </c>
      <c r="W1" s="4" t="s">
        <v>938</v>
      </c>
      <c r="X1" s="4" t="s">
        <v>707</v>
      </c>
      <c r="Y1" s="4" t="s">
        <v>706</v>
      </c>
      <c r="Z1" s="4" t="s">
        <v>939</v>
      </c>
      <c r="AA1" s="4" t="s">
        <v>705</v>
      </c>
      <c r="AB1" s="4" t="s">
        <v>940</v>
      </c>
      <c r="AC1" s="4" t="s">
        <v>708</v>
      </c>
      <c r="AD1" s="4" t="s">
        <v>24</v>
      </c>
      <c r="AE1" s="148" t="s">
        <v>25</v>
      </c>
      <c r="AF1" s="7" t="s">
        <v>685</v>
      </c>
      <c r="AG1" s="138" t="s">
        <v>714</v>
      </c>
      <c r="AH1" s="138" t="s">
        <v>929</v>
      </c>
      <c r="AI1" s="138" t="s">
        <v>930</v>
      </c>
      <c r="AJ1" s="137" t="s">
        <v>680</v>
      </c>
    </row>
    <row r="2" spans="1:63" s="141" customFormat="1" ht="30" hidden="1" x14ac:dyDescent="0.25">
      <c r="A2" s="198" t="s">
        <v>749</v>
      </c>
      <c r="B2" s="181" t="s">
        <v>79</v>
      </c>
      <c r="C2" s="181" t="s">
        <v>779</v>
      </c>
      <c r="D2" s="181" t="s">
        <v>802</v>
      </c>
      <c r="E2" s="181" t="s">
        <v>803</v>
      </c>
      <c r="F2" s="181" t="s">
        <v>720</v>
      </c>
      <c r="G2" s="181">
        <f t="shared" ref="G2:G14" si="0">VLOOKUP(F2,Status_Score,2,FALSE)</f>
        <v>-200</v>
      </c>
      <c r="H2" s="182"/>
      <c r="I2" s="182"/>
      <c r="J2" s="182">
        <f>Master201722[[#This Row],[Initial Budget]]-Master201722[[#This Row],[Previously Committed Funds]]</f>
        <v>0</v>
      </c>
      <c r="K2" s="182"/>
      <c r="L2" s="182"/>
      <c r="M2" s="188">
        <f>Master201722[[#This Row],[Design $ (Add/Deduct)]]+Master201722[[#This Row],[Construction $ (Add/Ded)]]</f>
        <v>0</v>
      </c>
      <c r="N2" s="186">
        <v>150000</v>
      </c>
      <c r="O2" s="187">
        <v>2020</v>
      </c>
      <c r="P2" s="181" t="s">
        <v>688</v>
      </c>
      <c r="Q2" s="187">
        <f>VLOOKUP(P2,Importance,2,FALSE)</f>
        <v>20</v>
      </c>
      <c r="R2" s="185">
        <v>3</v>
      </c>
      <c r="S2" s="185">
        <f t="shared" ref="S2:S14" si="1">VLOOKUP(R2,Department,2,FALSE)</f>
        <v>9</v>
      </c>
      <c r="T2" s="185" t="s">
        <v>33</v>
      </c>
      <c r="U2" s="185">
        <f>VLOOKUP(T2,Urgency,2,FALSE)</f>
        <v>1</v>
      </c>
      <c r="V2" s="185" t="s">
        <v>30</v>
      </c>
      <c r="W2" s="185">
        <v>0</v>
      </c>
      <c r="X2" s="185">
        <v>0</v>
      </c>
      <c r="Y2" s="185">
        <v>0</v>
      </c>
      <c r="Z2" s="185">
        <v>0</v>
      </c>
      <c r="AA2" s="185">
        <v>0</v>
      </c>
      <c r="AB2" s="185">
        <v>0</v>
      </c>
      <c r="AC2" s="185">
        <v>0</v>
      </c>
      <c r="AD2" s="183" t="s">
        <v>29</v>
      </c>
      <c r="AE2" s="187">
        <f>VLOOKUP(Master201722[[#This Row],[Elevated Priority]],Epriority,2,)</f>
        <v>0</v>
      </c>
      <c r="AF2" s="185">
        <f>IF(Master201722[[#This Row],[Status]]="Active",Master201722[[#This Row],[Status_Score]],IF(C2="","",Q2+G2+S2+U2+AE2-5))</f>
        <v>-175</v>
      </c>
      <c r="AG2" s="185" t="s">
        <v>758</v>
      </c>
      <c r="AH2" s="185">
        <v>2020</v>
      </c>
      <c r="AI2" s="185">
        <v>2020</v>
      </c>
      <c r="AJ2" s="156"/>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row>
    <row r="3" spans="1:63" s="141" customFormat="1" ht="45" hidden="1" x14ac:dyDescent="0.25">
      <c r="A3" s="198" t="s">
        <v>750</v>
      </c>
      <c r="B3" s="181" t="s">
        <v>299</v>
      </c>
      <c r="C3" s="181" t="s">
        <v>414</v>
      </c>
      <c r="D3" s="181" t="s">
        <v>414</v>
      </c>
      <c r="E3" s="181" t="s">
        <v>415</v>
      </c>
      <c r="F3" s="181" t="s">
        <v>720</v>
      </c>
      <c r="G3" s="181">
        <f t="shared" si="0"/>
        <v>-200</v>
      </c>
      <c r="H3" s="182"/>
      <c r="I3" s="182"/>
      <c r="J3" s="182">
        <f>Master201722[[#This Row],[Initial Budget]]-Master201722[[#This Row],[Previously Committed Funds]]</f>
        <v>0</v>
      </c>
      <c r="K3" s="182"/>
      <c r="L3" s="182"/>
      <c r="M3" s="188">
        <f>Master201722[[#This Row],[Design $ (Add/Deduct)]]+Master201722[[#This Row],[Construction $ (Add/Ded)]]</f>
        <v>0</v>
      </c>
      <c r="N3" s="182">
        <v>100000</v>
      </c>
      <c r="O3" s="187">
        <v>2018</v>
      </c>
      <c r="P3" s="181" t="s">
        <v>688</v>
      </c>
      <c r="Q3" s="187">
        <f>VLOOKUP(P3,Importance,2,FALSE)</f>
        <v>20</v>
      </c>
      <c r="R3" s="183">
        <v>2</v>
      </c>
      <c r="S3" s="185">
        <f t="shared" si="1"/>
        <v>6</v>
      </c>
      <c r="T3" s="183" t="s">
        <v>41</v>
      </c>
      <c r="U3" s="185">
        <f>VLOOKUP(T3,Urgency,2,FALSE)</f>
        <v>4</v>
      </c>
      <c r="V3" s="185" t="s">
        <v>30</v>
      </c>
      <c r="W3" s="185">
        <v>0</v>
      </c>
      <c r="X3" s="185">
        <v>0</v>
      </c>
      <c r="Y3" s="185">
        <v>0</v>
      </c>
      <c r="Z3" s="185">
        <v>0</v>
      </c>
      <c r="AA3" s="185">
        <v>0</v>
      </c>
      <c r="AB3" s="185">
        <v>0</v>
      </c>
      <c r="AC3" s="185">
        <v>0</v>
      </c>
      <c r="AD3" s="183" t="s">
        <v>29</v>
      </c>
      <c r="AE3" s="187">
        <f>VLOOKUP(Master201722[[#This Row],[Elevated Priority]],Epriority,2,)</f>
        <v>0</v>
      </c>
      <c r="AF3" s="185">
        <f>IF(Master201722[[#This Row],[Status]]="Active",Master201722[[#This Row],[Status_Score]],IF(C3="","",Q3+G3+S3+U3+AE3-5))</f>
        <v>-175</v>
      </c>
      <c r="AG3" s="185" t="s">
        <v>718</v>
      </c>
      <c r="AH3" s="185">
        <v>2020</v>
      </c>
      <c r="AI3" s="185">
        <v>2021</v>
      </c>
      <c r="AJ3" s="156"/>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row>
    <row r="4" spans="1:63" s="141" customFormat="1" ht="75" hidden="1" x14ac:dyDescent="0.25">
      <c r="A4" s="198" t="s">
        <v>751</v>
      </c>
      <c r="B4" s="181" t="s">
        <v>70</v>
      </c>
      <c r="C4" s="181" t="s">
        <v>10</v>
      </c>
      <c r="D4" s="181" t="s">
        <v>851</v>
      </c>
      <c r="E4" s="181" t="s">
        <v>852</v>
      </c>
      <c r="F4" s="181" t="s">
        <v>719</v>
      </c>
      <c r="G4" s="181">
        <f t="shared" si="0"/>
        <v>-150</v>
      </c>
      <c r="H4" s="182">
        <v>2000000</v>
      </c>
      <c r="I4" s="182">
        <v>0</v>
      </c>
      <c r="J4" s="182">
        <f>Master201722[[#This Row],[Initial Budget]]-Master201722[[#This Row],[Previously Committed Funds]]</f>
        <v>2000000</v>
      </c>
      <c r="K4" s="182">
        <v>0</v>
      </c>
      <c r="L4" s="182">
        <v>0</v>
      </c>
      <c r="M4" s="188">
        <f>Master201722[[#This Row],[Design $ (Add/Deduct)]]+Master201722[[#This Row],[Construction $ (Add/Ded)]]</f>
        <v>0</v>
      </c>
      <c r="N4" s="186">
        <v>2000000</v>
      </c>
      <c r="O4" s="187">
        <v>2018</v>
      </c>
      <c r="P4" s="181" t="s">
        <v>29</v>
      </c>
      <c r="Q4" s="187">
        <f>VLOOKUP(P4,Importance, 2, FALSE)</f>
        <v>0</v>
      </c>
      <c r="R4" s="185" t="s">
        <v>29</v>
      </c>
      <c r="S4" s="185">
        <f t="shared" si="1"/>
        <v>0</v>
      </c>
      <c r="T4" s="185" t="s">
        <v>29</v>
      </c>
      <c r="U4" s="185">
        <f>VLOOKUP(T4,Urgency,2,FALSE)</f>
        <v>0</v>
      </c>
      <c r="V4" s="185" t="s">
        <v>38</v>
      </c>
      <c r="W4" s="185"/>
      <c r="X4" s="185"/>
      <c r="Y4" s="185"/>
      <c r="Z4" s="185"/>
      <c r="AA4" s="185"/>
      <c r="AB4" s="185"/>
      <c r="AC4" s="185"/>
      <c r="AD4" s="183" t="s">
        <v>29</v>
      </c>
      <c r="AE4" s="187">
        <f>VLOOKUP(Master201722[[#This Row],[Elevated Priority]],Epriority,2,)</f>
        <v>0</v>
      </c>
      <c r="AF4" s="185">
        <f>IF(Master201722[[#This Row],[Status]]="Active",Master201722[[#This Row],[Status_Score]],IF(C4="","",Q4+G4+S4+U4+AE4-5))</f>
        <v>-155</v>
      </c>
      <c r="AG4" s="185" t="s">
        <v>757</v>
      </c>
      <c r="AH4" s="185">
        <v>2019</v>
      </c>
      <c r="AI4" s="185">
        <v>2021</v>
      </c>
      <c r="AJ4" s="181"/>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row>
    <row r="5" spans="1:63" s="141" customFormat="1" ht="30" hidden="1" x14ac:dyDescent="0.25">
      <c r="A5" s="198" t="s">
        <v>752</v>
      </c>
      <c r="B5" s="181" t="s">
        <v>725</v>
      </c>
      <c r="C5" s="181" t="s">
        <v>712</v>
      </c>
      <c r="D5" s="181" t="s">
        <v>815</v>
      </c>
      <c r="E5" s="181" t="s">
        <v>853</v>
      </c>
      <c r="F5" s="181" t="s">
        <v>719</v>
      </c>
      <c r="G5" s="196">
        <f t="shared" si="0"/>
        <v>-150</v>
      </c>
      <c r="H5" s="182">
        <v>0</v>
      </c>
      <c r="I5" s="182"/>
      <c r="J5" s="182">
        <f>Master201722[[#This Row],[Initial Budget]]-Master201722[[#This Row],[Previously Committed Funds]]</f>
        <v>0</v>
      </c>
      <c r="K5" s="182"/>
      <c r="L5" s="182">
        <v>150000</v>
      </c>
      <c r="M5" s="188">
        <f>Master201722[[#This Row],[Design $ (Add/Deduct)]]+Master201722[[#This Row],[Construction $ (Add/Ded)]]</f>
        <v>150000</v>
      </c>
      <c r="N5" s="182">
        <f>Master201722[[#This Row],[Total Add]]+Master201722[[#This Row],[Current Available Balance]]+Master201722[[#This Row],[Previously Committed Funds]]</f>
        <v>150000</v>
      </c>
      <c r="O5" s="187">
        <v>2019</v>
      </c>
      <c r="P5" s="181" t="s">
        <v>29</v>
      </c>
      <c r="Q5" s="187">
        <f t="shared" ref="Q5:Q14" si="2">VLOOKUP(P5,Importance,2,FALSE)</f>
        <v>0</v>
      </c>
      <c r="R5" s="185">
        <v>1</v>
      </c>
      <c r="S5" s="185">
        <f t="shared" si="1"/>
        <v>3</v>
      </c>
      <c r="T5" s="185" t="s">
        <v>37</v>
      </c>
      <c r="U5" s="185"/>
      <c r="V5" s="185" t="s">
        <v>30</v>
      </c>
      <c r="W5" s="185">
        <v>0</v>
      </c>
      <c r="X5" s="185">
        <v>0</v>
      </c>
      <c r="Y5" s="185">
        <v>0</v>
      </c>
      <c r="Z5" s="185">
        <v>0</v>
      </c>
      <c r="AA5" s="185">
        <v>0</v>
      </c>
      <c r="AB5" s="185">
        <v>0</v>
      </c>
      <c r="AC5" s="185">
        <v>0</v>
      </c>
      <c r="AD5" s="183" t="s">
        <v>29</v>
      </c>
      <c r="AE5" s="187">
        <f>VLOOKUP(Master201722[[#This Row],[Elevated Priority]],Epriority,2,)</f>
        <v>0</v>
      </c>
      <c r="AF5" s="185">
        <f>IF(Master201722[[#This Row],[Status]]="Active",Master201722[[#This Row],[Status_Score]],IF(C5="","",Q5+G5+S5+U5+AE5-5))</f>
        <v>-152</v>
      </c>
      <c r="AG5" s="185" t="s">
        <v>716</v>
      </c>
      <c r="AH5" s="185">
        <v>2019</v>
      </c>
      <c r="AI5" s="185">
        <v>2020</v>
      </c>
      <c r="AJ5" s="181"/>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row>
    <row r="6" spans="1:63" s="141" customFormat="1" ht="30" hidden="1" x14ac:dyDescent="0.25">
      <c r="A6" s="198">
        <v>2</v>
      </c>
      <c r="B6" s="181" t="s">
        <v>94</v>
      </c>
      <c r="C6" s="181" t="s">
        <v>134</v>
      </c>
      <c r="D6" s="181" t="s">
        <v>135</v>
      </c>
      <c r="E6" s="181" t="s">
        <v>878</v>
      </c>
      <c r="F6" s="181" t="s">
        <v>719</v>
      </c>
      <c r="G6" s="181">
        <f t="shared" si="0"/>
        <v>-150</v>
      </c>
      <c r="H6" s="182">
        <v>125000</v>
      </c>
      <c r="I6" s="182"/>
      <c r="J6" s="182">
        <f>Master201722[[#This Row],[Initial Budget]]-Master201722[[#This Row],[Previously Committed Funds]]</f>
        <v>125000</v>
      </c>
      <c r="K6" s="182"/>
      <c r="L6" s="182"/>
      <c r="M6" s="188">
        <f>Master201722[[#This Row],[Design $ (Add/Deduct)]]+Master201722[[#This Row],[Construction $ (Add/Ded)]]</f>
        <v>0</v>
      </c>
      <c r="N6" s="186">
        <v>1500000</v>
      </c>
      <c r="O6" s="187">
        <v>2018</v>
      </c>
      <c r="P6" s="181" t="s">
        <v>36</v>
      </c>
      <c r="Q6" s="187">
        <f t="shared" si="2"/>
        <v>10</v>
      </c>
      <c r="R6" s="185">
        <v>1</v>
      </c>
      <c r="S6" s="185">
        <f t="shared" si="1"/>
        <v>3</v>
      </c>
      <c r="T6" s="185" t="s">
        <v>33</v>
      </c>
      <c r="U6" s="185">
        <f t="shared" ref="U6:U14" si="3">VLOOKUP(T6,Urgency,2,FALSE)</f>
        <v>1</v>
      </c>
      <c r="V6" s="185" t="s">
        <v>30</v>
      </c>
      <c r="W6" s="185">
        <v>0</v>
      </c>
      <c r="X6" s="185">
        <v>0</v>
      </c>
      <c r="Y6" s="185">
        <v>0</v>
      </c>
      <c r="Z6" s="185">
        <v>0</v>
      </c>
      <c r="AA6" s="185">
        <v>0</v>
      </c>
      <c r="AB6" s="185">
        <v>0</v>
      </c>
      <c r="AC6" s="185">
        <v>0</v>
      </c>
      <c r="AD6" s="183" t="s">
        <v>29</v>
      </c>
      <c r="AE6" s="187">
        <f>VLOOKUP(Master201722[[#This Row],[Elevated Priority]],Epriority,2,)</f>
        <v>0</v>
      </c>
      <c r="AF6" s="185">
        <f>IF(Master201722[[#This Row],[Status]]="Active",Master201722[[#This Row],[Status_Score]],IF(C6="","",Q6+G6+S6+U6+AE6-5))</f>
        <v>-141</v>
      </c>
      <c r="AG6" s="185" t="s">
        <v>716</v>
      </c>
      <c r="AH6" s="185">
        <v>2019</v>
      </c>
      <c r="AI6" s="185">
        <v>2021</v>
      </c>
      <c r="AJ6" s="181"/>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7" spans="1:63" s="141" customFormat="1" ht="30" hidden="1" x14ac:dyDescent="0.25">
      <c r="A7" s="198">
        <v>3</v>
      </c>
      <c r="B7" s="181" t="s">
        <v>94</v>
      </c>
      <c r="C7" s="181" t="s">
        <v>136</v>
      </c>
      <c r="D7" s="181" t="s">
        <v>137</v>
      </c>
      <c r="E7" s="181" t="s">
        <v>879</v>
      </c>
      <c r="F7" s="181" t="s">
        <v>719</v>
      </c>
      <c r="G7" s="181">
        <f t="shared" si="0"/>
        <v>-150</v>
      </c>
      <c r="H7" s="182">
        <v>125000</v>
      </c>
      <c r="I7" s="182"/>
      <c r="J7" s="182">
        <f>Master201722[[#This Row],[Initial Budget]]-Master201722[[#This Row],[Previously Committed Funds]]</f>
        <v>125000</v>
      </c>
      <c r="K7" s="182"/>
      <c r="L7" s="182"/>
      <c r="M7" s="188">
        <f>Master201722[[#This Row],[Design $ (Add/Deduct)]]+Master201722[[#This Row],[Construction $ (Add/Ded)]]</f>
        <v>0</v>
      </c>
      <c r="N7" s="186">
        <v>1500000</v>
      </c>
      <c r="O7" s="187">
        <v>2018</v>
      </c>
      <c r="P7" s="181" t="s">
        <v>36</v>
      </c>
      <c r="Q7" s="187">
        <f t="shared" si="2"/>
        <v>10</v>
      </c>
      <c r="R7" s="185">
        <v>1</v>
      </c>
      <c r="S7" s="185">
        <f t="shared" si="1"/>
        <v>3</v>
      </c>
      <c r="T7" s="185" t="s">
        <v>33</v>
      </c>
      <c r="U7" s="185">
        <f t="shared" si="3"/>
        <v>1</v>
      </c>
      <c r="V7" s="185" t="s">
        <v>30</v>
      </c>
      <c r="W7" s="185">
        <v>0</v>
      </c>
      <c r="X7" s="185">
        <v>0</v>
      </c>
      <c r="Y7" s="185">
        <v>0</v>
      </c>
      <c r="Z7" s="185">
        <v>0</v>
      </c>
      <c r="AA7" s="185">
        <v>0</v>
      </c>
      <c r="AB7" s="185">
        <v>0</v>
      </c>
      <c r="AC7" s="185">
        <v>0</v>
      </c>
      <c r="AD7" s="183" t="s">
        <v>29</v>
      </c>
      <c r="AE7" s="187">
        <f>VLOOKUP(Master201722[[#This Row],[Elevated Priority]],Epriority,2,)</f>
        <v>0</v>
      </c>
      <c r="AF7" s="185">
        <f>IF(Master201722[[#This Row],[Status]]="Active",Master201722[[#This Row],[Status_Score]],IF(C7="","",Q7+G7+S7+U7+AE7-5))</f>
        <v>-141</v>
      </c>
      <c r="AG7" s="185" t="s">
        <v>716</v>
      </c>
      <c r="AH7" s="185">
        <v>2019</v>
      </c>
      <c r="AI7" s="185">
        <v>2021</v>
      </c>
      <c r="AJ7" s="181"/>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row>
    <row r="8" spans="1:63" s="141" customFormat="1" ht="45" hidden="1" x14ac:dyDescent="0.25">
      <c r="A8" s="198">
        <v>4</v>
      </c>
      <c r="B8" s="181" t="s">
        <v>79</v>
      </c>
      <c r="C8" s="181" t="s">
        <v>864</v>
      </c>
      <c r="D8" s="181" t="s">
        <v>862</v>
      </c>
      <c r="E8" s="181" t="s">
        <v>863</v>
      </c>
      <c r="F8" s="181" t="s">
        <v>719</v>
      </c>
      <c r="G8" s="196">
        <f t="shared" si="0"/>
        <v>-150</v>
      </c>
      <c r="H8" s="182"/>
      <c r="I8" s="182"/>
      <c r="J8" s="182">
        <f>Master201722[[#This Row],[Initial Budget]]-Master201722[[#This Row],[Previously Committed Funds]]</f>
        <v>0</v>
      </c>
      <c r="K8" s="182"/>
      <c r="L8" s="182"/>
      <c r="M8" s="188">
        <f>Master201722[[#This Row],[Design $ (Add/Deduct)]]+Master201722[[#This Row],[Construction $ (Add/Ded)]]</f>
        <v>0</v>
      </c>
      <c r="N8" s="186">
        <v>175000</v>
      </c>
      <c r="O8" s="187">
        <v>2020</v>
      </c>
      <c r="P8" s="181" t="s">
        <v>830</v>
      </c>
      <c r="Q8" s="187">
        <f t="shared" si="2"/>
        <v>10</v>
      </c>
      <c r="R8" s="185">
        <v>1</v>
      </c>
      <c r="S8" s="185">
        <f t="shared" si="1"/>
        <v>3</v>
      </c>
      <c r="T8" s="185" t="s">
        <v>33</v>
      </c>
      <c r="U8" s="185">
        <f t="shared" si="3"/>
        <v>1</v>
      </c>
      <c r="V8" s="185" t="s">
        <v>30</v>
      </c>
      <c r="W8" s="185">
        <v>0</v>
      </c>
      <c r="X8" s="185">
        <v>0</v>
      </c>
      <c r="Y8" s="185">
        <v>0</v>
      </c>
      <c r="Z8" s="185">
        <v>0</v>
      </c>
      <c r="AA8" s="185">
        <v>0</v>
      </c>
      <c r="AB8" s="185">
        <v>0</v>
      </c>
      <c r="AC8" s="185">
        <v>0</v>
      </c>
      <c r="AD8" s="183" t="s">
        <v>31</v>
      </c>
      <c r="AE8" s="187">
        <f>VLOOKUP(Master201722[[#This Row],[Elevated Priority]],Epriority,2,)</f>
        <v>-25</v>
      </c>
      <c r="AF8" s="185">
        <f>IF(Master201722[[#This Row],[Status]]="Active",Master201722[[#This Row],[Status_Score]],IF(C8="","",Q8+G8+S8+U8+AE8-5))</f>
        <v>-166</v>
      </c>
      <c r="AG8" s="185"/>
      <c r="AH8" s="185">
        <v>2020</v>
      </c>
      <c r="AI8" s="185">
        <v>2020</v>
      </c>
      <c r="AJ8" s="156"/>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row>
    <row r="9" spans="1:63" s="141" customFormat="1" ht="30" hidden="1" x14ac:dyDescent="0.25">
      <c r="A9" s="198" t="s">
        <v>755</v>
      </c>
      <c r="B9" s="181" t="s">
        <v>646</v>
      </c>
      <c r="C9" s="181" t="s">
        <v>956</v>
      </c>
      <c r="D9" s="181" t="s">
        <v>957</v>
      </c>
      <c r="E9" s="181" t="s">
        <v>958</v>
      </c>
      <c r="F9" s="181" t="s">
        <v>719</v>
      </c>
      <c r="G9" s="196">
        <f t="shared" si="0"/>
        <v>-150</v>
      </c>
      <c r="H9" s="182"/>
      <c r="I9" s="182"/>
      <c r="J9" s="182">
        <f>Master201722[[#This Row],[Initial Budget]]-Master201722[[#This Row],[Previously Committed Funds]]</f>
        <v>0</v>
      </c>
      <c r="K9" s="182"/>
      <c r="L9" s="182"/>
      <c r="M9" s="188">
        <f>Master201722[[#This Row],[Design $ (Add/Deduct)]]+Master201722[[#This Row],[Construction $ (Add/Ded)]]</f>
        <v>0</v>
      </c>
      <c r="N9" s="186">
        <v>150000</v>
      </c>
      <c r="O9" s="187">
        <v>2020</v>
      </c>
      <c r="P9" s="181" t="s">
        <v>32</v>
      </c>
      <c r="Q9" s="187">
        <f t="shared" si="2"/>
        <v>1</v>
      </c>
      <c r="R9" s="183">
        <v>1</v>
      </c>
      <c r="S9" s="185">
        <f t="shared" si="1"/>
        <v>3</v>
      </c>
      <c r="T9" s="183" t="s">
        <v>33</v>
      </c>
      <c r="U9" s="185">
        <f t="shared" si="3"/>
        <v>1</v>
      </c>
      <c r="V9" s="185" t="s">
        <v>30</v>
      </c>
      <c r="W9" s="185">
        <v>0</v>
      </c>
      <c r="X9" s="185">
        <v>0</v>
      </c>
      <c r="Y9" s="185">
        <v>0</v>
      </c>
      <c r="Z9" s="185">
        <v>0</v>
      </c>
      <c r="AA9" s="185">
        <v>0</v>
      </c>
      <c r="AB9" s="185">
        <v>0</v>
      </c>
      <c r="AC9" s="185">
        <v>0</v>
      </c>
      <c r="AD9" s="183" t="s">
        <v>29</v>
      </c>
      <c r="AE9" s="187">
        <f>VLOOKUP(Master201722[[#This Row],[Elevated Priority]],Epriority,2,)</f>
        <v>0</v>
      </c>
      <c r="AF9" s="187">
        <f>IF(Master201722[[#This Row],[Status]]="Active",Master201722[[#This Row],[Status_Score]],IF(C9="","",Q9+G9+S9+U9+AE9-5))</f>
        <v>-150</v>
      </c>
      <c r="AG9" s="185"/>
      <c r="AH9" s="185">
        <v>2020</v>
      </c>
      <c r="AI9" s="185">
        <v>2021</v>
      </c>
      <c r="AJ9" s="156"/>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row>
    <row r="10" spans="1:63" s="141" customFormat="1" ht="120" hidden="1" x14ac:dyDescent="0.25">
      <c r="A10" s="198" t="s">
        <v>756</v>
      </c>
      <c r="B10" s="181" t="s">
        <v>73</v>
      </c>
      <c r="C10" s="181" t="s">
        <v>107</v>
      </c>
      <c r="D10" s="181" t="s">
        <v>108</v>
      </c>
      <c r="E10" s="181" t="s">
        <v>883</v>
      </c>
      <c r="F10" s="181" t="s">
        <v>719</v>
      </c>
      <c r="G10" s="181">
        <f t="shared" si="0"/>
        <v>-150</v>
      </c>
      <c r="H10" s="182"/>
      <c r="I10" s="182"/>
      <c r="J10" s="182">
        <f>Master201722[[#This Row],[Initial Budget]]-Master201722[[#This Row],[Previously Committed Funds]]</f>
        <v>0</v>
      </c>
      <c r="K10" s="182"/>
      <c r="L10" s="182"/>
      <c r="M10" s="188">
        <f>Master201722[[#This Row],[Design $ (Add/Deduct)]]+Master201722[[#This Row],[Construction $ (Add/Ded)]]</f>
        <v>0</v>
      </c>
      <c r="N10" s="186">
        <v>25000</v>
      </c>
      <c r="O10" s="187">
        <v>2018</v>
      </c>
      <c r="P10" s="181" t="s">
        <v>32</v>
      </c>
      <c r="Q10" s="187">
        <f t="shared" si="2"/>
        <v>1</v>
      </c>
      <c r="R10" s="185">
        <v>1</v>
      </c>
      <c r="S10" s="185">
        <f t="shared" si="1"/>
        <v>3</v>
      </c>
      <c r="T10" s="185" t="s">
        <v>41</v>
      </c>
      <c r="U10" s="185">
        <f t="shared" si="3"/>
        <v>4</v>
      </c>
      <c r="V10" s="185" t="s">
        <v>30</v>
      </c>
      <c r="W10" s="185">
        <v>0</v>
      </c>
      <c r="X10" s="185">
        <v>0</v>
      </c>
      <c r="Y10" s="185">
        <v>0</v>
      </c>
      <c r="Z10" s="185">
        <v>-2.5</v>
      </c>
      <c r="AA10" s="185">
        <v>0</v>
      </c>
      <c r="AB10" s="185">
        <v>0</v>
      </c>
      <c r="AC10" s="185">
        <v>0</v>
      </c>
      <c r="AD10" s="183" t="s">
        <v>29</v>
      </c>
      <c r="AE10" s="187">
        <f>VLOOKUP(Master201722[[#This Row],[Elevated Priority]],Epriority,2,)</f>
        <v>0</v>
      </c>
      <c r="AF10" s="185">
        <f>IF(Master201722[[#This Row],[Status]]="Active",Master201722[[#This Row],[Status_Score]],IF(C10="","",Q10+G10+S10+U10+AE10-5))</f>
        <v>-147</v>
      </c>
      <c r="AG10" s="185"/>
      <c r="AH10" s="185">
        <v>2020</v>
      </c>
      <c r="AI10" s="185">
        <v>2021</v>
      </c>
      <c r="AJ10" s="156"/>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row>
    <row r="11" spans="1:63" s="141" customFormat="1" ht="45" hidden="1" x14ac:dyDescent="0.25">
      <c r="A11" s="198">
        <v>6</v>
      </c>
      <c r="B11" s="181" t="s">
        <v>61</v>
      </c>
      <c r="C11" s="181" t="s">
        <v>972</v>
      </c>
      <c r="D11" s="181" t="s">
        <v>947</v>
      </c>
      <c r="E11" s="181" t="s">
        <v>948</v>
      </c>
      <c r="F11" s="181" t="s">
        <v>719</v>
      </c>
      <c r="G11" s="196">
        <f t="shared" si="0"/>
        <v>-150</v>
      </c>
      <c r="H11" s="182"/>
      <c r="I11" s="182"/>
      <c r="J11" s="182">
        <f>Master201722[[#This Row],[Initial Budget]]-Master201722[[#This Row],[Previously Committed Funds]]</f>
        <v>0</v>
      </c>
      <c r="K11" s="182"/>
      <c r="L11" s="182"/>
      <c r="M11" s="188">
        <f>Master201722[[#This Row],[Design $ (Add/Deduct)]]+Master201722[[#This Row],[Construction $ (Add/Ded)]]</f>
        <v>0</v>
      </c>
      <c r="N11" s="186">
        <v>125000</v>
      </c>
      <c r="O11" s="187">
        <v>2020</v>
      </c>
      <c r="P11" s="181" t="s">
        <v>32</v>
      </c>
      <c r="Q11" s="187">
        <f t="shared" si="2"/>
        <v>1</v>
      </c>
      <c r="R11" s="185">
        <v>1</v>
      </c>
      <c r="S11" s="185">
        <f t="shared" si="1"/>
        <v>3</v>
      </c>
      <c r="T11" s="185" t="s">
        <v>37</v>
      </c>
      <c r="U11" s="185">
        <f t="shared" si="3"/>
        <v>3</v>
      </c>
      <c r="V11" s="185" t="s">
        <v>30</v>
      </c>
      <c r="W11" s="185">
        <v>0</v>
      </c>
      <c r="X11" s="185">
        <v>0</v>
      </c>
      <c r="Y11" s="185">
        <v>0</v>
      </c>
      <c r="Z11" s="185">
        <v>0</v>
      </c>
      <c r="AA11" s="185">
        <v>0</v>
      </c>
      <c r="AB11" s="185">
        <v>0</v>
      </c>
      <c r="AC11" s="185">
        <v>0</v>
      </c>
      <c r="AD11" s="183" t="s">
        <v>29</v>
      </c>
      <c r="AE11" s="187">
        <f>VLOOKUP(Master201722[[#This Row],[Elevated Priority]],Epriority,2,)</f>
        <v>0</v>
      </c>
      <c r="AF11" s="185">
        <f>IF(Master201722[[#This Row],[Status]]="Active",Master201722[[#This Row],[Status_Score]],IF(C11="","",Q11+G11+S11+U11+AE11-5))</f>
        <v>-148</v>
      </c>
      <c r="AG11" s="185"/>
      <c r="AH11" s="185">
        <v>2020</v>
      </c>
      <c r="AI11" s="185">
        <v>2021</v>
      </c>
      <c r="AJ11" s="156"/>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row>
    <row r="12" spans="1:63" ht="75" hidden="1" x14ac:dyDescent="0.25">
      <c r="A12" s="198">
        <v>7</v>
      </c>
      <c r="B12" s="181" t="s">
        <v>61</v>
      </c>
      <c r="C12" s="181" t="s">
        <v>116</v>
      </c>
      <c r="D12" s="181" t="s">
        <v>955</v>
      </c>
      <c r="E12" s="181" t="s">
        <v>690</v>
      </c>
      <c r="F12" s="181" t="s">
        <v>719</v>
      </c>
      <c r="G12" s="181">
        <f t="shared" si="0"/>
        <v>-150</v>
      </c>
      <c r="H12" s="182"/>
      <c r="I12" s="182"/>
      <c r="J12" s="182">
        <f>Master201722[[#This Row],[Initial Budget]]-Master201722[[#This Row],[Previously Committed Funds]]</f>
        <v>0</v>
      </c>
      <c r="K12" s="182"/>
      <c r="L12" s="182"/>
      <c r="M12" s="188">
        <f>Master201722[[#This Row],[Design $ (Add/Deduct)]]+Master201722[[#This Row],[Construction $ (Add/Ded)]]</f>
        <v>0</v>
      </c>
      <c r="N12" s="186">
        <v>750000</v>
      </c>
      <c r="O12" s="187">
        <v>2018</v>
      </c>
      <c r="P12" s="181" t="s">
        <v>32</v>
      </c>
      <c r="Q12" s="187">
        <f t="shared" si="2"/>
        <v>1</v>
      </c>
      <c r="R12" s="185">
        <v>2</v>
      </c>
      <c r="S12" s="185">
        <f t="shared" si="1"/>
        <v>6</v>
      </c>
      <c r="T12" s="185" t="s">
        <v>41</v>
      </c>
      <c r="U12" s="185">
        <f t="shared" si="3"/>
        <v>4</v>
      </c>
      <c r="V12" s="185" t="s">
        <v>30</v>
      </c>
      <c r="W12" s="185">
        <v>0</v>
      </c>
      <c r="X12" s="185">
        <v>0</v>
      </c>
      <c r="Y12" s="185">
        <v>0</v>
      </c>
      <c r="Z12" s="185">
        <v>0</v>
      </c>
      <c r="AA12" s="185">
        <v>0</v>
      </c>
      <c r="AB12" s="185">
        <v>0</v>
      </c>
      <c r="AC12" s="185">
        <v>0</v>
      </c>
      <c r="AD12" s="183" t="s">
        <v>29</v>
      </c>
      <c r="AE12" s="187">
        <f>VLOOKUP(Master201722[[#This Row],[Elevated Priority]],Epriority,2,)</f>
        <v>0</v>
      </c>
      <c r="AF12" s="185">
        <f>IF(Master201722[[#This Row],[Status]]="Active",Master201722[[#This Row],[Status_Score]],IF(C12="","",Q12+G12+S12+U12+AE12-5))</f>
        <v>-144</v>
      </c>
      <c r="AG12" s="185"/>
      <c r="AH12" s="185">
        <v>2020</v>
      </c>
      <c r="AI12" s="185">
        <v>2021</v>
      </c>
      <c r="AJ12" s="156"/>
    </row>
    <row r="13" spans="1:63" s="141" customFormat="1" ht="45" hidden="1" x14ac:dyDescent="0.25">
      <c r="A13" s="198">
        <v>8</v>
      </c>
      <c r="B13" s="197" t="s">
        <v>923</v>
      </c>
      <c r="C13" s="181" t="s">
        <v>786</v>
      </c>
      <c r="D13" s="181" t="s">
        <v>787</v>
      </c>
      <c r="E13" s="181" t="s">
        <v>204</v>
      </c>
      <c r="F13" s="181" t="s">
        <v>719</v>
      </c>
      <c r="G13" s="181">
        <f t="shared" si="0"/>
        <v>-150</v>
      </c>
      <c r="H13" s="199"/>
      <c r="I13" s="199"/>
      <c r="J13" s="182">
        <f>Master201722[[#This Row],[Initial Budget]]-Master201722[[#This Row],[Previously Committed Funds]]</f>
        <v>0</v>
      </c>
      <c r="K13" s="199"/>
      <c r="L13" s="200"/>
      <c r="M13" s="188">
        <f>Master201722[[#This Row],[Design $ (Add/Deduct)]]+Master201722[[#This Row],[Construction $ (Add/Ded)]]</f>
        <v>0</v>
      </c>
      <c r="N13" s="186">
        <v>250000</v>
      </c>
      <c r="O13" s="187">
        <v>2018</v>
      </c>
      <c r="P13" s="181" t="s">
        <v>688</v>
      </c>
      <c r="Q13" s="187">
        <f t="shared" si="2"/>
        <v>20</v>
      </c>
      <c r="R13" s="185">
        <v>4</v>
      </c>
      <c r="S13" s="185">
        <f t="shared" si="1"/>
        <v>12</v>
      </c>
      <c r="T13" s="185" t="s">
        <v>41</v>
      </c>
      <c r="U13" s="185">
        <f t="shared" si="3"/>
        <v>4</v>
      </c>
      <c r="V13" s="185" t="s">
        <v>30</v>
      </c>
      <c r="W13" s="185">
        <v>0</v>
      </c>
      <c r="X13" s="185">
        <v>0</v>
      </c>
      <c r="Y13" s="185">
        <v>0</v>
      </c>
      <c r="Z13" s="185">
        <v>0</v>
      </c>
      <c r="AA13" s="185">
        <v>0</v>
      </c>
      <c r="AB13" s="185">
        <v>0</v>
      </c>
      <c r="AC13" s="185">
        <v>0</v>
      </c>
      <c r="AD13" s="183" t="s">
        <v>31</v>
      </c>
      <c r="AE13" s="187">
        <f>VLOOKUP(Master201722[[#This Row],[Elevated Priority]],Epriority,2,)</f>
        <v>-25</v>
      </c>
      <c r="AF13" s="185">
        <f>IF(Master201722[[#This Row],[Status]]="Active",Master201722[[#This Row],[Status_Score]],IF(C13="","",Q13+G13+S13+U13+AE13-5))</f>
        <v>-144</v>
      </c>
      <c r="AG13" s="185"/>
      <c r="AH13" s="185">
        <v>2020</v>
      </c>
      <c r="AI13" s="185">
        <v>2021</v>
      </c>
      <c r="AJ13" s="156"/>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row>
    <row r="14" spans="1:63" s="141" customFormat="1" ht="88.5" hidden="1" customHeight="1" x14ac:dyDescent="0.25">
      <c r="A14" s="198">
        <f>A13+1</f>
        <v>9</v>
      </c>
      <c r="B14" s="181" t="s">
        <v>73</v>
      </c>
      <c r="C14" s="181" t="s">
        <v>257</v>
      </c>
      <c r="D14" s="181" t="s">
        <v>258</v>
      </c>
      <c r="E14" s="181" t="s">
        <v>888</v>
      </c>
      <c r="F14" s="181" t="s">
        <v>719</v>
      </c>
      <c r="G14" s="181">
        <f t="shared" si="0"/>
        <v>-150</v>
      </c>
      <c r="H14" s="182"/>
      <c r="I14" s="182"/>
      <c r="J14" s="182">
        <f>Master201722[[#This Row],[Initial Budget]]-Master201722[[#This Row],[Previously Committed Funds]]</f>
        <v>0</v>
      </c>
      <c r="K14" s="182"/>
      <c r="L14" s="182"/>
      <c r="M14" s="188">
        <f>Master201722[[#This Row],[Design $ (Add/Deduct)]]+Master201722[[#This Row],[Construction $ (Add/Ded)]]</f>
        <v>0</v>
      </c>
      <c r="N14" s="186">
        <v>35000</v>
      </c>
      <c r="O14" s="187">
        <v>2018</v>
      </c>
      <c r="P14" s="181" t="s">
        <v>688</v>
      </c>
      <c r="Q14" s="187">
        <f t="shared" si="2"/>
        <v>20</v>
      </c>
      <c r="R14" s="185">
        <v>1</v>
      </c>
      <c r="S14" s="185">
        <f t="shared" si="1"/>
        <v>3</v>
      </c>
      <c r="T14" s="185" t="s">
        <v>41</v>
      </c>
      <c r="U14" s="185">
        <f t="shared" si="3"/>
        <v>4</v>
      </c>
      <c r="V14" s="185" t="s">
        <v>30</v>
      </c>
      <c r="W14" s="185">
        <v>0</v>
      </c>
      <c r="X14" s="185">
        <v>0</v>
      </c>
      <c r="Y14" s="185">
        <v>0</v>
      </c>
      <c r="Z14" s="185">
        <v>0</v>
      </c>
      <c r="AA14" s="185">
        <v>0</v>
      </c>
      <c r="AB14" s="185">
        <v>0</v>
      </c>
      <c r="AC14" s="185">
        <v>0</v>
      </c>
      <c r="AD14" s="183" t="s">
        <v>29</v>
      </c>
      <c r="AE14" s="187">
        <f>VLOOKUP(Master201722[[#This Row],[Elevated Priority]],Epriority,2,)</f>
        <v>0</v>
      </c>
      <c r="AF14" s="185">
        <f>IF(Master201722[[#This Row],[Status]]="Active",Master201722[[#This Row],[Status_Score]],IF(C14="","",Q14+G14+S14+U14+AE14-5))</f>
        <v>-128</v>
      </c>
      <c r="AG14" s="185"/>
      <c r="AH14" s="185">
        <v>2020</v>
      </c>
      <c r="AI14" s="185">
        <v>2021</v>
      </c>
      <c r="AJ14" s="156" t="s">
        <v>934</v>
      </c>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row>
    <row r="15" spans="1:63" ht="75" x14ac:dyDescent="0.25">
      <c r="A15" s="198">
        <f>A14+1</f>
        <v>10</v>
      </c>
      <c r="B15" s="181" t="s">
        <v>214</v>
      </c>
      <c r="C15" s="181" t="s">
        <v>559</v>
      </c>
      <c r="D15" s="181" t="s">
        <v>858</v>
      </c>
      <c r="E15" s="181" t="s">
        <v>881</v>
      </c>
      <c r="F15" s="181" t="s">
        <v>719</v>
      </c>
      <c r="G15" s="181">
        <f t="shared" ref="G15:G46" si="4">VLOOKUP(F15,Status_Score,2,FALSE)</f>
        <v>-150</v>
      </c>
      <c r="H15" s="182">
        <v>0</v>
      </c>
      <c r="I15" s="182">
        <v>0</v>
      </c>
      <c r="J15" s="182">
        <f>Master201722[[#This Row],[Initial Budget]]-Master201722[[#This Row],[Previously Committed Funds]]</f>
        <v>0</v>
      </c>
      <c r="K15" s="182">
        <v>350000</v>
      </c>
      <c r="L15" s="182"/>
      <c r="M15" s="188">
        <f>Master201722[[#This Row],[Design $ (Add/Deduct)]]+Master201722[[#This Row],[Construction $ (Add/Ded)]]</f>
        <v>350000</v>
      </c>
      <c r="N15" s="186">
        <v>28000000</v>
      </c>
      <c r="O15" s="187">
        <v>2018</v>
      </c>
      <c r="P15" s="181" t="s">
        <v>46</v>
      </c>
      <c r="Q15" s="187">
        <f>VLOOKUP(P15,Importance,2,FALSE)</f>
        <v>50</v>
      </c>
      <c r="R15" s="185">
        <v>3</v>
      </c>
      <c r="S15" s="185">
        <f>VLOOKUP(R15,Department,2,FALSE)</f>
        <v>9</v>
      </c>
      <c r="T15" s="185" t="s">
        <v>45</v>
      </c>
      <c r="U15" s="185">
        <f>VLOOKUP(T15,Urgency,2,FALSE)</f>
        <v>32</v>
      </c>
      <c r="V15" s="185" t="s">
        <v>34</v>
      </c>
      <c r="W15" s="185">
        <v>0</v>
      </c>
      <c r="X15" s="238">
        <v>0</v>
      </c>
      <c r="Y15" s="185">
        <v>0</v>
      </c>
      <c r="Z15" s="185">
        <v>0</v>
      </c>
      <c r="AA15" s="238">
        <v>0</v>
      </c>
      <c r="AB15" s="238">
        <v>0</v>
      </c>
      <c r="AC15" s="238">
        <v>0</v>
      </c>
      <c r="AD15" s="183" t="s">
        <v>29</v>
      </c>
      <c r="AE15" s="187">
        <f>VLOOKUP(Master201722[[#This Row],[Elevated Priority]],Epriority,2,)</f>
        <v>0</v>
      </c>
      <c r="AF15" s="185">
        <f>IF(Master201722[[#This Row],[Status]]="Active",Master201722[[#This Row],[Status_Score]],IF(C15="","",Q15+G15+S15+U15+AE15-5))</f>
        <v>-64</v>
      </c>
      <c r="AG15" s="185" t="s">
        <v>717</v>
      </c>
      <c r="AH15" s="185">
        <v>2019</v>
      </c>
      <c r="AI15" s="185">
        <v>2024</v>
      </c>
      <c r="AJ15" s="262"/>
    </row>
    <row r="16" spans="1:63" s="144" customFormat="1" ht="90" x14ac:dyDescent="0.25">
      <c r="A16" s="198">
        <f t="shared" ref="A16:A79" si="5">A15+1</f>
        <v>11</v>
      </c>
      <c r="B16" s="236" t="s">
        <v>61</v>
      </c>
      <c r="C16" s="236" t="s">
        <v>313</v>
      </c>
      <c r="D16" s="236" t="s">
        <v>890</v>
      </c>
      <c r="E16" s="236" t="s">
        <v>315</v>
      </c>
      <c r="F16" s="236" t="s">
        <v>719</v>
      </c>
      <c r="G16" s="236">
        <f t="shared" si="4"/>
        <v>-150</v>
      </c>
      <c r="H16" s="249"/>
      <c r="I16" s="249"/>
      <c r="J16" s="249">
        <f>Master201722[[#This Row],[Initial Budget]]-Master201722[[#This Row],[Previously Committed Funds]]</f>
        <v>0</v>
      </c>
      <c r="K16" s="249"/>
      <c r="L16" s="249"/>
      <c r="M16" s="258">
        <f>Master201722[[#This Row],[Design $ (Add/Deduct)]]+Master201722[[#This Row],[Construction $ (Add/Ded)]]</f>
        <v>0</v>
      </c>
      <c r="N16" s="256">
        <v>10000000</v>
      </c>
      <c r="O16" s="237">
        <v>2018</v>
      </c>
      <c r="P16" s="236" t="s">
        <v>687</v>
      </c>
      <c r="Q16" s="237">
        <f>VLOOKUP(P16,Importance,2,FALSE)</f>
        <v>30</v>
      </c>
      <c r="R16" s="238">
        <v>1</v>
      </c>
      <c r="S16" s="235">
        <f>VLOOKUP(R16,Department,2,FALSE)</f>
        <v>3</v>
      </c>
      <c r="T16" s="238" t="s">
        <v>41</v>
      </c>
      <c r="U16" s="238">
        <f>VLOOKUP(T16,Urgency,2,FALSE)</f>
        <v>4</v>
      </c>
      <c r="V16" s="238" t="s">
        <v>34</v>
      </c>
      <c r="W16" s="185">
        <v>-5</v>
      </c>
      <c r="X16" s="151">
        <v>-3</v>
      </c>
      <c r="Y16" s="238">
        <v>-3</v>
      </c>
      <c r="Z16" s="238">
        <v>-3</v>
      </c>
      <c r="AA16" s="151">
        <v>0</v>
      </c>
      <c r="AB16" s="151">
        <v>-5</v>
      </c>
      <c r="AC16" s="151">
        <v>-3</v>
      </c>
      <c r="AD16" s="239" t="s">
        <v>29</v>
      </c>
      <c r="AE16" s="244">
        <f>VLOOKUP(Master201722[[#This Row],[Elevated Priority]],Epriority,2,)</f>
        <v>0</v>
      </c>
      <c r="AF16" s="238">
        <f>IF(Master201722[[#This Row],[Status]]="Active",Master201722[[#This Row],[Status_Score]],IF(C16="","",Q16+G16+S16+U16+AE16-5))</f>
        <v>-118</v>
      </c>
      <c r="AG16" s="235"/>
      <c r="AH16" s="235">
        <v>2020</v>
      </c>
      <c r="AI16" s="235">
        <v>2023</v>
      </c>
      <c r="AJ16" s="243"/>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row>
    <row r="17" spans="1:63" s="141" customFormat="1" ht="45" hidden="1" x14ac:dyDescent="0.25">
      <c r="A17" s="198">
        <f t="shared" si="5"/>
        <v>12</v>
      </c>
      <c r="B17" s="181" t="s">
        <v>72</v>
      </c>
      <c r="C17" s="181" t="s">
        <v>13</v>
      </c>
      <c r="D17" s="181" t="s">
        <v>845</v>
      </c>
      <c r="E17" s="181" t="s">
        <v>846</v>
      </c>
      <c r="F17" s="181" t="s">
        <v>598</v>
      </c>
      <c r="G17" s="181">
        <f t="shared" si="4"/>
        <v>-100</v>
      </c>
      <c r="H17" s="182">
        <v>2000000</v>
      </c>
      <c r="I17" s="182">
        <v>1392886</v>
      </c>
      <c r="J17" s="182">
        <f>Master201722[[#This Row],[Initial Budget]]-Master201722[[#This Row],[Previously Committed Funds]]</f>
        <v>607114</v>
      </c>
      <c r="K17" s="182"/>
      <c r="L17" s="182">
        <v>16000000</v>
      </c>
      <c r="M17" s="188">
        <f>Master201722[[#This Row],[Design $ (Add/Deduct)]]+Master201722[[#This Row],[Construction $ (Add/Ded)]]</f>
        <v>16000000</v>
      </c>
      <c r="N17" s="182">
        <f>Master201722[[#This Row],[Total Add]]+Master201722[[#This Row],[Current Available Balance]]+Master201722[[#This Row],[Previously Committed Funds]]</f>
        <v>18000000</v>
      </c>
      <c r="O17" s="183">
        <v>2018</v>
      </c>
      <c r="P17" s="181" t="s">
        <v>29</v>
      </c>
      <c r="Q17" s="181">
        <f>VLOOKUP(P17,Importance, 2, FALSE)</f>
        <v>0</v>
      </c>
      <c r="R17" s="183" t="s">
        <v>29</v>
      </c>
      <c r="S17" s="181">
        <f>VLOOKUP(R17,Department,2,FALSE)</f>
        <v>0</v>
      </c>
      <c r="T17" s="181" t="s">
        <v>29</v>
      </c>
      <c r="U17" s="181">
        <f>VLOOKUP(T17,Urgency,2,FALSE)</f>
        <v>0</v>
      </c>
      <c r="V17" s="181" t="s">
        <v>38</v>
      </c>
      <c r="W17" s="181"/>
      <c r="X17" s="181"/>
      <c r="Y17" s="181"/>
      <c r="Z17" s="181"/>
      <c r="AA17" s="181"/>
      <c r="AB17" s="181"/>
      <c r="AC17" s="181"/>
      <c r="AD17" s="181" t="s">
        <v>29</v>
      </c>
      <c r="AE17" s="181">
        <f>VLOOKUP(Master201722[[#This Row],[Elevated Priority]],Epriority,2,)</f>
        <v>0</v>
      </c>
      <c r="AF17" s="183">
        <f>IF(Master201722[[#This Row],[Status]]="Active",Master201722[[#This Row],[Status_Score]],IF(C17="","",Q17+G17+S17+U17+AE17-5))</f>
        <v>-100</v>
      </c>
      <c r="AG17" s="185" t="s">
        <v>757</v>
      </c>
      <c r="AH17" s="185">
        <v>2017</v>
      </c>
      <c r="AI17" s="185">
        <v>2020</v>
      </c>
      <c r="AJ17" s="181" t="s">
        <v>157</v>
      </c>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row>
    <row r="18" spans="1:63" s="141" customFormat="1" ht="120" hidden="1" x14ac:dyDescent="0.25">
      <c r="A18" s="198">
        <f t="shared" si="5"/>
        <v>13</v>
      </c>
      <c r="B18" s="181" t="s">
        <v>94</v>
      </c>
      <c r="C18" s="181" t="s">
        <v>99</v>
      </c>
      <c r="D18" s="181" t="s">
        <v>875</v>
      </c>
      <c r="E18" s="181" t="s">
        <v>876</v>
      </c>
      <c r="F18" s="181" t="s">
        <v>598</v>
      </c>
      <c r="G18" s="181">
        <f t="shared" si="4"/>
        <v>-100</v>
      </c>
      <c r="H18" s="182">
        <v>150000</v>
      </c>
      <c r="I18" s="182">
        <v>0</v>
      </c>
      <c r="J18" s="182">
        <f>Master201722[[#This Row],[Initial Budget]]-Master201722[[#This Row],[Previously Committed Funds]]</f>
        <v>150000</v>
      </c>
      <c r="K18" s="182">
        <v>0</v>
      </c>
      <c r="L18" s="182">
        <v>0</v>
      </c>
      <c r="M18" s="188">
        <v>1850000</v>
      </c>
      <c r="N18" s="186">
        <f>Master201722[[#This Row],[Total Add]]+Master201722[[#This Row],[Current Available Balance]]</f>
        <v>2000000</v>
      </c>
      <c r="O18" s="187">
        <v>2018</v>
      </c>
      <c r="P18" s="181" t="s">
        <v>32</v>
      </c>
      <c r="Q18" s="187">
        <f>VLOOKUP(P18,Importance,2,FALSE)</f>
        <v>1</v>
      </c>
      <c r="R18" s="185">
        <v>1</v>
      </c>
      <c r="S18" s="185">
        <f>VLOOKUP(R18,Department,2,FALSE)</f>
        <v>3</v>
      </c>
      <c r="T18" s="185" t="s">
        <v>37</v>
      </c>
      <c r="U18" s="185">
        <f>VLOOKUP(T18,Urgency,2,FALSE)</f>
        <v>3</v>
      </c>
      <c r="V18" s="185" t="s">
        <v>30</v>
      </c>
      <c r="W18" s="185">
        <v>0</v>
      </c>
      <c r="X18" s="185">
        <v>0</v>
      </c>
      <c r="Y18" s="185">
        <v>0</v>
      </c>
      <c r="Z18" s="185">
        <v>0</v>
      </c>
      <c r="AA18" s="185">
        <v>0</v>
      </c>
      <c r="AB18" s="185">
        <v>0</v>
      </c>
      <c r="AC18" s="185">
        <v>0</v>
      </c>
      <c r="AD18" s="183" t="s">
        <v>29</v>
      </c>
      <c r="AE18" s="187">
        <f>VLOOKUP(Master201722[[#This Row],[Elevated Priority]],Epriority,2,)</f>
        <v>0</v>
      </c>
      <c r="AF18" s="185">
        <f>IF(Master201722[[#This Row],[Status]]="Active",Master201722[[#This Row],[Status_Score]],IF(C18="","",Q18+G18+S18+U18+AE18-5))</f>
        <v>-100</v>
      </c>
      <c r="AG18" s="185" t="s">
        <v>715</v>
      </c>
      <c r="AH18" s="185">
        <v>2019</v>
      </c>
      <c r="AI18" s="185">
        <v>2020</v>
      </c>
      <c r="AJ18" s="181"/>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row>
    <row r="19" spans="1:63" s="141" customFormat="1" ht="30" hidden="1" x14ac:dyDescent="0.25">
      <c r="A19" s="198">
        <f t="shared" si="5"/>
        <v>14</v>
      </c>
      <c r="B19" s="181" t="s">
        <v>61</v>
      </c>
      <c r="C19" s="181" t="s">
        <v>642</v>
      </c>
      <c r="D19" s="181" t="s">
        <v>643</v>
      </c>
      <c r="E19" s="181" t="s">
        <v>644</v>
      </c>
      <c r="F19" s="181" t="s">
        <v>598</v>
      </c>
      <c r="G19" s="196">
        <f t="shared" si="4"/>
        <v>-100</v>
      </c>
      <c r="H19" s="182"/>
      <c r="I19" s="182"/>
      <c r="J19" s="182">
        <f>Master201722[[#This Row],[Initial Budget]]-Master201722[[#This Row],[Previously Committed Funds]]</f>
        <v>0</v>
      </c>
      <c r="K19" s="182"/>
      <c r="L19" s="182">
        <v>550000</v>
      </c>
      <c r="M19" s="188">
        <f>Master201722[[#This Row],[Design $ (Add/Deduct)]]+Master201722[[#This Row],[Construction $ (Add/Ded)]]</f>
        <v>550000</v>
      </c>
      <c r="N19" s="186">
        <v>550000</v>
      </c>
      <c r="O19" s="187">
        <v>2018</v>
      </c>
      <c r="P19" s="181" t="s">
        <v>36</v>
      </c>
      <c r="Q19" s="187">
        <f>VLOOKUP(P19,Importance,2,FALSE)</f>
        <v>10</v>
      </c>
      <c r="R19" s="187">
        <v>1</v>
      </c>
      <c r="S19" s="185">
        <f>VLOOKUP(R19,Department,2,FALSE)</f>
        <v>3</v>
      </c>
      <c r="T19" s="187" t="s">
        <v>33</v>
      </c>
      <c r="U19" s="185">
        <f>VLOOKUP(T19,Urgency,2,FALSE)</f>
        <v>1</v>
      </c>
      <c r="V19" s="187" t="s">
        <v>30</v>
      </c>
      <c r="W19" s="185">
        <v>0</v>
      </c>
      <c r="X19" s="185">
        <v>0</v>
      </c>
      <c r="Y19" s="185">
        <v>0</v>
      </c>
      <c r="Z19" s="185">
        <v>0</v>
      </c>
      <c r="AA19" s="185">
        <v>0</v>
      </c>
      <c r="AB19" s="185">
        <v>0</v>
      </c>
      <c r="AC19" s="185">
        <v>0</v>
      </c>
      <c r="AD19" s="187" t="s">
        <v>29</v>
      </c>
      <c r="AE19" s="187">
        <f>VLOOKUP(Master201722[[#This Row],[Elevated Priority]],Epriority,2,)</f>
        <v>0</v>
      </c>
      <c r="AF19" s="185">
        <f>IF(Master201722[[#This Row],[Status]]="Active",Master201722[[#This Row],[Status_Score]],IF(C19="","",Q19+G19+S19+U19+AE19-5))</f>
        <v>-100</v>
      </c>
      <c r="AG19" s="185" t="s">
        <v>760</v>
      </c>
      <c r="AH19" s="185">
        <v>2019</v>
      </c>
      <c r="AI19" s="185">
        <v>2020</v>
      </c>
      <c r="AJ19" s="181" t="s">
        <v>724</v>
      </c>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row>
    <row r="20" spans="1:63" s="141" customFormat="1" ht="45" x14ac:dyDescent="0.25">
      <c r="A20" s="198">
        <f t="shared" si="5"/>
        <v>15</v>
      </c>
      <c r="B20" s="181" t="s">
        <v>94</v>
      </c>
      <c r="C20" s="181" t="s">
        <v>726</v>
      </c>
      <c r="D20" s="181" t="s">
        <v>727</v>
      </c>
      <c r="E20" s="181" t="s">
        <v>728</v>
      </c>
      <c r="F20" s="181" t="s">
        <v>598</v>
      </c>
      <c r="G20" s="272">
        <f t="shared" si="4"/>
        <v>-100</v>
      </c>
      <c r="H20" s="182">
        <v>1353185</v>
      </c>
      <c r="I20" s="182"/>
      <c r="J20" s="182">
        <f>Master201722[[#This Row],[Initial Budget]]-Master201722[[#This Row],[Previously Committed Funds]]</f>
        <v>1353185</v>
      </c>
      <c r="K20" s="182"/>
      <c r="L20" s="182"/>
      <c r="M20" s="188">
        <f>Master201722[[#This Row],[Design $ (Add/Deduct)]]+Master201722[[#This Row],[Construction $ (Add/Ded)]]</f>
        <v>0</v>
      </c>
      <c r="N20" s="263">
        <f>Master201722[[#This Row],[Total Add]]+Master201722[[#This Row],[Current Available Balance]]+Master201722[[#This Row],[Previously Committed Funds]]</f>
        <v>1353185</v>
      </c>
      <c r="O20" s="187">
        <v>2018</v>
      </c>
      <c r="P20" s="181" t="s">
        <v>46</v>
      </c>
      <c r="Q20" s="187"/>
      <c r="R20" s="185">
        <v>1</v>
      </c>
      <c r="S20" s="185"/>
      <c r="T20" s="185" t="s">
        <v>41</v>
      </c>
      <c r="U20" s="185"/>
      <c r="V20" s="185" t="s">
        <v>34</v>
      </c>
      <c r="W20" s="185">
        <v>0</v>
      </c>
      <c r="X20" s="151">
        <v>0</v>
      </c>
      <c r="Y20" s="185">
        <v>0</v>
      </c>
      <c r="Z20" s="185">
        <v>0</v>
      </c>
      <c r="AA20" s="151">
        <v>0</v>
      </c>
      <c r="AB20" s="151">
        <v>0</v>
      </c>
      <c r="AC20" s="151">
        <v>0</v>
      </c>
      <c r="AD20" s="183" t="s">
        <v>29</v>
      </c>
      <c r="AE20" s="187">
        <f>VLOOKUP(Master201722[[#This Row],[Elevated Priority]],Epriority,2,)</f>
        <v>0</v>
      </c>
      <c r="AF20" s="185">
        <f>IF(Master201722[[#This Row],[Status]]="Active",Master201722[[#This Row],[Status_Score]],IF(C20="","",Q20+G20+S20+U20+AE20-5))</f>
        <v>-100</v>
      </c>
      <c r="AG20" s="185" t="s">
        <v>717</v>
      </c>
      <c r="AH20" s="185">
        <v>2019</v>
      </c>
      <c r="AI20" s="185">
        <v>2021</v>
      </c>
      <c r="AJ20" s="181" t="s">
        <v>729</v>
      </c>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row>
    <row r="21" spans="1:63" s="141" customFormat="1" ht="45" x14ac:dyDescent="0.25">
      <c r="A21" s="198">
        <f t="shared" si="5"/>
        <v>16</v>
      </c>
      <c r="B21" s="181" t="s">
        <v>923</v>
      </c>
      <c r="C21" s="181" t="s">
        <v>931</v>
      </c>
      <c r="D21" s="181" t="s">
        <v>932</v>
      </c>
      <c r="E21" s="181" t="s">
        <v>933</v>
      </c>
      <c r="F21" s="181" t="s">
        <v>598</v>
      </c>
      <c r="G21" s="272">
        <f t="shared" si="4"/>
        <v>-100</v>
      </c>
      <c r="H21" s="182"/>
      <c r="I21" s="182"/>
      <c r="J21" s="182">
        <f>Master201722[[#This Row],[Initial Budget]]-Master201722[[#This Row],[Previously Committed Funds]]</f>
        <v>0</v>
      </c>
      <c r="K21" s="182"/>
      <c r="L21" s="182"/>
      <c r="M21" s="188">
        <f>Master201722[[#This Row],[Design $ (Add/Deduct)]]+Master201722[[#This Row],[Construction $ (Add/Ded)]]</f>
        <v>0</v>
      </c>
      <c r="N21" s="186">
        <v>15000000</v>
      </c>
      <c r="O21" s="187">
        <v>2019</v>
      </c>
      <c r="P21" s="181" t="s">
        <v>46</v>
      </c>
      <c r="Q21" s="187">
        <f>VLOOKUP(P21,Importance,2,FALSE)</f>
        <v>50</v>
      </c>
      <c r="R21" s="185" t="s">
        <v>29</v>
      </c>
      <c r="S21" s="185">
        <f t="shared" ref="S21:S52" si="6">VLOOKUP(R21,Department,2,FALSE)</f>
        <v>0</v>
      </c>
      <c r="T21" s="185" t="s">
        <v>45</v>
      </c>
      <c r="U21" s="185">
        <f t="shared" ref="U21:U52" si="7">VLOOKUP(T21,Urgency,2,FALSE)</f>
        <v>32</v>
      </c>
      <c r="V21" s="185" t="s">
        <v>34</v>
      </c>
      <c r="W21" s="185">
        <v>0</v>
      </c>
      <c r="X21" s="265">
        <v>0</v>
      </c>
      <c r="Y21" s="185">
        <v>0</v>
      </c>
      <c r="Z21" s="185">
        <v>0</v>
      </c>
      <c r="AA21" s="265">
        <v>0</v>
      </c>
      <c r="AB21" s="265">
        <v>0</v>
      </c>
      <c r="AC21" s="265">
        <v>0</v>
      </c>
      <c r="AD21" s="183" t="s">
        <v>35</v>
      </c>
      <c r="AE21" s="187">
        <f>VLOOKUP(Master201722[[#This Row],[Elevated Priority]],Epriority,2,)</f>
        <v>-25</v>
      </c>
      <c r="AF21" s="185">
        <f>IF(Master201722[[#This Row],[Status]]="Active",Master201722[[#This Row],[Status_Score]],IF(C21="","",Q21+G21+S21+U21+AE21-5))</f>
        <v>-100</v>
      </c>
      <c r="AG21" s="185"/>
      <c r="AH21" s="185">
        <v>2020</v>
      </c>
      <c r="AI21" s="185"/>
      <c r="AJ21" s="181"/>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row>
    <row r="22" spans="1:63" s="141" customFormat="1" ht="390" hidden="1" x14ac:dyDescent="0.25">
      <c r="A22" s="198">
        <f t="shared" si="5"/>
        <v>17</v>
      </c>
      <c r="B22" s="197" t="s">
        <v>152</v>
      </c>
      <c r="C22" s="181" t="s">
        <v>185</v>
      </c>
      <c r="D22" s="181" t="s">
        <v>781</v>
      </c>
      <c r="E22" s="181" t="s">
        <v>782</v>
      </c>
      <c r="F22" s="181" t="s">
        <v>598</v>
      </c>
      <c r="G22" s="181">
        <f t="shared" si="4"/>
        <v>-100</v>
      </c>
      <c r="H22" s="182">
        <v>0</v>
      </c>
      <c r="I22" s="182">
        <v>0</v>
      </c>
      <c r="J22" s="182">
        <f>Master201722[[#This Row],[Initial Budget]]-Master201722[[#This Row],[Previously Committed Funds]]</f>
        <v>0</v>
      </c>
      <c r="K22" s="182">
        <v>0</v>
      </c>
      <c r="L22" s="182">
        <v>0</v>
      </c>
      <c r="M22" s="188">
        <v>250000</v>
      </c>
      <c r="N22" s="182">
        <f>Master201722[[#This Row],[Total Add]]+Master201722[[#This Row],[Current Available Balance]]+Master201722[[#This Row],[Previously Committed Funds]]</f>
        <v>250000</v>
      </c>
      <c r="O22" s="187">
        <v>2018</v>
      </c>
      <c r="P22" s="181" t="s">
        <v>688</v>
      </c>
      <c r="Q22" s="187">
        <f>VLOOKUP(P22,Importance,2,FALSE)</f>
        <v>20</v>
      </c>
      <c r="R22" s="185">
        <v>1</v>
      </c>
      <c r="S22" s="185">
        <f t="shared" si="6"/>
        <v>3</v>
      </c>
      <c r="T22" s="185" t="s">
        <v>37</v>
      </c>
      <c r="U22" s="185">
        <f t="shared" si="7"/>
        <v>3</v>
      </c>
      <c r="V22" s="185" t="s">
        <v>30</v>
      </c>
      <c r="W22" s="151">
        <v>0</v>
      </c>
      <c r="X22" s="185">
        <v>0</v>
      </c>
      <c r="Y22" s="185">
        <v>0</v>
      </c>
      <c r="Z22" s="185">
        <v>0</v>
      </c>
      <c r="AA22" s="185">
        <v>0</v>
      </c>
      <c r="AB22" s="185">
        <v>0</v>
      </c>
      <c r="AC22" s="185">
        <v>0</v>
      </c>
      <c r="AD22" s="183" t="s">
        <v>29</v>
      </c>
      <c r="AE22" s="187">
        <f>VLOOKUP(Master201722[[#This Row],[Elevated Priority]],Epriority,2,)</f>
        <v>0</v>
      </c>
      <c r="AF22" s="185">
        <f>IF(Master201722[[#This Row],[Status]]="Active",Master201722[[#This Row],[Status_Score]],IF(C22="","",Q22+G22+S22+U22+AE22-5))</f>
        <v>-100</v>
      </c>
      <c r="AG22" s="185" t="s">
        <v>718</v>
      </c>
      <c r="AH22" s="185">
        <v>2017</v>
      </c>
      <c r="AI22" s="185">
        <v>2020</v>
      </c>
      <c r="AJ22" s="181" t="s">
        <v>710</v>
      </c>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row>
    <row r="23" spans="1:63" s="141" customFormat="1" ht="30" hidden="1" x14ac:dyDescent="0.25">
      <c r="A23" s="198">
        <f t="shared" si="5"/>
        <v>18</v>
      </c>
      <c r="B23" s="181" t="s">
        <v>70</v>
      </c>
      <c r="C23" s="181" t="s">
        <v>744</v>
      </c>
      <c r="D23" s="181" t="s">
        <v>856</v>
      </c>
      <c r="E23" s="181" t="s">
        <v>857</v>
      </c>
      <c r="F23" s="181" t="s">
        <v>598</v>
      </c>
      <c r="G23" s="181">
        <f t="shared" si="4"/>
        <v>-100</v>
      </c>
      <c r="H23" s="182">
        <v>1513007</v>
      </c>
      <c r="I23" s="182"/>
      <c r="J23" s="182">
        <f>Master201722[[#This Row],[Initial Budget]]-Master201722[[#This Row],[Previously Committed Funds]]</f>
        <v>1513007</v>
      </c>
      <c r="K23" s="182"/>
      <c r="L23" s="182"/>
      <c r="M23" s="188">
        <f>Master201722[[#This Row],[Design $ (Add/Deduct)]]+Master201722[[#This Row],[Construction $ (Add/Ded)]]</f>
        <v>0</v>
      </c>
      <c r="N23" s="186">
        <v>2500000</v>
      </c>
      <c r="O23" s="187">
        <v>2018</v>
      </c>
      <c r="P23" s="181" t="s">
        <v>29</v>
      </c>
      <c r="Q23" s="187">
        <f>VLOOKUP(P23,Importance, 2, FALSE)</f>
        <v>0</v>
      </c>
      <c r="R23" s="185" t="s">
        <v>29</v>
      </c>
      <c r="S23" s="185">
        <f t="shared" si="6"/>
        <v>0</v>
      </c>
      <c r="T23" s="185" t="s">
        <v>29</v>
      </c>
      <c r="U23" s="185">
        <f t="shared" si="7"/>
        <v>0</v>
      </c>
      <c r="V23" s="185" t="s">
        <v>38</v>
      </c>
      <c r="W23" s="185"/>
      <c r="X23" s="185"/>
      <c r="Y23" s="185"/>
      <c r="Z23" s="185"/>
      <c r="AA23" s="185"/>
      <c r="AB23" s="185"/>
      <c r="AC23" s="185"/>
      <c r="AD23" s="183" t="s">
        <v>29</v>
      </c>
      <c r="AE23" s="187">
        <f>VLOOKUP(Master201722[[#This Row],[Elevated Priority]],Epriority,2,)</f>
        <v>0</v>
      </c>
      <c r="AF23" s="185">
        <f>IF(Master201722[[#This Row],[Status]]="Active",Master201722[[#This Row],[Status_Score]],IF(C23="","",Q23+G23+S23+U23+AE23-5))</f>
        <v>-100</v>
      </c>
      <c r="AG23" s="185" t="s">
        <v>716</v>
      </c>
      <c r="AH23" s="185">
        <v>2017</v>
      </c>
      <c r="AI23" s="185">
        <v>2021</v>
      </c>
      <c r="AJ23" s="181"/>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row>
    <row r="24" spans="1:63" ht="30" x14ac:dyDescent="0.25">
      <c r="A24" s="198">
        <f t="shared" si="5"/>
        <v>19</v>
      </c>
      <c r="B24" s="236" t="s">
        <v>72</v>
      </c>
      <c r="C24" s="243" t="s">
        <v>762</v>
      </c>
      <c r="D24" s="243" t="s">
        <v>770</v>
      </c>
      <c r="E24" s="277" t="s">
        <v>771</v>
      </c>
      <c r="F24" s="236" t="s">
        <v>29</v>
      </c>
      <c r="G24" s="236">
        <f t="shared" si="4"/>
        <v>0</v>
      </c>
      <c r="H24" s="249"/>
      <c r="I24" s="249"/>
      <c r="J24" s="249">
        <f>Master201722[[#This Row],[Initial Budget]]-Master201722[[#This Row],[Previously Committed Funds]]</f>
        <v>0</v>
      </c>
      <c r="K24" s="249"/>
      <c r="L24" s="249"/>
      <c r="M24" s="258">
        <f>Master201722[[#This Row],[Design $ (Add/Deduct)]]+Master201722[[#This Row],[Construction $ (Add/Ded)]]</f>
        <v>0</v>
      </c>
      <c r="N24" s="256">
        <v>800000</v>
      </c>
      <c r="O24" s="237">
        <v>2018</v>
      </c>
      <c r="P24" s="236" t="s">
        <v>32</v>
      </c>
      <c r="Q24" s="237">
        <f t="shared" ref="Q24:Q55" si="8">VLOOKUP(P24,Importance,2,FALSE)</f>
        <v>1</v>
      </c>
      <c r="R24" s="238">
        <v>3</v>
      </c>
      <c r="S24" s="235">
        <f t="shared" si="6"/>
        <v>9</v>
      </c>
      <c r="T24" s="238" t="s">
        <v>37</v>
      </c>
      <c r="U24" s="238">
        <f t="shared" si="7"/>
        <v>3</v>
      </c>
      <c r="V24" s="238" t="s">
        <v>34</v>
      </c>
      <c r="W24" s="185">
        <v>0</v>
      </c>
      <c r="X24" s="151">
        <v>0</v>
      </c>
      <c r="Y24" s="238">
        <v>0</v>
      </c>
      <c r="Z24" s="238">
        <v>-3</v>
      </c>
      <c r="AA24" s="151">
        <v>0</v>
      </c>
      <c r="AB24" s="151">
        <v>0</v>
      </c>
      <c r="AC24" s="151">
        <v>-3</v>
      </c>
      <c r="AD24" s="239" t="s">
        <v>29</v>
      </c>
      <c r="AE24" s="244">
        <f>VLOOKUP(Master201722[[#This Row],[Elevated Priority]],Epriority,2,)</f>
        <v>0</v>
      </c>
      <c r="AF24" s="238">
        <f>IF(Master201722[[#This Row],[Status]]="Active",Master201722[[#This Row],[Status_Score]],IF(C24="","",Q24+G24+S24+U24+AE24-5))</f>
        <v>8</v>
      </c>
      <c r="AG24" s="235"/>
      <c r="AH24" s="235">
        <v>2020</v>
      </c>
      <c r="AI24" s="235">
        <v>2022</v>
      </c>
      <c r="AJ24" s="243"/>
    </row>
    <row r="25" spans="1:63" ht="30" x14ac:dyDescent="0.25">
      <c r="A25" s="198">
        <f t="shared" si="5"/>
        <v>20</v>
      </c>
      <c r="B25" s="204" t="s">
        <v>61</v>
      </c>
      <c r="C25" s="280" t="s">
        <v>839</v>
      </c>
      <c r="D25" s="251" t="s">
        <v>812</v>
      </c>
      <c r="E25" s="261" t="s">
        <v>813</v>
      </c>
      <c r="F25" s="236" t="s">
        <v>29</v>
      </c>
      <c r="G25" s="236">
        <f t="shared" si="4"/>
        <v>0</v>
      </c>
      <c r="H25" s="249"/>
      <c r="I25" s="249"/>
      <c r="J25" s="249">
        <f>Master201722[[#This Row],[Initial Budget]]-Master201722[[#This Row],[Previously Committed Funds]]</f>
        <v>0</v>
      </c>
      <c r="K25" s="249"/>
      <c r="L25" s="249"/>
      <c r="M25" s="258">
        <f>Master201722[[#This Row],[Design $ (Add/Deduct)]]+Master201722[[#This Row],[Construction $ (Add/Ded)]]</f>
        <v>0</v>
      </c>
      <c r="N25" s="256">
        <v>2000000</v>
      </c>
      <c r="O25" s="237">
        <v>2020</v>
      </c>
      <c r="P25" s="236" t="s">
        <v>688</v>
      </c>
      <c r="Q25" s="237">
        <f t="shared" si="8"/>
        <v>20</v>
      </c>
      <c r="R25" s="238">
        <v>1</v>
      </c>
      <c r="S25" s="235">
        <f t="shared" si="6"/>
        <v>3</v>
      </c>
      <c r="T25" s="238" t="s">
        <v>41</v>
      </c>
      <c r="U25" s="238">
        <f t="shared" si="7"/>
        <v>4</v>
      </c>
      <c r="V25" s="238" t="s">
        <v>34</v>
      </c>
      <c r="W25" s="185">
        <v>0</v>
      </c>
      <c r="X25" s="238">
        <v>0</v>
      </c>
      <c r="Y25" s="238">
        <v>-3</v>
      </c>
      <c r="Z25" s="238">
        <v>-3</v>
      </c>
      <c r="AA25" s="238">
        <v>0</v>
      </c>
      <c r="AB25" s="238">
        <v>-5</v>
      </c>
      <c r="AC25" s="238">
        <v>-3</v>
      </c>
      <c r="AD25" s="239" t="s">
        <v>29</v>
      </c>
      <c r="AE25" s="244">
        <f>VLOOKUP(Master201722[[#This Row],[Elevated Priority]],Epriority,2,)</f>
        <v>0</v>
      </c>
      <c r="AF25" s="238">
        <f>IF(Master201722[[#This Row],[Status]]="Active",Master201722[[#This Row],[Status_Score]],IF(C25="","",Q25+G25+S25+U25+AE25-5))</f>
        <v>22</v>
      </c>
      <c r="AG25" s="235"/>
      <c r="AH25" s="235">
        <v>2021</v>
      </c>
      <c r="AI25" s="235">
        <v>2022</v>
      </c>
      <c r="AJ25" s="243" t="s">
        <v>975</v>
      </c>
    </row>
    <row r="26" spans="1:63" s="141" customFormat="1" ht="30" hidden="1" x14ac:dyDescent="0.25">
      <c r="A26" s="198">
        <f t="shared" si="5"/>
        <v>21</v>
      </c>
      <c r="B26" s="181" t="s">
        <v>79</v>
      </c>
      <c r="C26" s="181" t="s">
        <v>113</v>
      </c>
      <c r="D26" s="181" t="s">
        <v>114</v>
      </c>
      <c r="E26" s="181" t="s">
        <v>115</v>
      </c>
      <c r="F26" s="181" t="s">
        <v>598</v>
      </c>
      <c r="G26" s="181">
        <f t="shared" si="4"/>
        <v>-100</v>
      </c>
      <c r="H26" s="182"/>
      <c r="I26" s="182"/>
      <c r="J26" s="182">
        <f>Master201722[[#This Row],[Initial Budget]]-Master201722[[#This Row],[Previously Committed Funds]]</f>
        <v>0</v>
      </c>
      <c r="K26" s="182"/>
      <c r="L26" s="182"/>
      <c r="M26" s="188">
        <f>Master201722[[#This Row],[Design $ (Add/Deduct)]]+Master201722[[#This Row],[Construction $ (Add/Ded)]]</f>
        <v>0</v>
      </c>
      <c r="N26" s="186">
        <v>25000</v>
      </c>
      <c r="O26" s="187">
        <v>2018</v>
      </c>
      <c r="P26" s="181" t="s">
        <v>32</v>
      </c>
      <c r="Q26" s="187">
        <f t="shared" si="8"/>
        <v>1</v>
      </c>
      <c r="R26" s="185">
        <v>2</v>
      </c>
      <c r="S26" s="185">
        <f t="shared" si="6"/>
        <v>6</v>
      </c>
      <c r="T26" s="185" t="s">
        <v>41</v>
      </c>
      <c r="U26" s="185">
        <f t="shared" si="7"/>
        <v>4</v>
      </c>
      <c r="V26" s="185" t="s">
        <v>30</v>
      </c>
      <c r="W26" s="151">
        <v>0</v>
      </c>
      <c r="X26" s="185">
        <v>0</v>
      </c>
      <c r="Y26" s="185">
        <v>0</v>
      </c>
      <c r="Z26" s="185">
        <v>0</v>
      </c>
      <c r="AA26" s="185">
        <v>0</v>
      </c>
      <c r="AB26" s="185">
        <v>0</v>
      </c>
      <c r="AC26" s="185">
        <v>0</v>
      </c>
      <c r="AD26" s="183" t="s">
        <v>29</v>
      </c>
      <c r="AE26" s="187">
        <f>VLOOKUP(Master201722[[#This Row],[Elevated Priority]],Epriority,2,)</f>
        <v>0</v>
      </c>
      <c r="AF26" s="185">
        <f>IF(Master201722[[#This Row],[Status]]="Active",Master201722[[#This Row],[Status_Score]],IF(C26="","",Q26+G26+S26+U26+AE26-5))</f>
        <v>-100</v>
      </c>
      <c r="AG26" s="185"/>
      <c r="AH26" s="185"/>
      <c r="AI26" s="185">
        <v>2020</v>
      </c>
      <c r="AJ26" s="181" t="s">
        <v>723</v>
      </c>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row>
    <row r="27" spans="1:63" ht="60" hidden="1" x14ac:dyDescent="0.25">
      <c r="A27" s="198">
        <f t="shared" si="5"/>
        <v>22</v>
      </c>
      <c r="B27" s="181" t="s">
        <v>65</v>
      </c>
      <c r="C27" s="181" t="s">
        <v>960</v>
      </c>
      <c r="D27" s="181" t="s">
        <v>961</v>
      </c>
      <c r="E27" s="181" t="s">
        <v>962</v>
      </c>
      <c r="F27" s="181" t="s">
        <v>598</v>
      </c>
      <c r="G27" s="196">
        <f t="shared" si="4"/>
        <v>-100</v>
      </c>
      <c r="H27" s="182"/>
      <c r="I27" s="182"/>
      <c r="J27" s="182">
        <f>Master201722[[#This Row],[Initial Budget]]-Master201722[[#This Row],[Previously Committed Funds]]</f>
        <v>0</v>
      </c>
      <c r="K27" s="182"/>
      <c r="L27" s="182"/>
      <c r="M27" s="188">
        <f>Master201722[[#This Row],[Design $ (Add/Deduct)]]+Master201722[[#This Row],[Construction $ (Add/Ded)]]</f>
        <v>0</v>
      </c>
      <c r="N27" s="223">
        <v>200000</v>
      </c>
      <c r="O27" s="187">
        <v>2019</v>
      </c>
      <c r="P27" s="181" t="s">
        <v>32</v>
      </c>
      <c r="Q27" s="187">
        <f t="shared" si="8"/>
        <v>1</v>
      </c>
      <c r="R27" s="185">
        <v>1</v>
      </c>
      <c r="S27" s="185">
        <f t="shared" si="6"/>
        <v>3</v>
      </c>
      <c r="T27" s="183" t="s">
        <v>33</v>
      </c>
      <c r="U27" s="185">
        <f t="shared" si="7"/>
        <v>1</v>
      </c>
      <c r="V27" s="185" t="s">
        <v>30</v>
      </c>
      <c r="W27" s="185">
        <v>0</v>
      </c>
      <c r="X27" s="185">
        <v>0</v>
      </c>
      <c r="Y27" s="185">
        <v>0</v>
      </c>
      <c r="Z27" s="185">
        <v>0</v>
      </c>
      <c r="AA27" s="185">
        <v>0</v>
      </c>
      <c r="AB27" s="185">
        <v>0</v>
      </c>
      <c r="AC27" s="185">
        <v>0</v>
      </c>
      <c r="AD27" s="183" t="s">
        <v>39</v>
      </c>
      <c r="AE27" s="187">
        <f>VLOOKUP(Master201722[[#This Row],[Elevated Priority]],Epriority,2,)</f>
        <v>-30</v>
      </c>
      <c r="AF27" s="187">
        <f>IF(Master201722[[#This Row],[Status]]="Active",Master201722[[#This Row],[Status_Score]],IF(C27="","",Q27+G27+S27+U27+AE27-5))</f>
        <v>-100</v>
      </c>
      <c r="AG27" s="185"/>
      <c r="AH27" s="185">
        <v>2019</v>
      </c>
      <c r="AI27" s="185">
        <v>2020</v>
      </c>
      <c r="AJ27" s="181"/>
    </row>
    <row r="28" spans="1:63" s="141" customFormat="1" ht="60" hidden="1" x14ac:dyDescent="0.25">
      <c r="A28" s="198">
        <f t="shared" si="5"/>
        <v>23</v>
      </c>
      <c r="B28" s="181" t="s">
        <v>70</v>
      </c>
      <c r="C28" s="181" t="s">
        <v>288</v>
      </c>
      <c r="D28" s="181" t="s">
        <v>289</v>
      </c>
      <c r="E28" s="181" t="s">
        <v>290</v>
      </c>
      <c r="F28" s="181" t="s">
        <v>598</v>
      </c>
      <c r="G28" s="195">
        <f t="shared" si="4"/>
        <v>-100</v>
      </c>
      <c r="H28" s="182"/>
      <c r="I28" s="182"/>
      <c r="J28" s="182">
        <f>Master201722[[#This Row],[Initial Budget]]-Master201722[[#This Row],[Previously Committed Funds]]</f>
        <v>0</v>
      </c>
      <c r="K28" s="182"/>
      <c r="L28" s="182"/>
      <c r="M28" s="188">
        <f>Master201722[[#This Row],[Design $ (Add/Deduct)]]+Master201722[[#This Row],[Construction $ (Add/Ded)]]</f>
        <v>0</v>
      </c>
      <c r="N28" s="186">
        <v>40000</v>
      </c>
      <c r="O28" s="187">
        <v>2018</v>
      </c>
      <c r="P28" s="181" t="s">
        <v>687</v>
      </c>
      <c r="Q28" s="187">
        <f t="shared" si="8"/>
        <v>30</v>
      </c>
      <c r="R28" s="185">
        <v>4</v>
      </c>
      <c r="S28" s="185">
        <f t="shared" si="6"/>
        <v>12</v>
      </c>
      <c r="T28" s="185" t="s">
        <v>41</v>
      </c>
      <c r="U28" s="185">
        <f t="shared" si="7"/>
        <v>4</v>
      </c>
      <c r="V28" s="185" t="s">
        <v>30</v>
      </c>
      <c r="W28" s="185">
        <v>0</v>
      </c>
      <c r="X28" s="185">
        <v>0</v>
      </c>
      <c r="Y28" s="185">
        <v>0</v>
      </c>
      <c r="Z28" s="185">
        <v>0</v>
      </c>
      <c r="AA28" s="185">
        <v>0</v>
      </c>
      <c r="AB28" s="185">
        <v>0</v>
      </c>
      <c r="AC28" s="185">
        <v>0</v>
      </c>
      <c r="AD28" s="183" t="s">
        <v>29</v>
      </c>
      <c r="AE28" s="187">
        <f>VLOOKUP(Master201722[[#This Row],[Elevated Priority]],Epriority,2,)</f>
        <v>0</v>
      </c>
      <c r="AF28" s="185">
        <f>IF(Master201722[[#This Row],[Status]]="Active",Master201722[[#This Row],[Status_Score]],IF(C28="","",Q28+G28+S28+U28+AE28-5))</f>
        <v>-100</v>
      </c>
      <c r="AG28" s="185"/>
      <c r="AH28" s="185">
        <v>2020</v>
      </c>
      <c r="AI28" s="185"/>
      <c r="AJ28" s="181"/>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row>
    <row r="29" spans="1:63" ht="45" hidden="1" x14ac:dyDescent="0.25">
      <c r="A29" s="198">
        <f t="shared" si="5"/>
        <v>24</v>
      </c>
      <c r="B29" s="181" t="s">
        <v>91</v>
      </c>
      <c r="C29" s="224" t="s">
        <v>973</v>
      </c>
      <c r="D29" s="224" t="s">
        <v>973</v>
      </c>
      <c r="E29" s="225" t="s">
        <v>882</v>
      </c>
      <c r="F29" s="181" t="s">
        <v>598</v>
      </c>
      <c r="G29" s="181">
        <f t="shared" si="4"/>
        <v>-100</v>
      </c>
      <c r="H29" s="182"/>
      <c r="I29" s="182"/>
      <c r="J29" s="182">
        <f>Master201722[[#This Row],[Initial Budget]]-Master201722[[#This Row],[Previously Committed Funds]]</f>
        <v>0</v>
      </c>
      <c r="K29" s="182"/>
      <c r="L29" s="182"/>
      <c r="M29" s="188">
        <f>Master201722[[#This Row],[Design $ (Add/Deduct)]]+Master201722[[#This Row],[Construction $ (Add/Ded)]]</f>
        <v>0</v>
      </c>
      <c r="N29" s="186">
        <v>40000</v>
      </c>
      <c r="O29" s="187">
        <v>2020</v>
      </c>
      <c r="P29" s="181" t="s">
        <v>46</v>
      </c>
      <c r="Q29" s="187">
        <f t="shared" si="8"/>
        <v>50</v>
      </c>
      <c r="R29" s="185">
        <v>0</v>
      </c>
      <c r="S29" s="185" t="e">
        <f t="shared" si="6"/>
        <v>#N/A</v>
      </c>
      <c r="T29" s="185" t="s">
        <v>41</v>
      </c>
      <c r="U29" s="185">
        <f t="shared" si="7"/>
        <v>4</v>
      </c>
      <c r="V29" s="185" t="s">
        <v>30</v>
      </c>
      <c r="W29" s="185">
        <v>0</v>
      </c>
      <c r="X29" s="185">
        <v>0</v>
      </c>
      <c r="Y29" s="185">
        <v>0</v>
      </c>
      <c r="Z29" s="185">
        <v>0</v>
      </c>
      <c r="AA29" s="185">
        <v>0</v>
      </c>
      <c r="AB29" s="185">
        <v>0</v>
      </c>
      <c r="AC29" s="185">
        <v>0</v>
      </c>
      <c r="AD29" s="183" t="s">
        <v>29</v>
      </c>
      <c r="AE29" s="187">
        <f>VLOOKUP(Master201722[[#This Row],[Elevated Priority]],Epriority,2,)</f>
        <v>0</v>
      </c>
      <c r="AF29" s="185">
        <f>IF(Master201722[[#This Row],[Status]]="Active",Master201722[[#This Row],[Status_Score]],IF(C29="","",Q29+G29+S29+U29+AE29-5))</f>
        <v>-100</v>
      </c>
      <c r="AG29" s="185"/>
      <c r="AH29" s="185"/>
      <c r="AI29" s="185">
        <v>2020</v>
      </c>
      <c r="AJ29" s="181"/>
    </row>
    <row r="30" spans="1:63" ht="45" hidden="1" x14ac:dyDescent="0.25">
      <c r="A30" s="198">
        <f t="shared" si="5"/>
        <v>25</v>
      </c>
      <c r="B30" s="181" t="s">
        <v>91</v>
      </c>
      <c r="C30" s="224" t="s">
        <v>794</v>
      </c>
      <c r="D30" s="224" t="s">
        <v>794</v>
      </c>
      <c r="E30" s="225" t="s">
        <v>882</v>
      </c>
      <c r="F30" s="181" t="s">
        <v>598</v>
      </c>
      <c r="G30" s="181">
        <f t="shared" si="4"/>
        <v>-100</v>
      </c>
      <c r="H30" s="182"/>
      <c r="I30" s="182"/>
      <c r="J30" s="182">
        <f>Master201722[[#This Row],[Initial Budget]]-Master201722[[#This Row],[Previously Committed Funds]]</f>
        <v>0</v>
      </c>
      <c r="K30" s="182"/>
      <c r="L30" s="182"/>
      <c r="M30" s="188">
        <f>Master201722[[#This Row],[Design $ (Add/Deduct)]]+Master201722[[#This Row],[Construction $ (Add/Ded)]]</f>
        <v>0</v>
      </c>
      <c r="N30" s="186">
        <v>40000</v>
      </c>
      <c r="O30" s="187">
        <v>2020</v>
      </c>
      <c r="P30" s="181" t="s">
        <v>46</v>
      </c>
      <c r="Q30" s="187">
        <f t="shared" si="8"/>
        <v>50</v>
      </c>
      <c r="R30" s="185">
        <v>1</v>
      </c>
      <c r="S30" s="185">
        <f t="shared" si="6"/>
        <v>3</v>
      </c>
      <c r="T30" s="185" t="s">
        <v>41</v>
      </c>
      <c r="U30" s="185">
        <f t="shared" si="7"/>
        <v>4</v>
      </c>
      <c r="V30" s="185" t="s">
        <v>30</v>
      </c>
      <c r="W30" s="185">
        <v>0</v>
      </c>
      <c r="X30" s="185">
        <v>0</v>
      </c>
      <c r="Y30" s="185">
        <v>0</v>
      </c>
      <c r="Z30" s="185">
        <v>0</v>
      </c>
      <c r="AA30" s="185">
        <v>0</v>
      </c>
      <c r="AB30" s="185">
        <v>0</v>
      </c>
      <c r="AC30" s="185">
        <v>0</v>
      </c>
      <c r="AD30" s="183" t="s">
        <v>29</v>
      </c>
      <c r="AE30" s="187">
        <f>VLOOKUP(Master201722[[#This Row],[Elevated Priority]],Epriority,2,)</f>
        <v>0</v>
      </c>
      <c r="AF30" s="185">
        <f>IF(Master201722[[#This Row],[Status]]="Active",Master201722[[#This Row],[Status_Score]],IF(C30="","",Q30+G30+S30+U30+AE30-5))</f>
        <v>-100</v>
      </c>
      <c r="AG30" s="185"/>
      <c r="AH30" s="185"/>
      <c r="AI30" s="185">
        <v>2021</v>
      </c>
      <c r="AJ30" s="181"/>
    </row>
    <row r="31" spans="1:63" ht="30" hidden="1" x14ac:dyDescent="0.25">
      <c r="A31" s="198">
        <f>A29+1</f>
        <v>25</v>
      </c>
      <c r="B31" s="181" t="s">
        <v>65</v>
      </c>
      <c r="C31" s="181" t="s">
        <v>963</v>
      </c>
      <c r="D31" s="181" t="s">
        <v>964</v>
      </c>
      <c r="E31" s="181" t="s">
        <v>965</v>
      </c>
      <c r="F31" s="181" t="s">
        <v>598</v>
      </c>
      <c r="G31" s="196">
        <f t="shared" si="4"/>
        <v>-100</v>
      </c>
      <c r="H31" s="182"/>
      <c r="I31" s="182"/>
      <c r="J31" s="182">
        <f>Master201722[[#This Row],[Initial Budget]]-Master201722[[#This Row],[Previously Committed Funds]]</f>
        <v>0</v>
      </c>
      <c r="K31" s="182"/>
      <c r="L31" s="182"/>
      <c r="M31" s="188">
        <f>Master201722[[#This Row],[Design $ (Add/Deduct)]]+Master201722[[#This Row],[Construction $ (Add/Ded)]]</f>
        <v>0</v>
      </c>
      <c r="N31" s="223">
        <v>750000</v>
      </c>
      <c r="O31" s="187">
        <v>2019</v>
      </c>
      <c r="P31" s="181" t="s">
        <v>36</v>
      </c>
      <c r="Q31" s="187">
        <f t="shared" si="8"/>
        <v>10</v>
      </c>
      <c r="R31" s="185">
        <v>1</v>
      </c>
      <c r="S31" s="185">
        <f t="shared" si="6"/>
        <v>3</v>
      </c>
      <c r="T31" s="183" t="s">
        <v>33</v>
      </c>
      <c r="U31" s="185">
        <f t="shared" si="7"/>
        <v>1</v>
      </c>
      <c r="V31" s="185" t="s">
        <v>30</v>
      </c>
      <c r="W31" s="185">
        <v>0</v>
      </c>
      <c r="X31" s="185">
        <v>0</v>
      </c>
      <c r="Y31" s="185">
        <v>0</v>
      </c>
      <c r="Z31" s="185">
        <v>0</v>
      </c>
      <c r="AA31" s="185">
        <v>0</v>
      </c>
      <c r="AB31" s="185">
        <v>0</v>
      </c>
      <c r="AC31" s="185">
        <v>0</v>
      </c>
      <c r="AD31" s="183" t="s">
        <v>39</v>
      </c>
      <c r="AE31" s="187">
        <f>VLOOKUP(Master201722[[#This Row],[Elevated Priority]],Epriority,2,)</f>
        <v>-30</v>
      </c>
      <c r="AF31" s="187">
        <f>IF(Master201722[[#This Row],[Status]]="Active",Master201722[[#This Row],[Status_Score]],IF(C31="","",Q31+G31+S31+U31+AE31-5))</f>
        <v>-100</v>
      </c>
      <c r="AG31" s="185"/>
      <c r="AH31" s="185">
        <v>2019</v>
      </c>
      <c r="AI31" s="185">
        <v>2020</v>
      </c>
      <c r="AJ31" s="181"/>
    </row>
    <row r="32" spans="1:63" ht="60" hidden="1" x14ac:dyDescent="0.25">
      <c r="A32" s="198">
        <f>A30+1</f>
        <v>26</v>
      </c>
      <c r="B32" s="181" t="s">
        <v>65</v>
      </c>
      <c r="C32" s="181" t="s">
        <v>959</v>
      </c>
      <c r="D32" s="181" t="s">
        <v>949</v>
      </c>
      <c r="E32" s="181" t="s">
        <v>950</v>
      </c>
      <c r="F32" s="181" t="s">
        <v>598</v>
      </c>
      <c r="G32" s="196">
        <f t="shared" si="4"/>
        <v>-100</v>
      </c>
      <c r="H32" s="182"/>
      <c r="I32" s="182"/>
      <c r="J32" s="182">
        <f>Master201722[[#This Row],[Initial Budget]]-Master201722[[#This Row],[Previously Committed Funds]]</f>
        <v>0</v>
      </c>
      <c r="K32" s="182"/>
      <c r="L32" s="182"/>
      <c r="M32" s="188">
        <f>Master201722[[#This Row],[Design $ (Add/Deduct)]]+Master201722[[#This Row],[Construction $ (Add/Ded)]]</f>
        <v>0</v>
      </c>
      <c r="N32" s="186">
        <v>50000</v>
      </c>
      <c r="O32" s="187">
        <v>2020</v>
      </c>
      <c r="P32" s="181" t="s">
        <v>830</v>
      </c>
      <c r="Q32" s="187">
        <f t="shared" si="8"/>
        <v>10</v>
      </c>
      <c r="R32" s="185">
        <v>1</v>
      </c>
      <c r="S32" s="185">
        <f t="shared" si="6"/>
        <v>3</v>
      </c>
      <c r="T32" s="185" t="s">
        <v>37</v>
      </c>
      <c r="U32" s="185">
        <f t="shared" si="7"/>
        <v>3</v>
      </c>
      <c r="V32" s="185" t="s">
        <v>30</v>
      </c>
      <c r="W32" s="185">
        <v>0</v>
      </c>
      <c r="X32" s="185">
        <v>0</v>
      </c>
      <c r="Y32" s="185">
        <v>0</v>
      </c>
      <c r="Z32" s="185">
        <v>0</v>
      </c>
      <c r="AA32" s="185">
        <v>0</v>
      </c>
      <c r="AB32" s="185">
        <v>0</v>
      </c>
      <c r="AC32" s="185">
        <v>0</v>
      </c>
      <c r="AD32" s="183" t="s">
        <v>29</v>
      </c>
      <c r="AE32" s="187">
        <f>VLOOKUP(Master201722[[#This Row],[Elevated Priority]],Epriority,2,)</f>
        <v>0</v>
      </c>
      <c r="AF32" s="185">
        <f>IF(Master201722[[#This Row],[Status]]="Active",Master201722[[#This Row],[Status_Score]],IF(C32="","",Q32+G32+S32+U32+AE32-5))</f>
        <v>-100</v>
      </c>
      <c r="AG32" s="185"/>
      <c r="AH32" s="185">
        <v>2020</v>
      </c>
      <c r="AI32" s="185">
        <v>2021</v>
      </c>
      <c r="AJ32" s="181"/>
    </row>
    <row r="33" spans="1:63" s="141" customFormat="1" ht="45" hidden="1" x14ac:dyDescent="0.25">
      <c r="A33" s="198">
        <f t="shared" si="5"/>
        <v>27</v>
      </c>
      <c r="B33" s="181" t="s">
        <v>65</v>
      </c>
      <c r="C33" s="181" t="s">
        <v>977</v>
      </c>
      <c r="D33" s="181" t="s">
        <v>161</v>
      </c>
      <c r="E33" s="181" t="s">
        <v>162</v>
      </c>
      <c r="F33" s="181" t="s">
        <v>598</v>
      </c>
      <c r="G33" s="181">
        <f t="shared" si="4"/>
        <v>-100</v>
      </c>
      <c r="H33" s="182"/>
      <c r="I33" s="182"/>
      <c r="J33" s="182">
        <f>Master201722[[#This Row],[Initial Budget]]-Master201722[[#This Row],[Previously Committed Funds]]</f>
        <v>0</v>
      </c>
      <c r="K33" s="182"/>
      <c r="L33" s="182"/>
      <c r="M33" s="188">
        <f>Master201722[[#This Row],[Design $ (Add/Deduct)]]+Master201722[[#This Row],[Construction $ (Add/Ded)]]</f>
        <v>0</v>
      </c>
      <c r="N33" s="186">
        <v>90000</v>
      </c>
      <c r="O33" s="187">
        <v>2018</v>
      </c>
      <c r="P33" s="181" t="s">
        <v>36</v>
      </c>
      <c r="Q33" s="187">
        <f t="shared" si="8"/>
        <v>10</v>
      </c>
      <c r="R33" s="185">
        <v>1</v>
      </c>
      <c r="S33" s="185">
        <f t="shared" si="6"/>
        <v>3</v>
      </c>
      <c r="T33" s="185" t="s">
        <v>41</v>
      </c>
      <c r="U33" s="185">
        <f t="shared" si="7"/>
        <v>4</v>
      </c>
      <c r="V33" s="185" t="s">
        <v>30</v>
      </c>
      <c r="W33" s="151">
        <v>0</v>
      </c>
      <c r="X33" s="151">
        <v>0</v>
      </c>
      <c r="Y33" s="151">
        <v>0</v>
      </c>
      <c r="Z33" s="151">
        <v>0</v>
      </c>
      <c r="AA33" s="151">
        <v>0</v>
      </c>
      <c r="AB33" s="151">
        <v>0</v>
      </c>
      <c r="AC33" s="151">
        <v>0</v>
      </c>
      <c r="AD33" s="183" t="s">
        <v>29</v>
      </c>
      <c r="AE33" s="187">
        <f>VLOOKUP(Master201722[[#This Row],[Elevated Priority]],Epriority,2,)</f>
        <v>0</v>
      </c>
      <c r="AF33" s="185">
        <f>IF(Master201722[[#This Row],[Status]]="Active",Master201722[[#This Row],[Status_Score]],IF(C33="","",Q33+G33+S33+U33+AE33-5))</f>
        <v>-100</v>
      </c>
      <c r="AG33" s="185"/>
      <c r="AH33" s="185">
        <v>2020</v>
      </c>
      <c r="AI33" s="185">
        <v>2021</v>
      </c>
      <c r="AJ33" s="181"/>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row>
    <row r="34" spans="1:63" s="141" customFormat="1" ht="45" hidden="1" x14ac:dyDescent="0.25">
      <c r="A34" s="198">
        <f t="shared" si="5"/>
        <v>28</v>
      </c>
      <c r="B34" s="149" t="s">
        <v>220</v>
      </c>
      <c r="C34" s="164" t="s">
        <v>827</v>
      </c>
      <c r="D34" s="164" t="s">
        <v>828</v>
      </c>
      <c r="E34" s="180" t="s">
        <v>861</v>
      </c>
      <c r="F34" s="149" t="s">
        <v>29</v>
      </c>
      <c r="G34" s="149">
        <f t="shared" si="4"/>
        <v>0</v>
      </c>
      <c r="H34" s="162"/>
      <c r="I34" s="162"/>
      <c r="J34" s="162">
        <f>Master201722[[#This Row],[Initial Budget]]-Master201722[[#This Row],[Previously Committed Funds]]</f>
        <v>0</v>
      </c>
      <c r="K34" s="162"/>
      <c r="L34" s="162"/>
      <c r="M34" s="189">
        <f>Master201722[[#This Row],[Design $ (Add/Deduct)]]+Master201722[[#This Row],[Construction $ (Add/Ded)]]</f>
        <v>0</v>
      </c>
      <c r="N34" s="171">
        <v>250000</v>
      </c>
      <c r="O34" s="150">
        <v>2020</v>
      </c>
      <c r="P34" s="149" t="s">
        <v>32</v>
      </c>
      <c r="Q34" s="150">
        <f t="shared" si="8"/>
        <v>1</v>
      </c>
      <c r="R34" s="151">
        <v>1</v>
      </c>
      <c r="S34" s="148">
        <f t="shared" si="6"/>
        <v>3</v>
      </c>
      <c r="T34" s="151" t="s">
        <v>33</v>
      </c>
      <c r="U34" s="151">
        <f t="shared" si="7"/>
        <v>1</v>
      </c>
      <c r="V34" s="151" t="s">
        <v>30</v>
      </c>
      <c r="W34" s="151">
        <v>0</v>
      </c>
      <c r="X34" s="151">
        <v>0</v>
      </c>
      <c r="Y34" s="151">
        <v>0</v>
      </c>
      <c r="Z34" s="151">
        <v>0</v>
      </c>
      <c r="AA34" s="151">
        <v>0</v>
      </c>
      <c r="AB34" s="151">
        <v>0</v>
      </c>
      <c r="AC34" s="151">
        <v>0</v>
      </c>
      <c r="AD34" s="152" t="s">
        <v>29</v>
      </c>
      <c r="AE34" s="157">
        <f>VLOOKUP(Master201722[[#This Row],[Elevated Priority]],Epriority,2,)</f>
        <v>0</v>
      </c>
      <c r="AF34" s="151">
        <f>IF(Master201722[[#This Row],[Status]]="Active",Master201722[[#This Row],[Status_Score]],IF(C34="","",Q34+G34+S34+U34+AE34-5))</f>
        <v>0</v>
      </c>
      <c r="AG34" s="148"/>
      <c r="AH34" s="148">
        <v>2020</v>
      </c>
      <c r="AI34" s="148">
        <v>2021</v>
      </c>
      <c r="AJ34" s="156"/>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row>
    <row r="35" spans="1:63" s="141" customFormat="1" ht="30" hidden="1" x14ac:dyDescent="0.25">
      <c r="A35" s="198">
        <f t="shared" si="5"/>
        <v>29</v>
      </c>
      <c r="B35" s="149" t="s">
        <v>774</v>
      </c>
      <c r="C35" s="156" t="s">
        <v>836</v>
      </c>
      <c r="D35" s="156" t="s">
        <v>775</v>
      </c>
      <c r="E35" s="156" t="s">
        <v>798</v>
      </c>
      <c r="F35" s="149" t="s">
        <v>29</v>
      </c>
      <c r="G35" s="149">
        <f t="shared" si="4"/>
        <v>0</v>
      </c>
      <c r="H35" s="162"/>
      <c r="I35" s="162"/>
      <c r="J35" s="162">
        <f>Master201722[[#This Row],[Initial Budget]]-Master201722[[#This Row],[Previously Committed Funds]]</f>
        <v>0</v>
      </c>
      <c r="K35" s="162"/>
      <c r="L35" s="162">
        <v>50000</v>
      </c>
      <c r="M35" s="189">
        <f>Master201722[[#This Row],[Design $ (Add/Deduct)]]+Master201722[[#This Row],[Construction $ (Add/Ded)]]</f>
        <v>50000</v>
      </c>
      <c r="N35" s="159">
        <v>50000</v>
      </c>
      <c r="O35" s="157">
        <v>2020</v>
      </c>
      <c r="P35" s="156" t="s">
        <v>32</v>
      </c>
      <c r="Q35" s="150">
        <f t="shared" si="8"/>
        <v>1</v>
      </c>
      <c r="R35" s="148">
        <v>1</v>
      </c>
      <c r="S35" s="148">
        <f t="shared" si="6"/>
        <v>3</v>
      </c>
      <c r="T35" s="148" t="s">
        <v>37</v>
      </c>
      <c r="U35" s="151">
        <f t="shared" si="7"/>
        <v>3</v>
      </c>
      <c r="V35" s="148" t="s">
        <v>30</v>
      </c>
      <c r="W35" s="151">
        <v>0</v>
      </c>
      <c r="X35" s="151">
        <v>0</v>
      </c>
      <c r="Y35" s="151">
        <v>0</v>
      </c>
      <c r="Z35" s="151">
        <v>0</v>
      </c>
      <c r="AA35" s="151">
        <v>0</v>
      </c>
      <c r="AB35" s="151">
        <v>0</v>
      </c>
      <c r="AC35" s="151">
        <v>0</v>
      </c>
      <c r="AD35" s="152" t="s">
        <v>29</v>
      </c>
      <c r="AE35" s="157">
        <f>VLOOKUP(Master201722[[#This Row],[Elevated Priority]],Epriority,2,)</f>
        <v>0</v>
      </c>
      <c r="AF35" s="151">
        <f>IF(Master201722[[#This Row],[Status]]="Active",Master201722[[#This Row],[Status_Score]],IF(C35="","",Q35+G35+S35+U35+AE35-5))</f>
        <v>2</v>
      </c>
      <c r="AG35" s="148"/>
      <c r="AH35" s="148"/>
      <c r="AI35" s="148">
        <v>2020</v>
      </c>
      <c r="AJ35" s="156"/>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row>
    <row r="36" spans="1:63" s="141" customFormat="1" ht="30" x14ac:dyDescent="0.25">
      <c r="A36" s="198">
        <f t="shared" si="5"/>
        <v>30</v>
      </c>
      <c r="B36" s="149" t="s">
        <v>777</v>
      </c>
      <c r="C36" s="156" t="s">
        <v>799</v>
      </c>
      <c r="D36" s="156" t="s">
        <v>776</v>
      </c>
      <c r="E36" s="243" t="s">
        <v>800</v>
      </c>
      <c r="F36" s="149" t="s">
        <v>29</v>
      </c>
      <c r="G36" s="149">
        <f t="shared" si="4"/>
        <v>0</v>
      </c>
      <c r="H36" s="162"/>
      <c r="I36" s="162"/>
      <c r="J36" s="162">
        <f>Master201722[[#This Row],[Initial Budget]]-Master201722[[#This Row],[Previously Committed Funds]]</f>
        <v>0</v>
      </c>
      <c r="K36" s="162"/>
      <c r="L36" s="162"/>
      <c r="M36" s="189">
        <f>Master201722[[#This Row],[Design $ (Add/Deduct)]]+Master201722[[#This Row],[Construction $ (Add/Ded)]]</f>
        <v>0</v>
      </c>
      <c r="N36" s="246">
        <v>175000</v>
      </c>
      <c r="O36" s="244">
        <v>2020</v>
      </c>
      <c r="P36" s="149" t="s">
        <v>688</v>
      </c>
      <c r="Q36" s="150">
        <f t="shared" si="8"/>
        <v>20</v>
      </c>
      <c r="R36" s="235">
        <v>1</v>
      </c>
      <c r="S36" s="148">
        <f t="shared" si="6"/>
        <v>3</v>
      </c>
      <c r="T36" s="235" t="s">
        <v>37</v>
      </c>
      <c r="U36" s="151">
        <f t="shared" si="7"/>
        <v>3</v>
      </c>
      <c r="V36" s="235" t="s">
        <v>34</v>
      </c>
      <c r="W36" s="185">
        <v>0</v>
      </c>
      <c r="X36" s="151">
        <v>0</v>
      </c>
      <c r="Y36" s="151">
        <v>-3</v>
      </c>
      <c r="Z36" s="151">
        <v>0</v>
      </c>
      <c r="AA36" s="151">
        <v>0</v>
      </c>
      <c r="AB36" s="151">
        <v>0</v>
      </c>
      <c r="AC36" s="151">
        <v>-3</v>
      </c>
      <c r="AD36" s="152" t="s">
        <v>29</v>
      </c>
      <c r="AE36" s="157">
        <f>VLOOKUP(Master201722[[#This Row],[Elevated Priority]],Epriority,2,)</f>
        <v>0</v>
      </c>
      <c r="AF36" s="151">
        <f>IF(Master201722[[#This Row],[Status]]="Active",Master201722[[#This Row],[Status_Score]],IF(C36="","",Q36+G36+S36+U36+AE36-5))</f>
        <v>21</v>
      </c>
      <c r="AG36" s="148"/>
      <c r="AH36" s="148">
        <v>2020</v>
      </c>
      <c r="AI36" s="148">
        <v>2021</v>
      </c>
      <c r="AJ36" s="156" t="s">
        <v>978</v>
      </c>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row>
    <row r="37" spans="1:63" ht="30" hidden="1" x14ac:dyDescent="0.25">
      <c r="A37" s="198">
        <f t="shared" si="5"/>
        <v>31</v>
      </c>
      <c r="B37" s="149" t="s">
        <v>91</v>
      </c>
      <c r="C37" s="149" t="s">
        <v>92</v>
      </c>
      <c r="D37" s="149" t="s">
        <v>93</v>
      </c>
      <c r="E37" s="149" t="s">
        <v>860</v>
      </c>
      <c r="F37" s="149" t="s">
        <v>29</v>
      </c>
      <c r="G37" s="149">
        <f t="shared" si="4"/>
        <v>0</v>
      </c>
      <c r="H37" s="162"/>
      <c r="I37" s="162"/>
      <c r="J37" s="162">
        <f>Master201722[[#This Row],[Initial Budget]]-Master201722[[#This Row],[Previously Committed Funds]]</f>
        <v>0</v>
      </c>
      <c r="K37" s="162"/>
      <c r="L37" s="162"/>
      <c r="M37" s="189">
        <f>Master201722[[#This Row],[Design $ (Add/Deduct)]]+Master201722[[#This Row],[Construction $ (Add/Ded)]]</f>
        <v>0</v>
      </c>
      <c r="N37" s="171">
        <v>40000</v>
      </c>
      <c r="O37" s="150">
        <v>2018</v>
      </c>
      <c r="P37" s="149" t="s">
        <v>32</v>
      </c>
      <c r="Q37" s="150">
        <f t="shared" si="8"/>
        <v>1</v>
      </c>
      <c r="R37" s="151">
        <v>3</v>
      </c>
      <c r="S37" s="148">
        <f t="shared" si="6"/>
        <v>9</v>
      </c>
      <c r="T37" s="151" t="s">
        <v>33</v>
      </c>
      <c r="U37" s="151">
        <f t="shared" si="7"/>
        <v>1</v>
      </c>
      <c r="V37" s="151" t="s">
        <v>30</v>
      </c>
      <c r="W37" s="151">
        <v>0</v>
      </c>
      <c r="X37" s="151">
        <v>0</v>
      </c>
      <c r="Y37" s="151">
        <v>0</v>
      </c>
      <c r="Z37" s="151">
        <v>0</v>
      </c>
      <c r="AA37" s="151">
        <v>0</v>
      </c>
      <c r="AB37" s="151">
        <v>0</v>
      </c>
      <c r="AC37" s="151">
        <v>0</v>
      </c>
      <c r="AD37" s="152" t="s">
        <v>29</v>
      </c>
      <c r="AE37" s="157">
        <f>VLOOKUP(Master201722[[#This Row],[Elevated Priority]],Epriority,2,)</f>
        <v>0</v>
      </c>
      <c r="AF37" s="151">
        <f>IF(Master201722[[#This Row],[Status]]="Active",Master201722[[#This Row],[Status_Score]],IF(C37="","",Q37+G37+S37+U37+AE37-5))</f>
        <v>6</v>
      </c>
      <c r="AG37" s="148"/>
      <c r="AH37" s="148"/>
      <c r="AI37" s="148">
        <v>2020</v>
      </c>
      <c r="AJ37" s="156"/>
    </row>
    <row r="38" spans="1:63" ht="30" x14ac:dyDescent="0.25">
      <c r="A38" s="198">
        <f t="shared" si="5"/>
        <v>32</v>
      </c>
      <c r="B38" s="236" t="s">
        <v>61</v>
      </c>
      <c r="C38" s="243" t="s">
        <v>217</v>
      </c>
      <c r="D38" s="243" t="s">
        <v>218</v>
      </c>
      <c r="E38" s="243" t="s">
        <v>219</v>
      </c>
      <c r="F38" s="149" t="s">
        <v>29</v>
      </c>
      <c r="G38" s="149">
        <f t="shared" si="4"/>
        <v>0</v>
      </c>
      <c r="H38" s="162"/>
      <c r="I38" s="162"/>
      <c r="J38" s="162">
        <f>Master201722[[#This Row],[Initial Budget]]-Master201722[[#This Row],[Previously Committed Funds]]</f>
        <v>0</v>
      </c>
      <c r="K38" s="162"/>
      <c r="L38" s="162"/>
      <c r="M38" s="189">
        <f>Master201722[[#This Row],[Design $ (Add/Deduct)]]+Master201722[[#This Row],[Construction $ (Add/Ded)]]</f>
        <v>0</v>
      </c>
      <c r="N38" s="171">
        <v>1500000</v>
      </c>
      <c r="O38" s="150">
        <v>2018</v>
      </c>
      <c r="P38" s="149" t="s">
        <v>36</v>
      </c>
      <c r="Q38" s="150">
        <f t="shared" si="8"/>
        <v>10</v>
      </c>
      <c r="R38" s="151">
        <v>2</v>
      </c>
      <c r="S38" s="148">
        <f t="shared" si="6"/>
        <v>6</v>
      </c>
      <c r="T38" s="151" t="s">
        <v>43</v>
      </c>
      <c r="U38" s="151">
        <f t="shared" si="7"/>
        <v>16</v>
      </c>
      <c r="V38" s="151" t="s">
        <v>34</v>
      </c>
      <c r="W38" s="185">
        <v>-2</v>
      </c>
      <c r="X38" s="151">
        <v>-5</v>
      </c>
      <c r="Y38" s="151">
        <v>0</v>
      </c>
      <c r="Z38" s="151">
        <v>0</v>
      </c>
      <c r="AA38" s="151">
        <v>0</v>
      </c>
      <c r="AB38" s="151">
        <v>-3</v>
      </c>
      <c r="AC38" s="151">
        <v>-1</v>
      </c>
      <c r="AD38" s="152" t="s">
        <v>29</v>
      </c>
      <c r="AE38" s="157">
        <f>VLOOKUP(Master201722[[#This Row],[Elevated Priority]],Epriority,2,)</f>
        <v>0</v>
      </c>
      <c r="AF38" s="151">
        <f>IF(Master201722[[#This Row],[Status]]="Active",Master201722[[#This Row],[Status_Score]],IF(C38="","",Q38+G38+S38+U38+AE38-5))</f>
        <v>27</v>
      </c>
      <c r="AG38" s="238"/>
      <c r="AH38" s="238">
        <v>2021</v>
      </c>
      <c r="AI38" s="238">
        <v>2022</v>
      </c>
      <c r="AJ38" s="156"/>
    </row>
    <row r="39" spans="1:63" ht="75" x14ac:dyDescent="0.25">
      <c r="A39" s="198">
        <f t="shared" si="5"/>
        <v>33</v>
      </c>
      <c r="B39" s="149" t="s">
        <v>65</v>
      </c>
      <c r="C39" s="149" t="s">
        <v>191</v>
      </c>
      <c r="D39" s="149" t="s">
        <v>192</v>
      </c>
      <c r="E39" s="149" t="s">
        <v>193</v>
      </c>
      <c r="F39" s="149" t="s">
        <v>29</v>
      </c>
      <c r="G39" s="149">
        <f t="shared" si="4"/>
        <v>0</v>
      </c>
      <c r="H39" s="162"/>
      <c r="I39" s="162"/>
      <c r="J39" s="162">
        <f>Master201722[[#This Row],[Initial Budget]]-Master201722[[#This Row],[Previously Committed Funds]]</f>
        <v>0</v>
      </c>
      <c r="K39" s="162"/>
      <c r="L39" s="162"/>
      <c r="M39" s="189">
        <f>Master201722[[#This Row],[Design $ (Add/Deduct)]]+Master201722[[#This Row],[Construction $ (Add/Ded)]]</f>
        <v>0</v>
      </c>
      <c r="N39" s="171">
        <v>800000</v>
      </c>
      <c r="O39" s="150">
        <v>2018</v>
      </c>
      <c r="P39" s="149" t="s">
        <v>36</v>
      </c>
      <c r="Q39" s="150">
        <f t="shared" si="8"/>
        <v>10</v>
      </c>
      <c r="R39" s="151">
        <v>4</v>
      </c>
      <c r="S39" s="148">
        <f t="shared" si="6"/>
        <v>12</v>
      </c>
      <c r="T39" s="151" t="s">
        <v>43</v>
      </c>
      <c r="U39" s="151">
        <f t="shared" si="7"/>
        <v>16</v>
      </c>
      <c r="V39" s="151" t="s">
        <v>34</v>
      </c>
      <c r="W39" s="185">
        <v>0</v>
      </c>
      <c r="X39" s="151">
        <v>0</v>
      </c>
      <c r="Y39" s="151">
        <v>0</v>
      </c>
      <c r="Z39" s="151">
        <v>0</v>
      </c>
      <c r="AA39" s="151">
        <v>0</v>
      </c>
      <c r="AB39" s="151">
        <v>0</v>
      </c>
      <c r="AC39" s="151">
        <v>-1</v>
      </c>
      <c r="AD39" s="152" t="s">
        <v>29</v>
      </c>
      <c r="AE39" s="157">
        <f>VLOOKUP(Master201722[[#This Row],[Elevated Priority]],Epriority,2,)</f>
        <v>0</v>
      </c>
      <c r="AF39" s="151">
        <f>IF(Master201722[[#This Row],[Status]]="Active",Master201722[[#This Row],[Status_Score]],IF(C39="","",Q39+G39+S39+U39+AE39-5))</f>
        <v>33</v>
      </c>
      <c r="AG39" s="148"/>
      <c r="AH39" s="148"/>
      <c r="AI39" s="148"/>
      <c r="AJ39" s="156"/>
    </row>
    <row r="40" spans="1:63" ht="30" hidden="1" x14ac:dyDescent="0.25">
      <c r="A40" s="198">
        <f t="shared" si="5"/>
        <v>34</v>
      </c>
      <c r="B40" s="149" t="s">
        <v>61</v>
      </c>
      <c r="C40" s="232" t="s">
        <v>797</v>
      </c>
      <c r="D40" s="164" t="s">
        <v>810</v>
      </c>
      <c r="E40" s="180" t="s">
        <v>811</v>
      </c>
      <c r="F40" s="149" t="s">
        <v>29</v>
      </c>
      <c r="G40" s="149">
        <f t="shared" si="4"/>
        <v>0</v>
      </c>
      <c r="H40" s="162"/>
      <c r="I40" s="162"/>
      <c r="J40" s="162">
        <f>Master201722[[#This Row],[Initial Budget]]-Master201722[[#This Row],[Previously Committed Funds]]</f>
        <v>0</v>
      </c>
      <c r="K40" s="162">
        <v>100000</v>
      </c>
      <c r="L40" s="162"/>
      <c r="M40" s="189">
        <f>Master201722[[#This Row],[Design $ (Add/Deduct)]]+Master201722[[#This Row],[Construction $ (Add/Ded)]]</f>
        <v>100000</v>
      </c>
      <c r="N40" s="171">
        <v>2500000</v>
      </c>
      <c r="O40" s="150">
        <v>2020</v>
      </c>
      <c r="P40" s="149" t="s">
        <v>36</v>
      </c>
      <c r="Q40" s="150">
        <f t="shared" si="8"/>
        <v>10</v>
      </c>
      <c r="R40" s="151">
        <v>1</v>
      </c>
      <c r="S40" s="148">
        <f t="shared" si="6"/>
        <v>3</v>
      </c>
      <c r="T40" s="151" t="s">
        <v>41</v>
      </c>
      <c r="U40" s="151">
        <f t="shared" si="7"/>
        <v>4</v>
      </c>
      <c r="V40" s="151" t="s">
        <v>30</v>
      </c>
      <c r="W40" s="151">
        <v>0</v>
      </c>
      <c r="X40" s="151">
        <v>0</v>
      </c>
      <c r="Y40" s="151">
        <v>0</v>
      </c>
      <c r="Z40" s="151">
        <v>0</v>
      </c>
      <c r="AA40" s="151">
        <v>0</v>
      </c>
      <c r="AB40" s="151">
        <v>0</v>
      </c>
      <c r="AC40" s="151">
        <v>0</v>
      </c>
      <c r="AD40" s="152" t="s">
        <v>29</v>
      </c>
      <c r="AE40" s="157">
        <f>VLOOKUP(Master201722[[#This Row],[Elevated Priority]],Epriority,2,)</f>
        <v>0</v>
      </c>
      <c r="AF40" s="151">
        <f>IF(Master201722[[#This Row],[Status]]="Active",Master201722[[#This Row],[Status_Score]],IF(C40="","",Q40+G40+S40+U40+AE40-5))</f>
        <v>12</v>
      </c>
      <c r="AG40" s="148"/>
      <c r="AH40" s="148">
        <v>2020</v>
      </c>
      <c r="AI40" s="148">
        <v>2021</v>
      </c>
      <c r="AJ40" s="156" t="s">
        <v>975</v>
      </c>
    </row>
    <row r="41" spans="1:63" ht="60" hidden="1" x14ac:dyDescent="0.25">
      <c r="A41" s="198">
        <f t="shared" si="5"/>
        <v>35</v>
      </c>
      <c r="B41" s="149" t="s">
        <v>70</v>
      </c>
      <c r="C41" s="149" t="s">
        <v>924</v>
      </c>
      <c r="D41" s="155" t="s">
        <v>228</v>
      </c>
      <c r="E41" s="155" t="s">
        <v>229</v>
      </c>
      <c r="F41" s="149" t="s">
        <v>29</v>
      </c>
      <c r="G41" s="149">
        <f t="shared" si="4"/>
        <v>0</v>
      </c>
      <c r="H41" s="162"/>
      <c r="I41" s="162"/>
      <c r="J41" s="162">
        <f>Master201722[[#This Row],[Initial Budget]]-Master201722[[#This Row],[Previously Committed Funds]]</f>
        <v>0</v>
      </c>
      <c r="K41" s="162"/>
      <c r="L41" s="162"/>
      <c r="M41" s="189">
        <f>Master201722[[#This Row],[Design $ (Add/Deduct)]]+Master201722[[#This Row],[Construction $ (Add/Ded)]]</f>
        <v>0</v>
      </c>
      <c r="N41" s="171">
        <v>100000</v>
      </c>
      <c r="O41" s="150">
        <v>2018</v>
      </c>
      <c r="P41" s="149" t="s">
        <v>36</v>
      </c>
      <c r="Q41" s="150">
        <f t="shared" si="8"/>
        <v>10</v>
      </c>
      <c r="R41" s="151">
        <v>2</v>
      </c>
      <c r="S41" s="148">
        <f t="shared" si="6"/>
        <v>6</v>
      </c>
      <c r="T41" s="151" t="s">
        <v>37</v>
      </c>
      <c r="U41" s="151">
        <f t="shared" si="7"/>
        <v>3</v>
      </c>
      <c r="V41" s="151" t="s">
        <v>30</v>
      </c>
      <c r="W41" s="151">
        <v>0</v>
      </c>
      <c r="X41" s="151">
        <v>0</v>
      </c>
      <c r="Y41" s="151">
        <v>0</v>
      </c>
      <c r="Z41" s="151">
        <v>0</v>
      </c>
      <c r="AA41" s="151">
        <v>0</v>
      </c>
      <c r="AB41" s="151">
        <v>0</v>
      </c>
      <c r="AC41" s="151">
        <v>0</v>
      </c>
      <c r="AD41" s="152" t="s">
        <v>29</v>
      </c>
      <c r="AE41" s="157">
        <f>VLOOKUP(Master201722[[#This Row],[Elevated Priority]],Epriority,2,)</f>
        <v>0</v>
      </c>
      <c r="AF41" s="151">
        <f>IF(Master201722[[#This Row],[Status]]="Active",Master201722[[#This Row],[Status_Score]],IF(C41="","",Q41+G41+S41+U41+AE41-5))</f>
        <v>14</v>
      </c>
      <c r="AG41" s="148"/>
      <c r="AH41" s="148">
        <v>2020</v>
      </c>
      <c r="AI41" s="148">
        <v>2021</v>
      </c>
      <c r="AJ41" s="156" t="s">
        <v>974</v>
      </c>
    </row>
    <row r="42" spans="1:63" ht="45" hidden="1" x14ac:dyDescent="0.25">
      <c r="A42" s="198">
        <f t="shared" si="5"/>
        <v>36</v>
      </c>
      <c r="B42" s="149" t="s">
        <v>70</v>
      </c>
      <c r="C42" s="149" t="s">
        <v>122</v>
      </c>
      <c r="D42" s="149" t="s">
        <v>132</v>
      </c>
      <c r="E42" s="149" t="s">
        <v>817</v>
      </c>
      <c r="F42" s="149" t="s">
        <v>29</v>
      </c>
      <c r="G42" s="149">
        <f t="shared" si="4"/>
        <v>0</v>
      </c>
      <c r="H42" s="162"/>
      <c r="I42" s="162"/>
      <c r="J42" s="162">
        <f>Master201722[[#This Row],[Initial Budget]]-Master201722[[#This Row],[Previously Committed Funds]]</f>
        <v>0</v>
      </c>
      <c r="K42" s="162"/>
      <c r="L42" s="162"/>
      <c r="M42" s="189">
        <f>Master201722[[#This Row],[Design $ (Add/Deduct)]]+Master201722[[#This Row],[Construction $ (Add/Ded)]]</f>
        <v>0</v>
      </c>
      <c r="N42" s="171">
        <v>250000</v>
      </c>
      <c r="O42" s="150">
        <v>2018</v>
      </c>
      <c r="P42" s="149" t="s">
        <v>830</v>
      </c>
      <c r="Q42" s="150">
        <f t="shared" si="8"/>
        <v>10</v>
      </c>
      <c r="R42" s="151">
        <v>1</v>
      </c>
      <c r="S42" s="148">
        <f t="shared" si="6"/>
        <v>3</v>
      </c>
      <c r="T42" s="151" t="s">
        <v>33</v>
      </c>
      <c r="U42" s="151">
        <f t="shared" si="7"/>
        <v>1</v>
      </c>
      <c r="V42" s="151" t="s">
        <v>30</v>
      </c>
      <c r="W42" s="151">
        <v>0</v>
      </c>
      <c r="X42" s="151">
        <v>0</v>
      </c>
      <c r="Y42" s="151">
        <v>0</v>
      </c>
      <c r="Z42" s="151">
        <v>0</v>
      </c>
      <c r="AA42" s="151">
        <v>0</v>
      </c>
      <c r="AB42" s="151">
        <v>0</v>
      </c>
      <c r="AC42" s="151">
        <v>0</v>
      </c>
      <c r="AD42" s="152" t="s">
        <v>29</v>
      </c>
      <c r="AE42" s="157">
        <f>VLOOKUP(Master201722[[#This Row],[Elevated Priority]],Epriority,2,)</f>
        <v>0</v>
      </c>
      <c r="AF42" s="151">
        <f>IF(Master201722[[#This Row],[Status]]="Active",Master201722[[#This Row],[Status_Score]],IF(C42="","",Q42+G42+S42+U42+AE42-5))</f>
        <v>9</v>
      </c>
      <c r="AG42" s="148"/>
      <c r="AH42" s="148">
        <v>2020</v>
      </c>
      <c r="AI42" s="148">
        <v>2020</v>
      </c>
      <c r="AJ42" s="156" t="s">
        <v>976</v>
      </c>
    </row>
    <row r="43" spans="1:63" ht="45" x14ac:dyDescent="0.25">
      <c r="A43" s="198">
        <f t="shared" si="5"/>
        <v>37</v>
      </c>
      <c r="B43" s="149" t="s">
        <v>79</v>
      </c>
      <c r="C43" s="156" t="s">
        <v>780</v>
      </c>
      <c r="D43" s="236" t="s">
        <v>311</v>
      </c>
      <c r="E43" s="236" t="s">
        <v>312</v>
      </c>
      <c r="F43" s="149" t="s">
        <v>29</v>
      </c>
      <c r="G43" s="149">
        <f t="shared" si="4"/>
        <v>0</v>
      </c>
      <c r="H43" s="162"/>
      <c r="I43" s="162"/>
      <c r="J43" s="162">
        <f>Master201722[[#This Row],[Initial Budget]]-Master201722[[#This Row],[Previously Committed Funds]]</f>
        <v>0</v>
      </c>
      <c r="K43" s="162"/>
      <c r="L43" s="162"/>
      <c r="M43" s="189">
        <f>Master201722[[#This Row],[Design $ (Add/Deduct)]]+Master201722[[#This Row],[Construction $ (Add/Ded)]]</f>
        <v>0</v>
      </c>
      <c r="N43" s="256">
        <v>250000</v>
      </c>
      <c r="O43" s="237">
        <v>2018</v>
      </c>
      <c r="P43" s="149" t="s">
        <v>36</v>
      </c>
      <c r="Q43" s="150">
        <f t="shared" si="8"/>
        <v>10</v>
      </c>
      <c r="R43" s="238">
        <v>5</v>
      </c>
      <c r="S43" s="148">
        <f t="shared" si="6"/>
        <v>15</v>
      </c>
      <c r="T43" s="238" t="s">
        <v>43</v>
      </c>
      <c r="U43" s="151">
        <f t="shared" si="7"/>
        <v>16</v>
      </c>
      <c r="V43" s="238" t="s">
        <v>34</v>
      </c>
      <c r="W43" s="185">
        <v>0</v>
      </c>
      <c r="X43" s="151">
        <v>0</v>
      </c>
      <c r="Y43" s="151">
        <v>0</v>
      </c>
      <c r="Z43" s="151">
        <v>0</v>
      </c>
      <c r="AA43" s="151">
        <v>0</v>
      </c>
      <c r="AB43" s="151">
        <v>0</v>
      </c>
      <c r="AC43" s="151">
        <v>-3</v>
      </c>
      <c r="AD43" s="152" t="s">
        <v>29</v>
      </c>
      <c r="AE43" s="157">
        <f>VLOOKUP(Master201722[[#This Row],[Elevated Priority]],Epriority,2,)</f>
        <v>0</v>
      </c>
      <c r="AF43" s="151">
        <f>IF(Master201722[[#This Row],[Status]]="Active",Master201722[[#This Row],[Status_Score]],IF(C43="","",Q43+G43+S43+U43+AE43-5))</f>
        <v>36</v>
      </c>
      <c r="AG43" s="148"/>
      <c r="AH43" s="148">
        <v>2022</v>
      </c>
      <c r="AI43" s="148">
        <v>2023</v>
      </c>
      <c r="AJ43" s="156"/>
    </row>
    <row r="44" spans="1:63" ht="45" x14ac:dyDescent="0.25">
      <c r="A44" s="198">
        <f t="shared" si="5"/>
        <v>38</v>
      </c>
      <c r="B44" s="149" t="s">
        <v>70</v>
      </c>
      <c r="C44" s="236" t="s">
        <v>821</v>
      </c>
      <c r="D44" s="236" t="s">
        <v>822</v>
      </c>
      <c r="E44" s="236" t="s">
        <v>823</v>
      </c>
      <c r="F44" s="149" t="s">
        <v>29</v>
      </c>
      <c r="G44" s="149">
        <f t="shared" si="4"/>
        <v>0</v>
      </c>
      <c r="H44" s="162"/>
      <c r="I44" s="162"/>
      <c r="J44" s="162">
        <f>Master201722[[#This Row],[Initial Budget]]-Master201722[[#This Row],[Previously Committed Funds]]</f>
        <v>0</v>
      </c>
      <c r="K44" s="162"/>
      <c r="L44" s="162"/>
      <c r="M44" s="189">
        <f>Master201722[[#This Row],[Design $ (Add/Deduct)]]+Master201722[[#This Row],[Construction $ (Add/Ded)]]</f>
        <v>0</v>
      </c>
      <c r="N44" s="171">
        <v>200000</v>
      </c>
      <c r="O44" s="150">
        <v>2018</v>
      </c>
      <c r="P44" s="149" t="s">
        <v>688</v>
      </c>
      <c r="Q44" s="150">
        <f t="shared" si="8"/>
        <v>20</v>
      </c>
      <c r="R44" s="151">
        <v>3</v>
      </c>
      <c r="S44" s="148">
        <f t="shared" si="6"/>
        <v>9</v>
      </c>
      <c r="T44" s="151" t="s">
        <v>43</v>
      </c>
      <c r="U44" s="151">
        <f t="shared" si="7"/>
        <v>16</v>
      </c>
      <c r="V44" s="151" t="s">
        <v>34</v>
      </c>
      <c r="W44" s="185">
        <v>0</v>
      </c>
      <c r="X44" s="151">
        <v>0</v>
      </c>
      <c r="Y44" s="151">
        <v>-3</v>
      </c>
      <c r="Z44" s="151">
        <v>0</v>
      </c>
      <c r="AA44" s="151">
        <v>0</v>
      </c>
      <c r="AB44" s="151">
        <v>0</v>
      </c>
      <c r="AC44" s="151">
        <v>-3</v>
      </c>
      <c r="AD44" s="152" t="s">
        <v>29</v>
      </c>
      <c r="AE44" s="157">
        <f>VLOOKUP(Master201722[[#This Row],[Elevated Priority]],Epriority,2,)</f>
        <v>0</v>
      </c>
      <c r="AF44" s="151">
        <f>IF(Master201722[[#This Row],[Status]]="Active",Master201722[[#This Row],[Status_Score]],IF(C44="","",Q44+G44+S44+U44+AE44-5))</f>
        <v>40</v>
      </c>
      <c r="AG44" s="235"/>
      <c r="AH44" s="235">
        <v>2021</v>
      </c>
      <c r="AI44" s="235">
        <v>2022</v>
      </c>
      <c r="AJ44" s="156"/>
    </row>
    <row r="45" spans="1:63" hidden="1" x14ac:dyDescent="0.25">
      <c r="A45" s="198">
        <f t="shared" si="5"/>
        <v>39</v>
      </c>
      <c r="B45" s="207" t="s">
        <v>70</v>
      </c>
      <c r="C45" s="149" t="s">
        <v>188</v>
      </c>
      <c r="D45" s="149" t="s">
        <v>859</v>
      </c>
      <c r="E45" s="149" t="s">
        <v>190</v>
      </c>
      <c r="F45" s="149" t="s">
        <v>29</v>
      </c>
      <c r="G45" s="149">
        <f t="shared" si="4"/>
        <v>0</v>
      </c>
      <c r="H45" s="162"/>
      <c r="I45" s="162"/>
      <c r="J45" s="162">
        <f>Master201722[[#This Row],[Initial Budget]]-Master201722[[#This Row],[Previously Committed Funds]]</f>
        <v>0</v>
      </c>
      <c r="K45" s="162"/>
      <c r="L45" s="162"/>
      <c r="M45" s="189">
        <f>Master201722[[#This Row],[Design $ (Add/Deduct)]]+Master201722[[#This Row],[Construction $ (Add/Ded)]]</f>
        <v>0</v>
      </c>
      <c r="N45" s="171">
        <v>150000</v>
      </c>
      <c r="O45" s="150">
        <v>2018</v>
      </c>
      <c r="P45" s="149" t="s">
        <v>688</v>
      </c>
      <c r="Q45" s="150">
        <f t="shared" si="8"/>
        <v>20</v>
      </c>
      <c r="R45" s="151" t="s">
        <v>29</v>
      </c>
      <c r="S45" s="148">
        <f t="shared" si="6"/>
        <v>0</v>
      </c>
      <c r="T45" s="151" t="s">
        <v>41</v>
      </c>
      <c r="U45" s="151">
        <f t="shared" si="7"/>
        <v>4</v>
      </c>
      <c r="V45" s="151" t="s">
        <v>30</v>
      </c>
      <c r="W45" s="151">
        <v>0</v>
      </c>
      <c r="X45" s="151">
        <v>0</v>
      </c>
      <c r="Y45" s="151">
        <v>0</v>
      </c>
      <c r="Z45" s="151">
        <v>0</v>
      </c>
      <c r="AA45" s="151">
        <v>0</v>
      </c>
      <c r="AB45" s="151">
        <v>0</v>
      </c>
      <c r="AC45" s="151">
        <v>0</v>
      </c>
      <c r="AD45" s="152" t="s">
        <v>29</v>
      </c>
      <c r="AE45" s="157">
        <f>VLOOKUP(Master201722[[#This Row],[Elevated Priority]],Epriority,2,)</f>
        <v>0</v>
      </c>
      <c r="AF45" s="151">
        <f>IF(Master201722[[#This Row],[Status]]="Active",Master201722[[#This Row],[Status_Score]],IF(C45="","",Q45+G45+S45+U45+AE45-5))</f>
        <v>19</v>
      </c>
      <c r="AG45" s="148"/>
      <c r="AH45" s="148">
        <v>2020</v>
      </c>
      <c r="AI45" s="148">
        <v>2021</v>
      </c>
      <c r="AJ45" s="156" t="s">
        <v>978</v>
      </c>
    </row>
    <row r="46" spans="1:63" ht="30" hidden="1" x14ac:dyDescent="0.25">
      <c r="A46" s="198">
        <f t="shared" si="5"/>
        <v>40</v>
      </c>
      <c r="B46" s="149" t="s">
        <v>70</v>
      </c>
      <c r="C46" s="149" t="s">
        <v>294</v>
      </c>
      <c r="D46" s="149" t="s">
        <v>295</v>
      </c>
      <c r="E46" s="149" t="s">
        <v>820</v>
      </c>
      <c r="F46" s="149" t="s">
        <v>29</v>
      </c>
      <c r="G46" s="149">
        <f t="shared" si="4"/>
        <v>0</v>
      </c>
      <c r="H46" s="162"/>
      <c r="I46" s="162"/>
      <c r="J46" s="162">
        <f>Master201722[[#This Row],[Initial Budget]]-Master201722[[#This Row],[Previously Committed Funds]]</f>
        <v>0</v>
      </c>
      <c r="K46" s="162"/>
      <c r="L46" s="162"/>
      <c r="M46" s="189">
        <f>Master201722[[#This Row],[Design $ (Add/Deduct)]]+Master201722[[#This Row],[Construction $ (Add/Ded)]]</f>
        <v>0</v>
      </c>
      <c r="N46" s="171">
        <v>1000000</v>
      </c>
      <c r="O46" s="150">
        <v>2018</v>
      </c>
      <c r="P46" s="149" t="s">
        <v>830</v>
      </c>
      <c r="Q46" s="150">
        <f t="shared" si="8"/>
        <v>10</v>
      </c>
      <c r="R46" s="151">
        <v>2</v>
      </c>
      <c r="S46" s="148">
        <f t="shared" si="6"/>
        <v>6</v>
      </c>
      <c r="T46" s="151" t="s">
        <v>41</v>
      </c>
      <c r="U46" s="151">
        <f t="shared" si="7"/>
        <v>4</v>
      </c>
      <c r="V46" s="151" t="s">
        <v>30</v>
      </c>
      <c r="W46" s="151">
        <v>0</v>
      </c>
      <c r="X46" s="151">
        <v>0</v>
      </c>
      <c r="Y46" s="151">
        <v>0</v>
      </c>
      <c r="Z46" s="151">
        <v>0</v>
      </c>
      <c r="AA46" s="151">
        <v>0</v>
      </c>
      <c r="AB46" s="151">
        <v>0</v>
      </c>
      <c r="AC46" s="151">
        <v>0</v>
      </c>
      <c r="AD46" s="152" t="s">
        <v>29</v>
      </c>
      <c r="AE46" s="157">
        <f>VLOOKUP(Master201722[[#This Row],[Elevated Priority]],Epriority,2,)</f>
        <v>0</v>
      </c>
      <c r="AF46" s="151">
        <f>IF(Master201722[[#This Row],[Status]]="Active",Master201722[[#This Row],[Status_Score]],IF(C46="","",Q46+G46+S46+U46+AE46-5))</f>
        <v>15</v>
      </c>
      <c r="AG46" s="151"/>
      <c r="AH46" s="151">
        <v>2020</v>
      </c>
      <c r="AI46" s="151">
        <v>2021</v>
      </c>
      <c r="AJ46" s="149" t="s">
        <v>979</v>
      </c>
    </row>
    <row r="47" spans="1:63" ht="165" hidden="1" x14ac:dyDescent="0.25">
      <c r="A47" s="198">
        <f t="shared" si="5"/>
        <v>41</v>
      </c>
      <c r="B47" s="149" t="s">
        <v>159</v>
      </c>
      <c r="C47" s="149" t="s">
        <v>262</v>
      </c>
      <c r="D47" s="149" t="s">
        <v>884</v>
      </c>
      <c r="E47" s="149" t="s">
        <v>885</v>
      </c>
      <c r="F47" s="149" t="s">
        <v>29</v>
      </c>
      <c r="G47" s="149">
        <f t="shared" ref="G47:G78" si="9">VLOOKUP(F47,Status_Score,2,FALSE)</f>
        <v>0</v>
      </c>
      <c r="H47" s="162"/>
      <c r="I47" s="162"/>
      <c r="J47" s="162">
        <f>Master201722[[#This Row],[Initial Budget]]-Master201722[[#This Row],[Previously Committed Funds]]</f>
        <v>0</v>
      </c>
      <c r="K47" s="162"/>
      <c r="L47" s="162"/>
      <c r="M47" s="189">
        <f>Master201722[[#This Row],[Design $ (Add/Deduct)]]+Master201722[[#This Row],[Construction $ (Add/Ded)]]</f>
        <v>0</v>
      </c>
      <c r="N47" s="171">
        <v>500000</v>
      </c>
      <c r="O47" s="150">
        <v>2018</v>
      </c>
      <c r="P47" s="149" t="s">
        <v>830</v>
      </c>
      <c r="Q47" s="150">
        <f t="shared" si="8"/>
        <v>10</v>
      </c>
      <c r="R47" s="151">
        <v>3</v>
      </c>
      <c r="S47" s="148">
        <f t="shared" si="6"/>
        <v>9</v>
      </c>
      <c r="T47" s="151" t="s">
        <v>33</v>
      </c>
      <c r="U47" s="151">
        <f t="shared" si="7"/>
        <v>1</v>
      </c>
      <c r="V47" s="151" t="s">
        <v>30</v>
      </c>
      <c r="W47" s="151">
        <v>0</v>
      </c>
      <c r="X47" s="151">
        <v>0</v>
      </c>
      <c r="Y47" s="151">
        <v>0</v>
      </c>
      <c r="Z47" s="151">
        <v>0</v>
      </c>
      <c r="AA47" s="151">
        <v>0</v>
      </c>
      <c r="AB47" s="151">
        <v>0</v>
      </c>
      <c r="AC47" s="151">
        <v>0</v>
      </c>
      <c r="AD47" s="152" t="s">
        <v>29</v>
      </c>
      <c r="AE47" s="157">
        <f>VLOOKUP(Master201722[[#This Row],[Elevated Priority]],Epriority,2,)</f>
        <v>0</v>
      </c>
      <c r="AF47" s="151">
        <f>IF(Master201722[[#This Row],[Status]]="Active",Master201722[[#This Row],[Status_Score]],IF(C47="","",Q47+G47+S47+U47+AE47-5))</f>
        <v>15</v>
      </c>
      <c r="AG47" s="148"/>
      <c r="AH47" s="148">
        <v>2021</v>
      </c>
      <c r="AI47" s="148">
        <v>2022</v>
      </c>
      <c r="AJ47" s="156"/>
    </row>
    <row r="48" spans="1:63" ht="60" hidden="1" x14ac:dyDescent="0.25">
      <c r="A48" s="198">
        <f t="shared" si="5"/>
        <v>42</v>
      </c>
      <c r="B48" s="149" t="s">
        <v>91</v>
      </c>
      <c r="C48" s="149" t="s">
        <v>357</v>
      </c>
      <c r="D48" s="149" t="s">
        <v>358</v>
      </c>
      <c r="E48" s="149" t="s">
        <v>359</v>
      </c>
      <c r="F48" s="149" t="s">
        <v>29</v>
      </c>
      <c r="G48" s="149">
        <f t="shared" si="9"/>
        <v>0</v>
      </c>
      <c r="H48" s="162"/>
      <c r="I48" s="162"/>
      <c r="J48" s="162">
        <f>Master201722[[#This Row],[Initial Budget]]-Master201722[[#This Row],[Previously Committed Funds]]</f>
        <v>0</v>
      </c>
      <c r="K48" s="162"/>
      <c r="L48" s="162"/>
      <c r="M48" s="189">
        <f>Master201722[[#This Row],[Design $ (Add/Deduct)]]+Master201722[[#This Row],[Construction $ (Add/Ded)]]</f>
        <v>0</v>
      </c>
      <c r="N48" s="171">
        <v>250000</v>
      </c>
      <c r="O48" s="150">
        <v>2018</v>
      </c>
      <c r="P48" s="149" t="s">
        <v>688</v>
      </c>
      <c r="Q48" s="150">
        <f t="shared" si="8"/>
        <v>20</v>
      </c>
      <c r="R48" s="151">
        <v>7</v>
      </c>
      <c r="S48" s="148">
        <f t="shared" si="6"/>
        <v>20</v>
      </c>
      <c r="T48" s="151" t="s">
        <v>43</v>
      </c>
      <c r="U48" s="151">
        <f t="shared" si="7"/>
        <v>16</v>
      </c>
      <c r="V48" s="151" t="s">
        <v>30</v>
      </c>
      <c r="W48" s="151">
        <v>0</v>
      </c>
      <c r="X48" s="151">
        <v>0</v>
      </c>
      <c r="Y48" s="151">
        <v>0</v>
      </c>
      <c r="Z48" s="151">
        <v>0</v>
      </c>
      <c r="AA48" s="151">
        <v>0</v>
      </c>
      <c r="AB48" s="151">
        <v>0</v>
      </c>
      <c r="AC48" s="151">
        <v>0</v>
      </c>
      <c r="AD48" s="152" t="s">
        <v>39</v>
      </c>
      <c r="AE48" s="157">
        <f>VLOOKUP(Master201722[[#This Row],[Elevated Priority]],Epriority,2,)</f>
        <v>-30</v>
      </c>
      <c r="AF48" s="151">
        <f>IF(Master201722[[#This Row],[Status]]="Active",Master201722[[#This Row],[Status_Score]],IF(C48="","",Q48+G48+S48+U48+AE48-5))</f>
        <v>21</v>
      </c>
      <c r="AG48" s="148"/>
      <c r="AH48" s="148">
        <v>2021</v>
      </c>
      <c r="AI48" s="148">
        <v>2022</v>
      </c>
      <c r="AJ48" s="156"/>
    </row>
    <row r="49" spans="1:36" ht="30" hidden="1" x14ac:dyDescent="0.25">
      <c r="A49" s="198">
        <f t="shared" si="5"/>
        <v>43</v>
      </c>
      <c r="B49" s="222" t="s">
        <v>61</v>
      </c>
      <c r="C49" s="207" t="s">
        <v>829</v>
      </c>
      <c r="D49" s="164" t="s">
        <v>886</v>
      </c>
      <c r="E49" s="180" t="s">
        <v>809</v>
      </c>
      <c r="F49" s="149" t="s">
        <v>29</v>
      </c>
      <c r="G49" s="149">
        <f t="shared" si="9"/>
        <v>0</v>
      </c>
      <c r="H49" s="162"/>
      <c r="I49" s="162"/>
      <c r="J49" s="162">
        <f>Master201722[[#This Row],[Initial Budget]]-Master201722[[#This Row],[Previously Committed Funds]]</f>
        <v>0</v>
      </c>
      <c r="K49" s="162">
        <v>40000</v>
      </c>
      <c r="L49" s="162"/>
      <c r="M49" s="189">
        <f>Master201722[[#This Row],[Design $ (Add/Deduct)]]+Master201722[[#This Row],[Construction $ (Add/Ded)]]</f>
        <v>40000</v>
      </c>
      <c r="N49" s="171">
        <v>350000</v>
      </c>
      <c r="O49" s="150">
        <v>2020</v>
      </c>
      <c r="P49" s="149" t="s">
        <v>688</v>
      </c>
      <c r="Q49" s="150">
        <f t="shared" si="8"/>
        <v>20</v>
      </c>
      <c r="R49" s="151">
        <v>1</v>
      </c>
      <c r="S49" s="148">
        <f t="shared" si="6"/>
        <v>3</v>
      </c>
      <c r="T49" s="151" t="s">
        <v>41</v>
      </c>
      <c r="U49" s="151">
        <f t="shared" si="7"/>
        <v>4</v>
      </c>
      <c r="V49" s="151" t="s">
        <v>30</v>
      </c>
      <c r="W49" s="151">
        <v>0</v>
      </c>
      <c r="X49" s="151">
        <v>0</v>
      </c>
      <c r="Y49" s="151">
        <v>0</v>
      </c>
      <c r="Z49" s="151">
        <v>0</v>
      </c>
      <c r="AA49" s="151">
        <v>0</v>
      </c>
      <c r="AB49" s="151">
        <v>0</v>
      </c>
      <c r="AC49" s="151">
        <v>0</v>
      </c>
      <c r="AD49" s="152" t="s">
        <v>29</v>
      </c>
      <c r="AE49" s="157">
        <f>VLOOKUP(Master201722[[#This Row],[Elevated Priority]],Epriority,2,)</f>
        <v>0</v>
      </c>
      <c r="AF49" s="151">
        <f>IF(Master201722[[#This Row],[Status]]="Active",Master201722[[#This Row],[Status_Score]],IF(C49="","",Q49+G49+S49+U49+AE49-5))</f>
        <v>22</v>
      </c>
      <c r="AG49" s="148"/>
      <c r="AH49" s="148">
        <v>2020</v>
      </c>
      <c r="AI49" s="148">
        <v>2021</v>
      </c>
      <c r="AJ49" s="156" t="s">
        <v>975</v>
      </c>
    </row>
    <row r="50" spans="1:36" ht="255" hidden="1" x14ac:dyDescent="0.25">
      <c r="A50" s="198">
        <f t="shared" si="5"/>
        <v>44</v>
      </c>
      <c r="B50" s="149" t="s">
        <v>659</v>
      </c>
      <c r="C50" s="149" t="s">
        <v>211</v>
      </c>
      <c r="D50" s="149" t="s">
        <v>212</v>
      </c>
      <c r="E50" s="149" t="s">
        <v>887</v>
      </c>
      <c r="F50" s="149" t="s">
        <v>29</v>
      </c>
      <c r="G50" s="149">
        <f t="shared" si="9"/>
        <v>0</v>
      </c>
      <c r="H50" s="162"/>
      <c r="I50" s="162"/>
      <c r="J50" s="162">
        <f>Master201722[[#This Row],[Initial Budget]]-Master201722[[#This Row],[Previously Committed Funds]]</f>
        <v>0</v>
      </c>
      <c r="K50" s="162"/>
      <c r="L50" s="162"/>
      <c r="M50" s="189">
        <f>Master201722[[#This Row],[Design $ (Add/Deduct)]]+Master201722[[#This Row],[Construction $ (Add/Ded)]]</f>
        <v>0</v>
      </c>
      <c r="N50" s="171">
        <v>50000</v>
      </c>
      <c r="O50" s="150">
        <v>2018</v>
      </c>
      <c r="P50" s="149" t="s">
        <v>688</v>
      </c>
      <c r="Q50" s="150">
        <f t="shared" si="8"/>
        <v>20</v>
      </c>
      <c r="R50" s="151">
        <v>1</v>
      </c>
      <c r="S50" s="148">
        <f t="shared" si="6"/>
        <v>3</v>
      </c>
      <c r="T50" s="151" t="s">
        <v>41</v>
      </c>
      <c r="U50" s="151">
        <f t="shared" si="7"/>
        <v>4</v>
      </c>
      <c r="V50" s="151" t="s">
        <v>30</v>
      </c>
      <c r="W50" s="151">
        <v>0</v>
      </c>
      <c r="X50" s="151">
        <v>0</v>
      </c>
      <c r="Y50" s="151">
        <v>0</v>
      </c>
      <c r="Z50" s="151">
        <v>0</v>
      </c>
      <c r="AA50" s="151">
        <v>0</v>
      </c>
      <c r="AB50" s="151">
        <v>0</v>
      </c>
      <c r="AC50" s="151">
        <v>0</v>
      </c>
      <c r="AD50" s="152" t="s">
        <v>29</v>
      </c>
      <c r="AE50" s="157">
        <f>VLOOKUP(Master201722[[#This Row],[Elevated Priority]],Epriority,2,)</f>
        <v>0</v>
      </c>
      <c r="AF50" s="151">
        <f>IF(Master201722[[#This Row],[Status]]="Active",Master201722[[#This Row],[Status_Score]],IF(C50="","",Q50+G50+S50+U50+AE50-5))</f>
        <v>22</v>
      </c>
      <c r="AG50" s="148"/>
      <c r="AH50" s="148">
        <v>2021</v>
      </c>
      <c r="AI50" s="148">
        <v>2022</v>
      </c>
      <c r="AJ50" s="156"/>
    </row>
    <row r="51" spans="1:36" ht="42" hidden="1" customHeight="1" x14ac:dyDescent="0.25">
      <c r="A51" s="198">
        <f t="shared" si="5"/>
        <v>45</v>
      </c>
      <c r="B51" s="205" t="s">
        <v>79</v>
      </c>
      <c r="C51" s="205" t="s">
        <v>837</v>
      </c>
      <c r="D51" s="156" t="s">
        <v>784</v>
      </c>
      <c r="E51" s="156" t="s">
        <v>805</v>
      </c>
      <c r="F51" s="149" t="s">
        <v>29</v>
      </c>
      <c r="G51" s="149">
        <f t="shared" si="9"/>
        <v>0</v>
      </c>
      <c r="H51" s="162"/>
      <c r="I51" s="162"/>
      <c r="J51" s="162">
        <f>Master201722[[#This Row],[Initial Budget]]-Master201722[[#This Row],[Previously Committed Funds]]</f>
        <v>0</v>
      </c>
      <c r="K51" s="162">
        <v>50000</v>
      </c>
      <c r="L51" s="162">
        <v>200000</v>
      </c>
      <c r="M51" s="189">
        <f>Master201722[[#This Row],[Design $ (Add/Deduct)]]+Master201722[[#This Row],[Construction $ (Add/Ded)]]</f>
        <v>250000</v>
      </c>
      <c r="N51" s="159">
        <v>250000</v>
      </c>
      <c r="O51" s="157">
        <v>2020</v>
      </c>
      <c r="P51" s="149" t="s">
        <v>688</v>
      </c>
      <c r="Q51" s="150">
        <f t="shared" si="8"/>
        <v>20</v>
      </c>
      <c r="R51" s="148">
        <v>2</v>
      </c>
      <c r="S51" s="148">
        <f t="shared" si="6"/>
        <v>6</v>
      </c>
      <c r="T51" s="148" t="s">
        <v>33</v>
      </c>
      <c r="U51" s="151">
        <f t="shared" si="7"/>
        <v>1</v>
      </c>
      <c r="V51" s="148" t="s">
        <v>30</v>
      </c>
      <c r="W51" s="151">
        <v>0</v>
      </c>
      <c r="X51" s="151">
        <v>0</v>
      </c>
      <c r="Y51" s="151">
        <v>0</v>
      </c>
      <c r="Z51" s="151">
        <v>0</v>
      </c>
      <c r="AA51" s="151">
        <v>0</v>
      </c>
      <c r="AB51" s="151">
        <v>0</v>
      </c>
      <c r="AC51" s="151">
        <v>0</v>
      </c>
      <c r="AD51" s="152" t="s">
        <v>29</v>
      </c>
      <c r="AE51" s="157">
        <f>VLOOKUP(Master201722[[#This Row],[Elevated Priority]],Epriority,2,)</f>
        <v>0</v>
      </c>
      <c r="AF51" s="151">
        <f>IF(Master201722[[#This Row],[Status]]="Active",Master201722[[#This Row],[Status_Score]],IF(C51="","",Q51+G51+S51+U51+AE51-5))</f>
        <v>22</v>
      </c>
      <c r="AG51" s="148"/>
      <c r="AH51" s="148">
        <v>2020</v>
      </c>
      <c r="AI51" s="148">
        <v>2021</v>
      </c>
      <c r="AJ51" s="156"/>
    </row>
    <row r="52" spans="1:36" ht="45" hidden="1" x14ac:dyDescent="0.25">
      <c r="A52" s="198">
        <f t="shared" si="5"/>
        <v>46</v>
      </c>
      <c r="B52" s="149" t="s">
        <v>67</v>
      </c>
      <c r="C52" s="149" t="s">
        <v>428</v>
      </c>
      <c r="D52" s="149" t="s">
        <v>429</v>
      </c>
      <c r="E52" s="149" t="s">
        <v>430</v>
      </c>
      <c r="F52" s="149" t="s">
        <v>29</v>
      </c>
      <c r="G52" s="149">
        <f t="shared" si="9"/>
        <v>0</v>
      </c>
      <c r="H52" s="162"/>
      <c r="I52" s="162"/>
      <c r="J52" s="162">
        <f>Master201722[[#This Row],[Initial Budget]]-Master201722[[#This Row],[Previously Committed Funds]]</f>
        <v>0</v>
      </c>
      <c r="K52" s="162"/>
      <c r="L52" s="162"/>
      <c r="M52" s="189">
        <f>Master201722[[#This Row],[Design $ (Add/Deduct)]]+Master201722[[#This Row],[Construction $ (Add/Ded)]]</f>
        <v>0</v>
      </c>
      <c r="N52" s="171">
        <v>75000</v>
      </c>
      <c r="O52" s="150">
        <v>2018</v>
      </c>
      <c r="P52" s="149" t="s">
        <v>688</v>
      </c>
      <c r="Q52" s="150">
        <f t="shared" si="8"/>
        <v>20</v>
      </c>
      <c r="R52" s="151">
        <v>2</v>
      </c>
      <c r="S52" s="148">
        <f t="shared" si="6"/>
        <v>6</v>
      </c>
      <c r="T52" s="151" t="s">
        <v>41</v>
      </c>
      <c r="U52" s="151">
        <f t="shared" si="7"/>
        <v>4</v>
      </c>
      <c r="V52" s="151" t="s">
        <v>30</v>
      </c>
      <c r="W52" s="151">
        <v>0</v>
      </c>
      <c r="X52" s="151">
        <v>0</v>
      </c>
      <c r="Y52" s="151">
        <v>0</v>
      </c>
      <c r="Z52" s="151">
        <v>0</v>
      </c>
      <c r="AA52" s="151">
        <v>0</v>
      </c>
      <c r="AB52" s="151">
        <v>0</v>
      </c>
      <c r="AC52" s="151">
        <v>0</v>
      </c>
      <c r="AD52" s="152" t="s">
        <v>29</v>
      </c>
      <c r="AE52" s="157">
        <f>VLOOKUP(Master201722[[#This Row],[Elevated Priority]],Epriority,2,)</f>
        <v>0</v>
      </c>
      <c r="AF52" s="151">
        <f>IF(Master201722[[#This Row],[Status]]="Active",Master201722[[#This Row],[Status_Score]],IF(C52="","",Q52+G52+S52+U52+AE52-5))</f>
        <v>25</v>
      </c>
      <c r="AG52" s="148"/>
      <c r="AH52" s="148">
        <v>2021</v>
      </c>
      <c r="AI52" s="148">
        <v>2022</v>
      </c>
      <c r="AJ52" s="156"/>
    </row>
    <row r="53" spans="1:36" ht="30" hidden="1" x14ac:dyDescent="0.25">
      <c r="A53" s="198">
        <f t="shared" si="5"/>
        <v>47</v>
      </c>
      <c r="B53" s="149" t="s">
        <v>72</v>
      </c>
      <c r="C53" s="156" t="s">
        <v>169</v>
      </c>
      <c r="D53" s="156" t="s">
        <v>889</v>
      </c>
      <c r="E53" s="156" t="s">
        <v>171</v>
      </c>
      <c r="F53" s="153" t="s">
        <v>29</v>
      </c>
      <c r="G53" s="164">
        <f t="shared" si="9"/>
        <v>0</v>
      </c>
      <c r="H53" s="180"/>
      <c r="I53" s="180"/>
      <c r="J53" s="180">
        <f>Master201722[[#This Row],[Initial Budget]]-Master201722[[#This Row],[Previously Committed Funds]]</f>
        <v>0</v>
      </c>
      <c r="K53" s="180"/>
      <c r="L53" s="180"/>
      <c r="M53" s="190">
        <f>Master201722[[#This Row],[Design $ (Add/Deduct)]]+Master201722[[#This Row],[Construction $ (Add/Ded)]]</f>
        <v>0</v>
      </c>
      <c r="N53" s="179">
        <v>500000</v>
      </c>
      <c r="O53" s="165">
        <v>2018</v>
      </c>
      <c r="P53" s="164" t="s">
        <v>688</v>
      </c>
      <c r="Q53" s="150">
        <f t="shared" si="8"/>
        <v>20</v>
      </c>
      <c r="R53" s="166">
        <v>2</v>
      </c>
      <c r="S53" s="148">
        <f t="shared" ref="S53:S84" si="10">VLOOKUP(R53,Department,2,FALSE)</f>
        <v>6</v>
      </c>
      <c r="T53" s="166" t="s">
        <v>41</v>
      </c>
      <c r="U53" s="151">
        <f t="shared" ref="U53:U84" si="11">VLOOKUP(T53,Urgency,2,FALSE)</f>
        <v>4</v>
      </c>
      <c r="V53" s="166" t="s">
        <v>30</v>
      </c>
      <c r="W53" s="151">
        <v>0</v>
      </c>
      <c r="X53" s="151">
        <v>0</v>
      </c>
      <c r="Y53" s="151">
        <v>0</v>
      </c>
      <c r="Z53" s="151">
        <v>0</v>
      </c>
      <c r="AA53" s="151">
        <v>0</v>
      </c>
      <c r="AB53" s="151">
        <v>0</v>
      </c>
      <c r="AC53" s="151">
        <v>0</v>
      </c>
      <c r="AD53" s="167" t="s">
        <v>29</v>
      </c>
      <c r="AE53" s="157">
        <f>VLOOKUP(Master201722[[#This Row],[Elevated Priority]],Epriority,2,)</f>
        <v>0</v>
      </c>
      <c r="AF53" s="151">
        <f>IF(Master201722[[#This Row],[Status]]="Active",Master201722[[#This Row],[Status_Score]],IF(C53="","",Q53+G53+S53+U53+AE53-5))</f>
        <v>25</v>
      </c>
      <c r="AG53" s="148"/>
      <c r="AH53" s="148"/>
      <c r="AI53" s="148"/>
      <c r="AJ53" s="156"/>
    </row>
    <row r="54" spans="1:36" ht="60" hidden="1" x14ac:dyDescent="0.25">
      <c r="A54" s="198">
        <f t="shared" si="5"/>
        <v>48</v>
      </c>
      <c r="B54" s="149" t="s">
        <v>94</v>
      </c>
      <c r="C54" s="149" t="s">
        <v>588</v>
      </c>
      <c r="D54" s="149" t="s">
        <v>589</v>
      </c>
      <c r="E54" s="149"/>
      <c r="F54" s="149" t="s">
        <v>29</v>
      </c>
      <c r="G54" s="149">
        <f t="shared" si="9"/>
        <v>0</v>
      </c>
      <c r="H54" s="162"/>
      <c r="I54" s="162"/>
      <c r="J54" s="162">
        <f>Master201722[[#This Row],[Initial Budget]]-Master201722[[#This Row],[Previously Committed Funds]]</f>
        <v>0</v>
      </c>
      <c r="K54" s="162"/>
      <c r="L54" s="162"/>
      <c r="M54" s="189">
        <f>Master201722[[#This Row],[Design $ (Add/Deduct)]]+Master201722[[#This Row],[Construction $ (Add/Ded)]]</f>
        <v>0</v>
      </c>
      <c r="N54" s="171">
        <v>25000</v>
      </c>
      <c r="O54" s="152">
        <v>2019</v>
      </c>
      <c r="P54" s="149" t="s">
        <v>36</v>
      </c>
      <c r="Q54" s="150">
        <f t="shared" si="8"/>
        <v>10</v>
      </c>
      <c r="R54" s="151">
        <v>6</v>
      </c>
      <c r="S54" s="148">
        <f t="shared" si="10"/>
        <v>18</v>
      </c>
      <c r="T54" s="151" t="s">
        <v>41</v>
      </c>
      <c r="U54" s="151">
        <f t="shared" si="11"/>
        <v>4</v>
      </c>
      <c r="V54" s="151" t="s">
        <v>30</v>
      </c>
      <c r="W54" s="151">
        <v>0</v>
      </c>
      <c r="X54" s="151">
        <v>0</v>
      </c>
      <c r="Y54" s="151">
        <v>0</v>
      </c>
      <c r="Z54" s="151">
        <v>0</v>
      </c>
      <c r="AA54" s="151">
        <v>0</v>
      </c>
      <c r="AB54" s="151">
        <v>0</v>
      </c>
      <c r="AC54" s="151">
        <v>0</v>
      </c>
      <c r="AD54" s="152" t="s">
        <v>29</v>
      </c>
      <c r="AE54" s="157">
        <f>VLOOKUP(Master201722[[#This Row],[Elevated Priority]],Epriority,2,)</f>
        <v>0</v>
      </c>
      <c r="AF54" s="151">
        <f>IF(Master201722[[#This Row],[Status]]="Active",Master201722[[#This Row],[Status_Score]],IF(C54="","",Q54+G54+S54+U54+AE54-5))</f>
        <v>27</v>
      </c>
      <c r="AG54" s="201"/>
      <c r="AH54" s="201">
        <v>2021</v>
      </c>
      <c r="AI54" s="201">
        <v>2022</v>
      </c>
      <c r="AJ54" s="156"/>
    </row>
    <row r="55" spans="1:36" ht="30" hidden="1" x14ac:dyDescent="0.25">
      <c r="A55" s="198">
        <f t="shared" si="5"/>
        <v>49</v>
      </c>
      <c r="B55" s="149" t="s">
        <v>79</v>
      </c>
      <c r="C55" s="149" t="s">
        <v>254</v>
      </c>
      <c r="D55" s="149" t="s">
        <v>255</v>
      </c>
      <c r="E55" s="149" t="s">
        <v>256</v>
      </c>
      <c r="F55" s="149" t="s">
        <v>29</v>
      </c>
      <c r="G55" s="149">
        <f t="shared" si="9"/>
        <v>0</v>
      </c>
      <c r="H55" s="162"/>
      <c r="I55" s="162"/>
      <c r="J55" s="162">
        <f>Master201722[[#This Row],[Initial Budget]]-Master201722[[#This Row],[Previously Committed Funds]]</f>
        <v>0</v>
      </c>
      <c r="K55" s="162"/>
      <c r="L55" s="162"/>
      <c r="M55" s="189">
        <f>Master201722[[#This Row],[Design $ (Add/Deduct)]]+Master201722[[#This Row],[Construction $ (Add/Ded)]]</f>
        <v>0</v>
      </c>
      <c r="N55" s="171">
        <v>50000</v>
      </c>
      <c r="O55" s="150">
        <v>2018</v>
      </c>
      <c r="P55" s="149" t="s">
        <v>688</v>
      </c>
      <c r="Q55" s="150">
        <f t="shared" si="8"/>
        <v>20</v>
      </c>
      <c r="R55" s="151">
        <v>3</v>
      </c>
      <c r="S55" s="148">
        <f t="shared" si="10"/>
        <v>9</v>
      </c>
      <c r="T55" s="151" t="s">
        <v>41</v>
      </c>
      <c r="U55" s="151">
        <f t="shared" si="11"/>
        <v>4</v>
      </c>
      <c r="V55" s="151" t="s">
        <v>30</v>
      </c>
      <c r="W55" s="151">
        <v>0</v>
      </c>
      <c r="X55" s="151">
        <v>0</v>
      </c>
      <c r="Y55" s="151">
        <v>0</v>
      </c>
      <c r="Z55" s="151">
        <v>0</v>
      </c>
      <c r="AA55" s="151">
        <v>0</v>
      </c>
      <c r="AB55" s="151">
        <v>0</v>
      </c>
      <c r="AC55" s="151">
        <v>0</v>
      </c>
      <c r="AD55" s="152" t="s">
        <v>29</v>
      </c>
      <c r="AE55" s="157">
        <f>VLOOKUP(Master201722[[#This Row],[Elevated Priority]],Epriority,2,)</f>
        <v>0</v>
      </c>
      <c r="AF55" s="151">
        <f>IF(Master201722[[#This Row],[Status]]="Active",Master201722[[#This Row],[Status_Score]],IF(C55="","",Q55+G55+S55+U55+AE55-5))</f>
        <v>28</v>
      </c>
      <c r="AG55" s="148"/>
      <c r="AH55" s="148">
        <v>2020</v>
      </c>
      <c r="AI55" s="148">
        <v>2021</v>
      </c>
      <c r="AJ55" s="156" t="s">
        <v>980</v>
      </c>
    </row>
    <row r="56" spans="1:36" ht="30" hidden="1" x14ac:dyDescent="0.25">
      <c r="A56" s="198">
        <f t="shared" si="5"/>
        <v>50</v>
      </c>
      <c r="B56" s="149" t="s">
        <v>61</v>
      </c>
      <c r="C56" s="156" t="s">
        <v>935</v>
      </c>
      <c r="D56" s="156" t="s">
        <v>662</v>
      </c>
      <c r="E56" s="156" t="s">
        <v>266</v>
      </c>
      <c r="F56" s="149" t="s">
        <v>29</v>
      </c>
      <c r="G56" s="149">
        <f t="shared" si="9"/>
        <v>0</v>
      </c>
      <c r="H56" s="162"/>
      <c r="I56" s="162"/>
      <c r="J56" s="162">
        <f>Master201722[[#This Row],[Initial Budget]]-Master201722[[#This Row],[Previously Committed Funds]]</f>
        <v>0</v>
      </c>
      <c r="K56" s="162"/>
      <c r="L56" s="162"/>
      <c r="M56" s="189">
        <f>Master201722[[#This Row],[Design $ (Add/Deduct)]]+Master201722[[#This Row],[Construction $ (Add/Ded)]]</f>
        <v>0</v>
      </c>
      <c r="N56" s="171">
        <v>50000</v>
      </c>
      <c r="O56" s="150">
        <v>2018</v>
      </c>
      <c r="P56" s="149" t="s">
        <v>688</v>
      </c>
      <c r="Q56" s="150">
        <f t="shared" ref="Q56:Q87" si="12">VLOOKUP(P56,Importance,2,FALSE)</f>
        <v>20</v>
      </c>
      <c r="R56" s="151">
        <v>3</v>
      </c>
      <c r="S56" s="148">
        <f t="shared" si="10"/>
        <v>9</v>
      </c>
      <c r="T56" s="151" t="s">
        <v>41</v>
      </c>
      <c r="U56" s="151">
        <f t="shared" si="11"/>
        <v>4</v>
      </c>
      <c r="V56" s="151" t="s">
        <v>30</v>
      </c>
      <c r="W56" s="151">
        <v>0</v>
      </c>
      <c r="X56" s="151">
        <v>0</v>
      </c>
      <c r="Y56" s="151">
        <v>0</v>
      </c>
      <c r="Z56" s="151">
        <v>0</v>
      </c>
      <c r="AA56" s="151">
        <v>0</v>
      </c>
      <c r="AB56" s="151">
        <v>0</v>
      </c>
      <c r="AC56" s="151">
        <v>0</v>
      </c>
      <c r="AD56" s="152" t="s">
        <v>29</v>
      </c>
      <c r="AE56" s="157">
        <f>VLOOKUP(Master201722[[#This Row],[Elevated Priority]],Epriority,2,)</f>
        <v>0</v>
      </c>
      <c r="AF56" s="151">
        <f>IF(Master201722[[#This Row],[Status]]="Active",Master201722[[#This Row],[Status_Score]],IF(C56="","",Q56+G56+S56+U56+AE56-5))</f>
        <v>28</v>
      </c>
      <c r="AG56" s="148"/>
      <c r="AH56" s="148">
        <v>2021</v>
      </c>
      <c r="AI56" s="148">
        <v>2022</v>
      </c>
      <c r="AJ56" s="156"/>
    </row>
    <row r="57" spans="1:36" ht="105" hidden="1" x14ac:dyDescent="0.25">
      <c r="A57" s="198">
        <f t="shared" si="5"/>
        <v>51</v>
      </c>
      <c r="B57" s="149" t="s">
        <v>152</v>
      </c>
      <c r="C57" s="156" t="s">
        <v>834</v>
      </c>
      <c r="D57" s="156" t="s">
        <v>835</v>
      </c>
      <c r="E57" s="156" t="s">
        <v>275</v>
      </c>
      <c r="F57" s="149" t="s">
        <v>29</v>
      </c>
      <c r="G57" s="149">
        <f t="shared" si="9"/>
        <v>0</v>
      </c>
      <c r="H57" s="162"/>
      <c r="I57" s="162"/>
      <c r="J57" s="162">
        <f>Master201722[[#This Row],[Initial Budget]]-Master201722[[#This Row],[Previously Committed Funds]]</f>
        <v>0</v>
      </c>
      <c r="K57" s="162"/>
      <c r="L57" s="162"/>
      <c r="M57" s="189">
        <f>Master201722[[#This Row],[Design $ (Add/Deduct)]]+Master201722[[#This Row],[Construction $ (Add/Ded)]]</f>
        <v>0</v>
      </c>
      <c r="N57" s="171">
        <v>200000</v>
      </c>
      <c r="O57" s="150">
        <v>2018</v>
      </c>
      <c r="P57" s="149" t="s">
        <v>688</v>
      </c>
      <c r="Q57" s="150">
        <f t="shared" si="12"/>
        <v>20</v>
      </c>
      <c r="R57" s="151">
        <v>3</v>
      </c>
      <c r="S57" s="148">
        <f t="shared" si="10"/>
        <v>9</v>
      </c>
      <c r="T57" s="151" t="s">
        <v>41</v>
      </c>
      <c r="U57" s="151">
        <f t="shared" si="11"/>
        <v>4</v>
      </c>
      <c r="V57" s="151" t="s">
        <v>30</v>
      </c>
      <c r="W57" s="151">
        <v>0</v>
      </c>
      <c r="X57" s="151">
        <v>0</v>
      </c>
      <c r="Y57" s="151">
        <v>0</v>
      </c>
      <c r="Z57" s="151">
        <v>0</v>
      </c>
      <c r="AA57" s="151">
        <v>0</v>
      </c>
      <c r="AB57" s="151">
        <v>0</v>
      </c>
      <c r="AC57" s="151">
        <v>0</v>
      </c>
      <c r="AD57" s="152" t="s">
        <v>29</v>
      </c>
      <c r="AE57" s="157">
        <f>VLOOKUP(Master201722[[#This Row],[Elevated Priority]],Epriority,2,)</f>
        <v>0</v>
      </c>
      <c r="AF57" s="151">
        <f>IF(Master201722[[#This Row],[Status]]="Active",Master201722[[#This Row],[Status_Score]],IF(C57="","",Q57+G57+S57+U57+AE57-5))</f>
        <v>28</v>
      </c>
      <c r="AG57" s="148"/>
      <c r="AH57" s="148">
        <v>2021</v>
      </c>
      <c r="AI57" s="148">
        <v>2022</v>
      </c>
      <c r="AJ57" s="156"/>
    </row>
    <row r="58" spans="1:36" ht="30" hidden="1" x14ac:dyDescent="0.25">
      <c r="A58" s="198">
        <f t="shared" si="5"/>
        <v>52</v>
      </c>
      <c r="B58" s="149" t="s">
        <v>94</v>
      </c>
      <c r="C58" s="149" t="s">
        <v>267</v>
      </c>
      <c r="D58" s="149" t="s">
        <v>268</v>
      </c>
      <c r="E58" s="149" t="s">
        <v>269</v>
      </c>
      <c r="F58" s="149" t="s">
        <v>29</v>
      </c>
      <c r="G58" s="149">
        <f t="shared" si="9"/>
        <v>0</v>
      </c>
      <c r="H58" s="162"/>
      <c r="I58" s="162"/>
      <c r="J58" s="162">
        <f>Master201722[[#This Row],[Initial Budget]]-Master201722[[#This Row],[Previously Committed Funds]]</f>
        <v>0</v>
      </c>
      <c r="K58" s="162"/>
      <c r="L58" s="162"/>
      <c r="M58" s="189">
        <f>Master201722[[#This Row],[Design $ (Add/Deduct)]]+Master201722[[#This Row],[Construction $ (Add/Ded)]]</f>
        <v>0</v>
      </c>
      <c r="N58" s="171">
        <v>850000</v>
      </c>
      <c r="O58" s="150">
        <v>2018</v>
      </c>
      <c r="P58" s="149" t="s">
        <v>36</v>
      </c>
      <c r="Q58" s="150">
        <f t="shared" si="12"/>
        <v>10</v>
      </c>
      <c r="R58" s="151">
        <v>14</v>
      </c>
      <c r="S58" s="148">
        <f t="shared" si="10"/>
        <v>23</v>
      </c>
      <c r="T58" s="151" t="s">
        <v>41</v>
      </c>
      <c r="U58" s="151">
        <f t="shared" si="11"/>
        <v>4</v>
      </c>
      <c r="V58" s="151" t="s">
        <v>30</v>
      </c>
      <c r="W58" s="151">
        <v>0</v>
      </c>
      <c r="X58" s="151">
        <v>0</v>
      </c>
      <c r="Y58" s="151">
        <v>0</v>
      </c>
      <c r="Z58" s="151">
        <v>0</v>
      </c>
      <c r="AA58" s="151">
        <v>0</v>
      </c>
      <c r="AB58" s="151">
        <v>0</v>
      </c>
      <c r="AC58" s="151">
        <v>0</v>
      </c>
      <c r="AD58" s="152" t="s">
        <v>29</v>
      </c>
      <c r="AE58" s="157">
        <f>VLOOKUP(Master201722[[#This Row],[Elevated Priority]],Epriority,2,)</f>
        <v>0</v>
      </c>
      <c r="AF58" s="151">
        <f>IF(Master201722[[#This Row],[Status]]="Active",Master201722[[#This Row],[Status_Score]],IF(C58="","",Q58+G58+S58+U58+AE58-5))</f>
        <v>32</v>
      </c>
      <c r="AG58" s="148"/>
      <c r="AH58" s="148">
        <v>2021</v>
      </c>
      <c r="AI58" s="148">
        <v>2022</v>
      </c>
      <c r="AJ58" s="156"/>
    </row>
    <row r="59" spans="1:36" ht="30" x14ac:dyDescent="0.25">
      <c r="A59" s="198">
        <f t="shared" si="5"/>
        <v>53</v>
      </c>
      <c r="B59" s="149" t="s">
        <v>67</v>
      </c>
      <c r="C59" s="149" t="s">
        <v>205</v>
      </c>
      <c r="D59" s="149" t="s">
        <v>206</v>
      </c>
      <c r="E59" s="149" t="s">
        <v>207</v>
      </c>
      <c r="F59" s="149" t="s">
        <v>29</v>
      </c>
      <c r="G59" s="149">
        <f t="shared" si="9"/>
        <v>0</v>
      </c>
      <c r="H59" s="162"/>
      <c r="I59" s="162"/>
      <c r="J59" s="162">
        <f>Master201722[[#This Row],[Initial Budget]]-Master201722[[#This Row],[Previously Committed Funds]]</f>
        <v>0</v>
      </c>
      <c r="K59" s="162"/>
      <c r="L59" s="162"/>
      <c r="M59" s="189">
        <f>Master201722[[#This Row],[Design $ (Add/Deduct)]]+Master201722[[#This Row],[Construction $ (Add/Ded)]]</f>
        <v>0</v>
      </c>
      <c r="N59" s="171">
        <v>2000000</v>
      </c>
      <c r="O59" s="150">
        <v>2018</v>
      </c>
      <c r="P59" s="149" t="s">
        <v>687</v>
      </c>
      <c r="Q59" s="150">
        <f t="shared" si="12"/>
        <v>30</v>
      </c>
      <c r="R59" s="151">
        <v>2</v>
      </c>
      <c r="S59" s="148">
        <f t="shared" si="10"/>
        <v>6</v>
      </c>
      <c r="T59" s="151" t="s">
        <v>41</v>
      </c>
      <c r="U59" s="151">
        <f t="shared" si="11"/>
        <v>4</v>
      </c>
      <c r="V59" s="151" t="s">
        <v>34</v>
      </c>
      <c r="W59" s="185">
        <v>0</v>
      </c>
      <c r="X59" s="151">
        <v>0</v>
      </c>
      <c r="Y59" s="151">
        <v>0</v>
      </c>
      <c r="Z59" s="151">
        <v>0</v>
      </c>
      <c r="AA59" s="151">
        <v>0</v>
      </c>
      <c r="AB59" s="151">
        <v>0</v>
      </c>
      <c r="AC59" s="151">
        <v>0</v>
      </c>
      <c r="AD59" s="152" t="s">
        <v>29</v>
      </c>
      <c r="AE59" s="157">
        <f>VLOOKUP(Master201722[[#This Row],[Elevated Priority]],Epriority,2,)</f>
        <v>0</v>
      </c>
      <c r="AF59" s="151">
        <f>IF(Master201722[[#This Row],[Status]]="Active",Master201722[[#This Row],[Status_Score]],IF(C59="","",Q59+G59+S59+U59+AE59-5))</f>
        <v>35</v>
      </c>
      <c r="AG59" s="238"/>
      <c r="AH59" s="238">
        <v>2021</v>
      </c>
      <c r="AI59" s="238">
        <v>2022</v>
      </c>
      <c r="AJ59" s="156"/>
    </row>
    <row r="60" spans="1:36" ht="75" x14ac:dyDescent="0.25">
      <c r="A60" s="198">
        <f t="shared" si="5"/>
        <v>54</v>
      </c>
      <c r="B60" s="280" t="s">
        <v>67</v>
      </c>
      <c r="C60" s="156" t="s">
        <v>865</v>
      </c>
      <c r="D60" s="243" t="s">
        <v>866</v>
      </c>
      <c r="E60" s="243" t="s">
        <v>867</v>
      </c>
      <c r="F60" s="149" t="s">
        <v>29</v>
      </c>
      <c r="G60" s="149">
        <f t="shared" si="9"/>
        <v>0</v>
      </c>
      <c r="H60" s="162"/>
      <c r="I60" s="162"/>
      <c r="J60" s="162">
        <f>Master201722[[#This Row],[Initial Budget]]-Master201722[[#This Row],[Previously Committed Funds]]</f>
        <v>0</v>
      </c>
      <c r="K60" s="162"/>
      <c r="L60" s="162"/>
      <c r="M60" s="189">
        <f>Master201722[[#This Row],[Design $ (Add/Deduct)]]+Master201722[[#This Row],[Construction $ (Add/Ded)]]</f>
        <v>0</v>
      </c>
      <c r="N60" s="171">
        <v>200000</v>
      </c>
      <c r="O60" s="150">
        <v>2020</v>
      </c>
      <c r="P60" s="149" t="s">
        <v>46</v>
      </c>
      <c r="Q60" s="150">
        <f t="shared" si="12"/>
        <v>50</v>
      </c>
      <c r="R60" s="151">
        <v>2</v>
      </c>
      <c r="S60" s="148">
        <f t="shared" si="10"/>
        <v>6</v>
      </c>
      <c r="T60" s="151" t="s">
        <v>37</v>
      </c>
      <c r="U60" s="151">
        <f t="shared" si="11"/>
        <v>3</v>
      </c>
      <c r="V60" s="151" t="s">
        <v>34</v>
      </c>
      <c r="W60" s="185">
        <v>0</v>
      </c>
      <c r="X60" s="151">
        <v>0</v>
      </c>
      <c r="Y60" s="151">
        <v>0</v>
      </c>
      <c r="Z60" s="151">
        <v>0</v>
      </c>
      <c r="AA60" s="151">
        <v>0</v>
      </c>
      <c r="AB60" s="151">
        <v>-1</v>
      </c>
      <c r="AC60" s="151">
        <v>0</v>
      </c>
      <c r="AD60" s="152" t="s">
        <v>35</v>
      </c>
      <c r="AE60" s="157">
        <f>VLOOKUP(Master201722[[#This Row],[Elevated Priority]],Epriority,2,)</f>
        <v>-25</v>
      </c>
      <c r="AF60" s="151">
        <f>IF(Master201722[[#This Row],[Status]]="Active",Master201722[[#This Row],[Status_Score]],IF(C60="","",Q60+G60+S60+U60+AE60-5))</f>
        <v>29</v>
      </c>
      <c r="AG60" s="148"/>
      <c r="AH60" s="148">
        <v>2020</v>
      </c>
      <c r="AI60" s="148">
        <v>2023</v>
      </c>
      <c r="AJ60" s="156"/>
    </row>
    <row r="61" spans="1:36" ht="45" hidden="1" x14ac:dyDescent="0.25">
      <c r="A61" s="198">
        <f t="shared" si="5"/>
        <v>55</v>
      </c>
      <c r="B61" s="149" t="s">
        <v>91</v>
      </c>
      <c r="C61" s="149" t="s">
        <v>242</v>
      </c>
      <c r="D61" s="149" t="s">
        <v>243</v>
      </c>
      <c r="E61" s="149" t="s">
        <v>244</v>
      </c>
      <c r="F61" s="149" t="s">
        <v>29</v>
      </c>
      <c r="G61" s="149">
        <f t="shared" si="9"/>
        <v>0</v>
      </c>
      <c r="H61" s="162"/>
      <c r="I61" s="162"/>
      <c r="J61" s="162">
        <f>Master201722[[#This Row],[Initial Budget]]-Master201722[[#This Row],[Previously Committed Funds]]</f>
        <v>0</v>
      </c>
      <c r="K61" s="162"/>
      <c r="L61" s="162"/>
      <c r="M61" s="189">
        <f>Master201722[[#This Row],[Design $ (Add/Deduct)]]+Master201722[[#This Row],[Construction $ (Add/Ded)]]</f>
        <v>0</v>
      </c>
      <c r="N61" s="171">
        <v>350000</v>
      </c>
      <c r="O61" s="150">
        <v>2018</v>
      </c>
      <c r="P61" s="149" t="s">
        <v>36</v>
      </c>
      <c r="Q61" s="150">
        <f t="shared" si="12"/>
        <v>10</v>
      </c>
      <c r="R61" s="151">
        <v>4</v>
      </c>
      <c r="S61" s="148">
        <f t="shared" si="10"/>
        <v>12</v>
      </c>
      <c r="T61" s="151" t="s">
        <v>43</v>
      </c>
      <c r="U61" s="151">
        <f t="shared" si="11"/>
        <v>16</v>
      </c>
      <c r="V61" s="151" t="s">
        <v>30</v>
      </c>
      <c r="W61" s="151">
        <v>0</v>
      </c>
      <c r="X61" s="151">
        <v>0</v>
      </c>
      <c r="Y61" s="151">
        <v>0</v>
      </c>
      <c r="Z61" s="151">
        <v>0</v>
      </c>
      <c r="AA61" s="151">
        <v>0</v>
      </c>
      <c r="AB61" s="151">
        <v>0</v>
      </c>
      <c r="AC61" s="151">
        <v>0</v>
      </c>
      <c r="AD61" s="152" t="s">
        <v>29</v>
      </c>
      <c r="AE61" s="157">
        <f>VLOOKUP(Master201722[[#This Row],[Elevated Priority]],Epriority,2,)</f>
        <v>0</v>
      </c>
      <c r="AF61" s="151">
        <f>IF(Master201722[[#This Row],[Status]]="Active",Master201722[[#This Row],[Status_Score]],IF(C61="","",Q61+G61+S61+U61+AE61-5))</f>
        <v>33</v>
      </c>
      <c r="AG61" s="151"/>
      <c r="AH61" s="151">
        <v>2022</v>
      </c>
      <c r="AI61" s="151">
        <v>2023</v>
      </c>
      <c r="AJ61" s="149"/>
    </row>
    <row r="62" spans="1:36" ht="90" x14ac:dyDescent="0.25">
      <c r="A62" s="198">
        <f t="shared" si="5"/>
        <v>56</v>
      </c>
      <c r="B62" s="149" t="s">
        <v>61</v>
      </c>
      <c r="C62" s="149" t="s">
        <v>316</v>
      </c>
      <c r="D62" s="149" t="s">
        <v>891</v>
      </c>
      <c r="E62" s="149" t="s">
        <v>318</v>
      </c>
      <c r="F62" s="149" t="s">
        <v>29</v>
      </c>
      <c r="G62" s="149">
        <f t="shared" si="9"/>
        <v>0</v>
      </c>
      <c r="H62" s="162"/>
      <c r="I62" s="162"/>
      <c r="J62" s="162">
        <f>Master201722[[#This Row],[Initial Budget]]-Master201722[[#This Row],[Previously Committed Funds]]</f>
        <v>0</v>
      </c>
      <c r="K62" s="162"/>
      <c r="L62" s="162"/>
      <c r="M62" s="189">
        <f>Master201722[[#This Row],[Design $ (Add/Deduct)]]+Master201722[[#This Row],[Construction $ (Add/Ded)]]</f>
        <v>0</v>
      </c>
      <c r="N62" s="171">
        <v>3000000</v>
      </c>
      <c r="O62" s="150">
        <v>2018</v>
      </c>
      <c r="P62" s="149" t="s">
        <v>687</v>
      </c>
      <c r="Q62" s="150">
        <f t="shared" si="12"/>
        <v>30</v>
      </c>
      <c r="R62" s="151">
        <v>2</v>
      </c>
      <c r="S62" s="148">
        <f t="shared" si="10"/>
        <v>6</v>
      </c>
      <c r="T62" s="151" t="s">
        <v>43</v>
      </c>
      <c r="U62" s="151">
        <f t="shared" si="11"/>
        <v>16</v>
      </c>
      <c r="V62" s="151" t="s">
        <v>34</v>
      </c>
      <c r="W62" s="185">
        <v>0</v>
      </c>
      <c r="X62" s="151">
        <v>0</v>
      </c>
      <c r="Y62" s="151">
        <v>-1</v>
      </c>
      <c r="Z62" s="151">
        <v>0</v>
      </c>
      <c r="AA62" s="151">
        <v>0</v>
      </c>
      <c r="AB62" s="151">
        <v>-5</v>
      </c>
      <c r="AC62" s="151">
        <v>0</v>
      </c>
      <c r="AD62" s="152" t="s">
        <v>29</v>
      </c>
      <c r="AE62" s="157">
        <f>VLOOKUP(Master201722[[#This Row],[Elevated Priority]],Epriority,2,)</f>
        <v>0</v>
      </c>
      <c r="AF62" s="151">
        <f>IF(Master201722[[#This Row],[Status]]="Active",Master201722[[#This Row],[Status_Score]],IF(C62="","",Q62+G62+S62+U62+AE62-5))</f>
        <v>47</v>
      </c>
      <c r="AG62" s="238"/>
      <c r="AH62" s="238">
        <v>2022</v>
      </c>
      <c r="AI62" s="238">
        <v>2024</v>
      </c>
      <c r="AJ62" s="236"/>
    </row>
    <row r="63" spans="1:36" ht="210" hidden="1" x14ac:dyDescent="0.25">
      <c r="A63" s="198">
        <f t="shared" si="5"/>
        <v>57</v>
      </c>
      <c r="B63" s="149" t="s">
        <v>73</v>
      </c>
      <c r="C63" s="149" t="s">
        <v>354</v>
      </c>
      <c r="D63" s="149" t="s">
        <v>819</v>
      </c>
      <c r="E63" s="149" t="s">
        <v>818</v>
      </c>
      <c r="F63" s="149" t="s">
        <v>29</v>
      </c>
      <c r="G63" s="149">
        <f t="shared" si="9"/>
        <v>0</v>
      </c>
      <c r="H63" s="162"/>
      <c r="I63" s="162"/>
      <c r="J63" s="162">
        <f>Master201722[[#This Row],[Initial Budget]]-Master201722[[#This Row],[Previously Committed Funds]]</f>
        <v>0</v>
      </c>
      <c r="K63" s="162"/>
      <c r="L63" s="162"/>
      <c r="M63" s="189">
        <f>Master201722[[#This Row],[Design $ (Add/Deduct)]]+Master201722[[#This Row],[Construction $ (Add/Ded)]]</f>
        <v>0</v>
      </c>
      <c r="N63" s="171">
        <v>300000</v>
      </c>
      <c r="O63" s="150">
        <v>2018</v>
      </c>
      <c r="P63" s="149" t="s">
        <v>688</v>
      </c>
      <c r="Q63" s="150">
        <f t="shared" si="12"/>
        <v>20</v>
      </c>
      <c r="R63" s="151">
        <v>1</v>
      </c>
      <c r="S63" s="148">
        <f t="shared" si="10"/>
        <v>3</v>
      </c>
      <c r="T63" s="151" t="s">
        <v>43</v>
      </c>
      <c r="U63" s="151">
        <f t="shared" si="11"/>
        <v>16</v>
      </c>
      <c r="V63" s="151" t="s">
        <v>30</v>
      </c>
      <c r="W63" s="151">
        <v>0</v>
      </c>
      <c r="X63" s="151">
        <v>0</v>
      </c>
      <c r="Y63" s="151">
        <v>0</v>
      </c>
      <c r="Z63" s="151">
        <v>0</v>
      </c>
      <c r="AA63" s="151">
        <v>0</v>
      </c>
      <c r="AB63" s="151">
        <v>0</v>
      </c>
      <c r="AC63" s="151">
        <v>0</v>
      </c>
      <c r="AD63" s="152" t="s">
        <v>29</v>
      </c>
      <c r="AE63" s="157">
        <f>VLOOKUP(Master201722[[#This Row],[Elevated Priority]],Epriority,2,)</f>
        <v>0</v>
      </c>
      <c r="AF63" s="151">
        <f>IF(Master201722[[#This Row],[Status]]="Active",Master201722[[#This Row],[Status_Score]],IF(C63="","",Q63+G63+S63+U63+AE63-5))</f>
        <v>34</v>
      </c>
      <c r="AG63" s="148"/>
      <c r="AH63" s="148">
        <v>2020</v>
      </c>
      <c r="AI63" s="148">
        <v>2021</v>
      </c>
      <c r="AJ63" s="156" t="s">
        <v>934</v>
      </c>
    </row>
    <row r="64" spans="1:36" ht="30" hidden="1" x14ac:dyDescent="0.25">
      <c r="A64" s="198">
        <f t="shared" si="5"/>
        <v>58</v>
      </c>
      <c r="B64" s="149" t="s">
        <v>732</v>
      </c>
      <c r="C64" s="149" t="s">
        <v>969</v>
      </c>
      <c r="D64" s="149" t="s">
        <v>970</v>
      </c>
      <c r="E64" s="149" t="s">
        <v>971</v>
      </c>
      <c r="F64" s="149" t="s">
        <v>29</v>
      </c>
      <c r="G64" s="174">
        <f t="shared" si="9"/>
        <v>0</v>
      </c>
      <c r="H64" s="162"/>
      <c r="I64" s="162"/>
      <c r="J64" s="162">
        <f>Master201722[[#This Row],[Initial Budget]]-Master201722[[#This Row],[Previously Committed Funds]]</f>
        <v>0</v>
      </c>
      <c r="K64" s="162"/>
      <c r="L64" s="162"/>
      <c r="M64" s="189"/>
      <c r="N64" s="171">
        <v>75000</v>
      </c>
      <c r="O64" s="150">
        <v>2018</v>
      </c>
      <c r="P64" s="149" t="s">
        <v>688</v>
      </c>
      <c r="Q64" s="150">
        <f t="shared" si="12"/>
        <v>20</v>
      </c>
      <c r="R64" s="151">
        <v>5</v>
      </c>
      <c r="S64" s="148">
        <f t="shared" si="10"/>
        <v>15</v>
      </c>
      <c r="T64" s="151" t="s">
        <v>41</v>
      </c>
      <c r="U64" s="151">
        <f t="shared" si="11"/>
        <v>4</v>
      </c>
      <c r="V64" s="151" t="s">
        <v>30</v>
      </c>
      <c r="W64" s="151">
        <v>0</v>
      </c>
      <c r="X64" s="151">
        <v>0</v>
      </c>
      <c r="Y64" s="151">
        <v>0</v>
      </c>
      <c r="Z64" s="151">
        <v>0</v>
      </c>
      <c r="AA64" s="151">
        <v>0</v>
      </c>
      <c r="AB64" s="151">
        <v>0</v>
      </c>
      <c r="AC64" s="151">
        <v>0</v>
      </c>
      <c r="AD64" s="152" t="s">
        <v>29</v>
      </c>
      <c r="AE64" s="157">
        <f>VLOOKUP(Master201722[[#This Row],[Elevated Priority]],Epriority,2,)</f>
        <v>0</v>
      </c>
      <c r="AF64" s="150">
        <f>IF(Master201722[[#This Row],[Status]]="Active",Master201722[[#This Row],[Status_Score]],IF(C64="","",Q64+G64+S64+U64+AE64-5))</f>
        <v>34</v>
      </c>
      <c r="AG64" s="148"/>
      <c r="AH64" s="148">
        <v>2020</v>
      </c>
      <c r="AI64" s="148">
        <v>2021</v>
      </c>
      <c r="AJ64" s="156"/>
    </row>
    <row r="65" spans="1:36" ht="30" x14ac:dyDescent="0.25">
      <c r="A65" s="198">
        <f t="shared" si="5"/>
        <v>59</v>
      </c>
      <c r="B65" s="149" t="s">
        <v>220</v>
      </c>
      <c r="C65" s="149" t="s">
        <v>339</v>
      </c>
      <c r="D65" s="149" t="s">
        <v>340</v>
      </c>
      <c r="E65" s="149" t="s">
        <v>341</v>
      </c>
      <c r="F65" s="149" t="s">
        <v>29</v>
      </c>
      <c r="G65" s="149">
        <f t="shared" si="9"/>
        <v>0</v>
      </c>
      <c r="H65" s="162"/>
      <c r="I65" s="162"/>
      <c r="J65" s="162">
        <f>Master201722[[#This Row],[Initial Budget]]-Master201722[[#This Row],[Previously Committed Funds]]</f>
        <v>0</v>
      </c>
      <c r="K65" s="162"/>
      <c r="L65" s="162"/>
      <c r="M65" s="189">
        <f>Master201722[[#This Row],[Design $ (Add/Deduct)]]+Master201722[[#This Row],[Construction $ (Add/Ded)]]</f>
        <v>0</v>
      </c>
      <c r="N65" s="171" t="s">
        <v>224</v>
      </c>
      <c r="O65" s="150">
        <v>2018</v>
      </c>
      <c r="P65" s="149" t="s">
        <v>686</v>
      </c>
      <c r="Q65" s="150">
        <f t="shared" si="12"/>
        <v>60</v>
      </c>
      <c r="R65" s="151">
        <v>1</v>
      </c>
      <c r="S65" s="148">
        <f t="shared" si="10"/>
        <v>3</v>
      </c>
      <c r="T65" s="151" t="s">
        <v>37</v>
      </c>
      <c r="U65" s="151">
        <f t="shared" si="11"/>
        <v>3</v>
      </c>
      <c r="V65" s="151" t="s">
        <v>34</v>
      </c>
      <c r="W65" s="185">
        <v>0</v>
      </c>
      <c r="X65" s="151">
        <v>-5</v>
      </c>
      <c r="Y65" s="151">
        <v>-3</v>
      </c>
      <c r="Z65" s="151">
        <v>0</v>
      </c>
      <c r="AA65" s="151">
        <v>0</v>
      </c>
      <c r="AB65" s="151">
        <v>-1</v>
      </c>
      <c r="AC65" s="151">
        <v>-1</v>
      </c>
      <c r="AD65" s="152" t="s">
        <v>29</v>
      </c>
      <c r="AE65" s="157">
        <f>VLOOKUP(Master201722[[#This Row],[Elevated Priority]],Epriority,2,)</f>
        <v>0</v>
      </c>
      <c r="AF65" s="151">
        <f>IF(Master201722[[#This Row],[Status]]="Active",Master201722[[#This Row],[Status_Score]],IF(C65="","",Q65+G65+S65+U65+AE65-5))</f>
        <v>61</v>
      </c>
      <c r="AG65" s="235"/>
      <c r="AH65" s="235"/>
      <c r="AI65" s="235"/>
      <c r="AJ65" s="156"/>
    </row>
    <row r="66" spans="1:36" ht="45" hidden="1" x14ac:dyDescent="0.25">
      <c r="A66" s="198">
        <f t="shared" si="5"/>
        <v>60</v>
      </c>
      <c r="B66" s="149" t="s">
        <v>143</v>
      </c>
      <c r="C66" s="156" t="s">
        <v>163</v>
      </c>
      <c r="D66" s="156" t="s">
        <v>164</v>
      </c>
      <c r="E66" s="156" t="s">
        <v>165</v>
      </c>
      <c r="F66" s="149" t="s">
        <v>29</v>
      </c>
      <c r="G66" s="149">
        <f t="shared" si="9"/>
        <v>0</v>
      </c>
      <c r="H66" s="162"/>
      <c r="I66" s="162"/>
      <c r="J66" s="162">
        <f>Master201722[[#This Row],[Initial Budget]]-Master201722[[#This Row],[Previously Committed Funds]]</f>
        <v>0</v>
      </c>
      <c r="K66" s="162"/>
      <c r="L66" s="162"/>
      <c r="M66" s="189">
        <f>Master201722[[#This Row],[Design $ (Add/Deduct)]]+Master201722[[#This Row],[Construction $ (Add/Ded)]]</f>
        <v>0</v>
      </c>
      <c r="N66" s="162">
        <v>40000</v>
      </c>
      <c r="O66" s="150">
        <v>2018</v>
      </c>
      <c r="P66" s="149" t="s">
        <v>687</v>
      </c>
      <c r="Q66" s="150">
        <f t="shared" si="12"/>
        <v>30</v>
      </c>
      <c r="R66" s="152">
        <v>2</v>
      </c>
      <c r="S66" s="148">
        <f t="shared" si="10"/>
        <v>6</v>
      </c>
      <c r="T66" s="152" t="s">
        <v>41</v>
      </c>
      <c r="U66" s="151">
        <f t="shared" si="11"/>
        <v>4</v>
      </c>
      <c r="V66" s="151" t="s">
        <v>30</v>
      </c>
      <c r="W66" s="151">
        <v>0</v>
      </c>
      <c r="X66" s="151">
        <v>0</v>
      </c>
      <c r="Y66" s="151">
        <v>0</v>
      </c>
      <c r="Z66" s="151">
        <v>0</v>
      </c>
      <c r="AA66" s="151">
        <v>0</v>
      </c>
      <c r="AB66" s="151">
        <v>0</v>
      </c>
      <c r="AC66" s="151">
        <v>0</v>
      </c>
      <c r="AD66" s="152" t="s">
        <v>29</v>
      </c>
      <c r="AE66" s="157">
        <f>VLOOKUP(Master201722[[#This Row],[Elevated Priority]],Epriority,2,)</f>
        <v>0</v>
      </c>
      <c r="AF66" s="151">
        <f>IF(Master201722[[#This Row],[Status]]="Active",Master201722[[#This Row],[Status_Score]],IF(C66="","",Q66+G66+S66+U66+AE66-5))</f>
        <v>35</v>
      </c>
      <c r="AG66" s="148"/>
      <c r="AH66" s="148">
        <v>2022</v>
      </c>
      <c r="AI66" s="148">
        <v>2023</v>
      </c>
      <c r="AJ66" s="156"/>
    </row>
    <row r="67" spans="1:36" hidden="1" x14ac:dyDescent="0.25">
      <c r="A67" s="198">
        <f t="shared" si="5"/>
        <v>61</v>
      </c>
      <c r="B67" s="149" t="s">
        <v>94</v>
      </c>
      <c r="C67" s="149" t="s">
        <v>604</v>
      </c>
      <c r="D67" s="149" t="s">
        <v>605</v>
      </c>
      <c r="E67" s="162" t="s">
        <v>606</v>
      </c>
      <c r="F67" s="149" t="s">
        <v>29</v>
      </c>
      <c r="G67" s="149">
        <f t="shared" si="9"/>
        <v>0</v>
      </c>
      <c r="H67" s="162"/>
      <c r="I67" s="162"/>
      <c r="J67" s="162">
        <f>Master201722[[#This Row],[Initial Budget]]-Master201722[[#This Row],[Previously Committed Funds]]</f>
        <v>0</v>
      </c>
      <c r="K67" s="162"/>
      <c r="L67" s="162"/>
      <c r="M67" s="189">
        <f>Master201722[[#This Row],[Design $ (Add/Deduct)]]+Master201722[[#This Row],[Construction $ (Add/Ded)]]</f>
        <v>0</v>
      </c>
      <c r="N67" s="171">
        <v>500000</v>
      </c>
      <c r="O67" s="152">
        <v>2019</v>
      </c>
      <c r="P67" s="149" t="s">
        <v>830</v>
      </c>
      <c r="Q67" s="150">
        <f t="shared" si="12"/>
        <v>10</v>
      </c>
      <c r="R67" s="150">
        <v>18</v>
      </c>
      <c r="S67" s="148">
        <f t="shared" si="10"/>
        <v>25</v>
      </c>
      <c r="T67" s="150" t="s">
        <v>33</v>
      </c>
      <c r="U67" s="151">
        <f t="shared" si="11"/>
        <v>1</v>
      </c>
      <c r="V67" s="150" t="s">
        <v>30</v>
      </c>
      <c r="W67" s="151">
        <v>0</v>
      </c>
      <c r="X67" s="151">
        <v>0</v>
      </c>
      <c r="Y67" s="151">
        <v>0</v>
      </c>
      <c r="Z67" s="151">
        <v>0</v>
      </c>
      <c r="AA67" s="151">
        <v>0</v>
      </c>
      <c r="AB67" s="151">
        <v>0</v>
      </c>
      <c r="AC67" s="151">
        <v>0</v>
      </c>
      <c r="AD67" s="150" t="s">
        <v>29</v>
      </c>
      <c r="AE67" s="157">
        <f>VLOOKUP(Master201722[[#This Row],[Elevated Priority]],Epriority,2,)</f>
        <v>0</v>
      </c>
      <c r="AF67" s="151">
        <f>IF(Master201722[[#This Row],[Status]]="Active",Master201722[[#This Row],[Status_Score]],IF(C67="","",Q67+G67+S67+U67+AE67-5))</f>
        <v>31</v>
      </c>
      <c r="AG67" s="151"/>
      <c r="AH67" s="151">
        <v>2022</v>
      </c>
      <c r="AI67" s="151">
        <v>2023</v>
      </c>
      <c r="AJ67" s="156"/>
    </row>
    <row r="68" spans="1:36" ht="30" x14ac:dyDescent="0.25">
      <c r="A68" s="198">
        <f t="shared" si="5"/>
        <v>62</v>
      </c>
      <c r="B68" s="236" t="s">
        <v>94</v>
      </c>
      <c r="C68" s="236" t="s">
        <v>668</v>
      </c>
      <c r="D68" s="236" t="s">
        <v>231</v>
      </c>
      <c r="E68" s="236"/>
      <c r="F68" s="149" t="s">
        <v>29</v>
      </c>
      <c r="G68" s="149">
        <f t="shared" si="9"/>
        <v>0</v>
      </c>
      <c r="H68" s="162"/>
      <c r="I68" s="162"/>
      <c r="J68" s="162">
        <f>Master201722[[#This Row],[Initial Budget]]-Master201722[[#This Row],[Previously Committed Funds]]</f>
        <v>0</v>
      </c>
      <c r="K68" s="162"/>
      <c r="L68" s="162"/>
      <c r="M68" s="189">
        <f>Master201722[[#This Row],[Design $ (Add/Deduct)]]+Master201722[[#This Row],[Construction $ (Add/Ded)]]</f>
        <v>0</v>
      </c>
      <c r="N68" s="171">
        <v>850000</v>
      </c>
      <c r="O68" s="150">
        <v>2018</v>
      </c>
      <c r="P68" s="149" t="s">
        <v>688</v>
      </c>
      <c r="Q68" s="150">
        <f t="shared" si="12"/>
        <v>20</v>
      </c>
      <c r="R68" s="151">
        <v>13</v>
      </c>
      <c r="S68" s="148">
        <f t="shared" si="10"/>
        <v>23</v>
      </c>
      <c r="T68" s="151" t="s">
        <v>41</v>
      </c>
      <c r="U68" s="151">
        <f t="shared" si="11"/>
        <v>4</v>
      </c>
      <c r="V68" s="151" t="s">
        <v>34</v>
      </c>
      <c r="W68" s="238">
        <v>0</v>
      </c>
      <c r="X68" s="151">
        <v>0</v>
      </c>
      <c r="Y68" s="151">
        <v>0</v>
      </c>
      <c r="Z68" s="151">
        <v>0</v>
      </c>
      <c r="AA68" s="151">
        <v>0</v>
      </c>
      <c r="AB68" s="151">
        <v>0</v>
      </c>
      <c r="AC68" s="151">
        <v>0</v>
      </c>
      <c r="AD68" s="152" t="s">
        <v>29</v>
      </c>
      <c r="AE68" s="157">
        <f>VLOOKUP(Master201722[[#This Row],[Elevated Priority]],Epriority,2,)</f>
        <v>0</v>
      </c>
      <c r="AF68" s="151">
        <f>IF(Master201722[[#This Row],[Status]]="Active",Master201722[[#This Row],[Status_Score]],IF(C68="","",Q68+G68+S68+U68+AE68-5))</f>
        <v>42</v>
      </c>
      <c r="AG68" s="148"/>
      <c r="AH68" s="148">
        <v>2022</v>
      </c>
      <c r="AI68" s="148">
        <v>2023</v>
      </c>
      <c r="AJ68" s="156"/>
    </row>
    <row r="69" spans="1:36" ht="30" hidden="1" x14ac:dyDescent="0.25">
      <c r="A69" s="198">
        <f t="shared" si="5"/>
        <v>63</v>
      </c>
      <c r="B69" s="149" t="s">
        <v>70</v>
      </c>
      <c r="C69" s="156" t="s">
        <v>276</v>
      </c>
      <c r="D69" s="156" t="s">
        <v>951</v>
      </c>
      <c r="E69" s="156" t="s">
        <v>278</v>
      </c>
      <c r="F69" s="149" t="s">
        <v>29</v>
      </c>
      <c r="G69" s="149">
        <f t="shared" si="9"/>
        <v>0</v>
      </c>
      <c r="H69" s="162"/>
      <c r="I69" s="162"/>
      <c r="J69" s="162">
        <f>Master201722[[#This Row],[Initial Budget]]-Master201722[[#This Row],[Previously Committed Funds]]</f>
        <v>0</v>
      </c>
      <c r="K69" s="162"/>
      <c r="L69" s="162"/>
      <c r="M69" s="189">
        <f>Master201722[[#This Row],[Design $ (Add/Deduct)]]+Master201722[[#This Row],[Construction $ (Add/Ded)]]</f>
        <v>0</v>
      </c>
      <c r="N69" s="171">
        <v>10000</v>
      </c>
      <c r="O69" s="150">
        <v>2018</v>
      </c>
      <c r="P69" s="149" t="s">
        <v>687</v>
      </c>
      <c r="Q69" s="150">
        <f t="shared" si="12"/>
        <v>30</v>
      </c>
      <c r="R69" s="151">
        <v>3</v>
      </c>
      <c r="S69" s="148">
        <f t="shared" si="10"/>
        <v>9</v>
      </c>
      <c r="T69" s="151" t="s">
        <v>41</v>
      </c>
      <c r="U69" s="151">
        <f t="shared" si="11"/>
        <v>4</v>
      </c>
      <c r="V69" s="151" t="s">
        <v>30</v>
      </c>
      <c r="W69" s="151">
        <v>0</v>
      </c>
      <c r="X69" s="151">
        <v>0</v>
      </c>
      <c r="Y69" s="151">
        <v>0</v>
      </c>
      <c r="Z69" s="151">
        <v>0</v>
      </c>
      <c r="AA69" s="151">
        <v>0</v>
      </c>
      <c r="AB69" s="151">
        <v>0</v>
      </c>
      <c r="AC69" s="151">
        <v>0</v>
      </c>
      <c r="AD69" s="152" t="s">
        <v>29</v>
      </c>
      <c r="AE69" s="157">
        <f>VLOOKUP(Master201722[[#This Row],[Elevated Priority]],Epriority,2,)</f>
        <v>0</v>
      </c>
      <c r="AF69" s="151">
        <f>IF(Master201722[[#This Row],[Status]]="Active",Master201722[[#This Row],[Status_Score]],IF(C69="","",Q69+G69+S69+U69+AE69-5))</f>
        <v>38</v>
      </c>
      <c r="AG69" s="148"/>
      <c r="AH69" s="148">
        <v>2020</v>
      </c>
      <c r="AI69" s="148">
        <v>2021</v>
      </c>
      <c r="AJ69" s="156" t="s">
        <v>978</v>
      </c>
    </row>
    <row r="70" spans="1:36" ht="60" hidden="1" x14ac:dyDescent="0.25">
      <c r="A70" s="198">
        <f t="shared" si="5"/>
        <v>64</v>
      </c>
      <c r="B70" s="149" t="s">
        <v>61</v>
      </c>
      <c r="C70" s="149" t="s">
        <v>348</v>
      </c>
      <c r="D70" s="149" t="s">
        <v>349</v>
      </c>
      <c r="E70" s="149" t="s">
        <v>350</v>
      </c>
      <c r="F70" s="149" t="s">
        <v>29</v>
      </c>
      <c r="G70" s="149">
        <f t="shared" si="9"/>
        <v>0</v>
      </c>
      <c r="H70" s="162"/>
      <c r="I70" s="162"/>
      <c r="J70" s="162">
        <f>Master201722[[#This Row],[Initial Budget]]-Master201722[[#This Row],[Previously Committed Funds]]</f>
        <v>0</v>
      </c>
      <c r="K70" s="162"/>
      <c r="L70" s="162"/>
      <c r="M70" s="189">
        <f>Master201722[[#This Row],[Design $ (Add/Deduct)]]+Master201722[[#This Row],[Construction $ (Add/Ded)]]</f>
        <v>0</v>
      </c>
      <c r="N70" s="171">
        <v>125000</v>
      </c>
      <c r="O70" s="150">
        <v>2018</v>
      </c>
      <c r="P70" s="149" t="s">
        <v>687</v>
      </c>
      <c r="Q70" s="150">
        <f t="shared" si="12"/>
        <v>30</v>
      </c>
      <c r="R70" s="151">
        <v>3</v>
      </c>
      <c r="S70" s="148">
        <f t="shared" si="10"/>
        <v>9</v>
      </c>
      <c r="T70" s="151" t="s">
        <v>41</v>
      </c>
      <c r="U70" s="151">
        <f t="shared" si="11"/>
        <v>4</v>
      </c>
      <c r="V70" s="151" t="s">
        <v>30</v>
      </c>
      <c r="W70" s="151">
        <v>0</v>
      </c>
      <c r="X70" s="151">
        <v>0</v>
      </c>
      <c r="Y70" s="151">
        <v>0</v>
      </c>
      <c r="Z70" s="151">
        <v>0</v>
      </c>
      <c r="AA70" s="151">
        <v>0</v>
      </c>
      <c r="AB70" s="151">
        <v>0</v>
      </c>
      <c r="AC70" s="151">
        <v>0</v>
      </c>
      <c r="AD70" s="152" t="s">
        <v>29</v>
      </c>
      <c r="AE70" s="157">
        <f>VLOOKUP(Master201722[[#This Row],[Elevated Priority]],Epriority,2,)</f>
        <v>0</v>
      </c>
      <c r="AF70" s="151">
        <f>IF(Master201722[[#This Row],[Status]]="Active",Master201722[[#This Row],[Status_Score]],IF(C70="","",Q70+G70+S70+U70+AE70-5))</f>
        <v>38</v>
      </c>
      <c r="AG70" s="148"/>
      <c r="AH70" s="148">
        <v>2021</v>
      </c>
      <c r="AI70" s="148">
        <v>2022</v>
      </c>
      <c r="AJ70" s="156"/>
    </row>
    <row r="71" spans="1:36" ht="30" hidden="1" x14ac:dyDescent="0.25">
      <c r="A71" s="198">
        <f t="shared" si="5"/>
        <v>65</v>
      </c>
      <c r="B71" s="149" t="s">
        <v>70</v>
      </c>
      <c r="C71" s="149" t="s">
        <v>282</v>
      </c>
      <c r="D71" s="149" t="s">
        <v>283</v>
      </c>
      <c r="E71" s="149" t="s">
        <v>892</v>
      </c>
      <c r="F71" s="149" t="s">
        <v>29</v>
      </c>
      <c r="G71" s="149">
        <f t="shared" si="9"/>
        <v>0</v>
      </c>
      <c r="H71" s="162"/>
      <c r="I71" s="162"/>
      <c r="J71" s="162">
        <f>Master201722[[#This Row],[Initial Budget]]-Master201722[[#This Row],[Previously Committed Funds]]</f>
        <v>0</v>
      </c>
      <c r="K71" s="162"/>
      <c r="L71" s="162"/>
      <c r="M71" s="189">
        <f>Master201722[[#This Row],[Design $ (Add/Deduct)]]+Master201722[[#This Row],[Construction $ (Add/Ded)]]</f>
        <v>0</v>
      </c>
      <c r="N71" s="171">
        <v>60000</v>
      </c>
      <c r="O71" s="150">
        <v>2018</v>
      </c>
      <c r="P71" s="149" t="s">
        <v>687</v>
      </c>
      <c r="Q71" s="150">
        <f t="shared" si="12"/>
        <v>30</v>
      </c>
      <c r="R71" s="151">
        <v>3</v>
      </c>
      <c r="S71" s="148">
        <f t="shared" si="10"/>
        <v>9</v>
      </c>
      <c r="T71" s="151" t="s">
        <v>41</v>
      </c>
      <c r="U71" s="151">
        <f t="shared" si="11"/>
        <v>4</v>
      </c>
      <c r="V71" s="151" t="s">
        <v>30</v>
      </c>
      <c r="W71" s="151">
        <v>0</v>
      </c>
      <c r="X71" s="151">
        <v>0</v>
      </c>
      <c r="Y71" s="151">
        <v>0</v>
      </c>
      <c r="Z71" s="151">
        <v>0</v>
      </c>
      <c r="AA71" s="151">
        <v>0</v>
      </c>
      <c r="AB71" s="151">
        <v>0</v>
      </c>
      <c r="AC71" s="151">
        <v>0</v>
      </c>
      <c r="AD71" s="152" t="s">
        <v>29</v>
      </c>
      <c r="AE71" s="157">
        <f>VLOOKUP(Master201722[[#This Row],[Elevated Priority]],Epriority,2,)</f>
        <v>0</v>
      </c>
      <c r="AF71" s="151">
        <f>IF(Master201722[[#This Row],[Status]]="Active",Master201722[[#This Row],[Status_Score]],IF(C71="","",Q71+G71+S71+U71+AE71-5))</f>
        <v>38</v>
      </c>
      <c r="AG71" s="148"/>
      <c r="AH71" s="148">
        <v>2022</v>
      </c>
      <c r="AI71" s="148">
        <v>2023</v>
      </c>
      <c r="AJ71" s="156"/>
    </row>
    <row r="72" spans="1:36" hidden="1" x14ac:dyDescent="0.25">
      <c r="A72" s="198">
        <f t="shared" si="5"/>
        <v>66</v>
      </c>
      <c r="B72" s="149" t="s">
        <v>94</v>
      </c>
      <c r="C72" s="149" t="s">
        <v>583</v>
      </c>
      <c r="D72" s="149" t="s">
        <v>609</v>
      </c>
      <c r="E72" s="149" t="s">
        <v>879</v>
      </c>
      <c r="F72" s="149" t="s">
        <v>29</v>
      </c>
      <c r="G72" s="149">
        <f t="shared" si="9"/>
        <v>0</v>
      </c>
      <c r="H72" s="162"/>
      <c r="I72" s="162"/>
      <c r="J72" s="162">
        <f>Master201722[[#This Row],[Initial Budget]]-Master201722[[#This Row],[Previously Committed Funds]]</f>
        <v>0</v>
      </c>
      <c r="K72" s="162"/>
      <c r="L72" s="162"/>
      <c r="M72" s="189">
        <f>Master201722[[#This Row],[Design $ (Add/Deduct)]]+Master201722[[#This Row],[Construction $ (Add/Ded)]]</f>
        <v>0</v>
      </c>
      <c r="N72" s="171">
        <v>1500000</v>
      </c>
      <c r="O72" s="152">
        <v>2019</v>
      </c>
      <c r="P72" s="149" t="s">
        <v>688</v>
      </c>
      <c r="Q72" s="150">
        <f t="shared" si="12"/>
        <v>20</v>
      </c>
      <c r="R72" s="151">
        <v>9</v>
      </c>
      <c r="S72" s="148">
        <f t="shared" si="10"/>
        <v>21</v>
      </c>
      <c r="T72" s="151" t="s">
        <v>37</v>
      </c>
      <c r="U72" s="151">
        <f t="shared" si="11"/>
        <v>3</v>
      </c>
      <c r="V72" s="151" t="s">
        <v>30</v>
      </c>
      <c r="W72" s="151">
        <v>0</v>
      </c>
      <c r="X72" s="151">
        <v>0</v>
      </c>
      <c r="Y72" s="151">
        <v>0</v>
      </c>
      <c r="Z72" s="151">
        <v>0</v>
      </c>
      <c r="AA72" s="151">
        <v>0</v>
      </c>
      <c r="AB72" s="151">
        <v>0</v>
      </c>
      <c r="AC72" s="151">
        <v>0</v>
      </c>
      <c r="AD72" s="152" t="s">
        <v>29</v>
      </c>
      <c r="AE72" s="157">
        <f>VLOOKUP(Master201722[[#This Row],[Elevated Priority]],Epriority,2,)</f>
        <v>0</v>
      </c>
      <c r="AF72" s="151">
        <f>IF(Master201722[[#This Row],[Status]]="Active",Master201722[[#This Row],[Status_Score]],IF(C72="","",Q72+G72+S72+U72+AE72-5))</f>
        <v>39</v>
      </c>
      <c r="AG72" s="151"/>
      <c r="AH72" s="151">
        <v>2022</v>
      </c>
      <c r="AI72" s="151">
        <v>2023</v>
      </c>
      <c r="AJ72" s="149" t="s">
        <v>656</v>
      </c>
    </row>
    <row r="73" spans="1:36" ht="30" hidden="1" x14ac:dyDescent="0.25">
      <c r="A73" s="198">
        <f t="shared" si="5"/>
        <v>67</v>
      </c>
      <c r="B73" s="149" t="s">
        <v>94</v>
      </c>
      <c r="C73" s="149" t="s">
        <v>232</v>
      </c>
      <c r="D73" s="149" t="s">
        <v>233</v>
      </c>
      <c r="E73" s="149" t="s">
        <v>879</v>
      </c>
      <c r="F73" s="149" t="s">
        <v>29</v>
      </c>
      <c r="G73" s="149">
        <f t="shared" si="9"/>
        <v>0</v>
      </c>
      <c r="H73" s="162"/>
      <c r="I73" s="162"/>
      <c r="J73" s="162">
        <f>Master201722[[#This Row],[Initial Budget]]-Master201722[[#This Row],[Previously Committed Funds]]</f>
        <v>0</v>
      </c>
      <c r="K73" s="162"/>
      <c r="L73" s="162"/>
      <c r="M73" s="189">
        <f>Master201722[[#This Row],[Design $ (Add/Deduct)]]+Master201722[[#This Row],[Construction $ (Add/Ded)]]</f>
        <v>0</v>
      </c>
      <c r="N73" s="171">
        <v>1500000</v>
      </c>
      <c r="O73" s="150">
        <v>2018</v>
      </c>
      <c r="P73" s="149" t="s">
        <v>688</v>
      </c>
      <c r="Q73" s="150">
        <f t="shared" si="12"/>
        <v>20</v>
      </c>
      <c r="R73" s="151">
        <v>7</v>
      </c>
      <c r="S73" s="148">
        <f t="shared" si="10"/>
        <v>20</v>
      </c>
      <c r="T73" s="151" t="s">
        <v>41</v>
      </c>
      <c r="U73" s="151">
        <f t="shared" si="11"/>
        <v>4</v>
      </c>
      <c r="V73" s="151" t="s">
        <v>30</v>
      </c>
      <c r="W73" s="151">
        <v>0</v>
      </c>
      <c r="X73" s="151">
        <v>0</v>
      </c>
      <c r="Y73" s="151">
        <v>0</v>
      </c>
      <c r="Z73" s="151">
        <v>0</v>
      </c>
      <c r="AA73" s="151">
        <v>0</v>
      </c>
      <c r="AB73" s="151">
        <v>0</v>
      </c>
      <c r="AC73" s="151">
        <v>0</v>
      </c>
      <c r="AD73" s="152" t="s">
        <v>29</v>
      </c>
      <c r="AE73" s="157">
        <f>VLOOKUP(Master201722[[#This Row],[Elevated Priority]],Epriority,2,)</f>
        <v>0</v>
      </c>
      <c r="AF73" s="151">
        <f>IF(Master201722[[#This Row],[Status]]="Active",Master201722[[#This Row],[Status_Score]],IF(C73="","",Q73+G73+S73+U73+AE73-5))</f>
        <v>39</v>
      </c>
      <c r="AG73" s="148"/>
      <c r="AH73" s="148">
        <v>2022</v>
      </c>
      <c r="AI73" s="148">
        <v>2023</v>
      </c>
      <c r="AJ73" s="156"/>
    </row>
    <row r="74" spans="1:36" ht="30" hidden="1" x14ac:dyDescent="0.25">
      <c r="A74" s="198">
        <f t="shared" si="5"/>
        <v>68</v>
      </c>
      <c r="B74" s="149" t="s">
        <v>94</v>
      </c>
      <c r="C74" s="149" t="s">
        <v>234</v>
      </c>
      <c r="D74" s="149" t="s">
        <v>233</v>
      </c>
      <c r="E74" s="149" t="s">
        <v>879</v>
      </c>
      <c r="F74" s="149" t="s">
        <v>29</v>
      </c>
      <c r="G74" s="149">
        <f t="shared" si="9"/>
        <v>0</v>
      </c>
      <c r="H74" s="162"/>
      <c r="I74" s="162"/>
      <c r="J74" s="162">
        <f>Master201722[[#This Row],[Initial Budget]]-Master201722[[#This Row],[Previously Committed Funds]]</f>
        <v>0</v>
      </c>
      <c r="K74" s="162"/>
      <c r="L74" s="162"/>
      <c r="M74" s="189">
        <f>Master201722[[#This Row],[Design $ (Add/Deduct)]]+Master201722[[#This Row],[Construction $ (Add/Ded)]]</f>
        <v>0</v>
      </c>
      <c r="N74" s="171">
        <v>1500000</v>
      </c>
      <c r="O74" s="150">
        <v>2018</v>
      </c>
      <c r="P74" s="149" t="s">
        <v>688</v>
      </c>
      <c r="Q74" s="150">
        <f t="shared" si="12"/>
        <v>20</v>
      </c>
      <c r="R74" s="151">
        <v>8</v>
      </c>
      <c r="S74" s="148">
        <f t="shared" si="10"/>
        <v>20</v>
      </c>
      <c r="T74" s="151" t="s">
        <v>41</v>
      </c>
      <c r="U74" s="151">
        <f t="shared" si="11"/>
        <v>4</v>
      </c>
      <c r="V74" s="151" t="s">
        <v>30</v>
      </c>
      <c r="W74" s="151">
        <v>0</v>
      </c>
      <c r="X74" s="151">
        <v>0</v>
      </c>
      <c r="Y74" s="151">
        <v>0</v>
      </c>
      <c r="Z74" s="151">
        <v>0</v>
      </c>
      <c r="AA74" s="151">
        <v>0</v>
      </c>
      <c r="AB74" s="151">
        <v>0</v>
      </c>
      <c r="AC74" s="151">
        <v>0</v>
      </c>
      <c r="AD74" s="152" t="s">
        <v>29</v>
      </c>
      <c r="AE74" s="157">
        <f>VLOOKUP(Master201722[[#This Row],[Elevated Priority]],Epriority,2,)</f>
        <v>0</v>
      </c>
      <c r="AF74" s="151">
        <f>IF(Master201722[[#This Row],[Status]]="Active",Master201722[[#This Row],[Status_Score]],IF(C74="","",Q74+G74+S74+U74+AE74-5))</f>
        <v>39</v>
      </c>
      <c r="AG74" s="148"/>
      <c r="AH74" s="148">
        <v>2022</v>
      </c>
      <c r="AI74" s="148">
        <v>2023</v>
      </c>
      <c r="AJ74" s="156"/>
    </row>
    <row r="75" spans="1:36" ht="60" hidden="1" x14ac:dyDescent="0.25">
      <c r="A75" s="198">
        <f t="shared" si="5"/>
        <v>69</v>
      </c>
      <c r="B75" s="149" t="s">
        <v>299</v>
      </c>
      <c r="C75" s="149" t="s">
        <v>300</v>
      </c>
      <c r="D75" s="149" t="s">
        <v>301</v>
      </c>
      <c r="E75" s="149" t="s">
        <v>302</v>
      </c>
      <c r="F75" s="149" t="s">
        <v>29</v>
      </c>
      <c r="G75" s="149">
        <f t="shared" si="9"/>
        <v>0</v>
      </c>
      <c r="H75" s="162"/>
      <c r="I75" s="162"/>
      <c r="J75" s="162">
        <f>Master201722[[#This Row],[Initial Budget]]-Master201722[[#This Row],[Previously Committed Funds]]</f>
        <v>0</v>
      </c>
      <c r="K75" s="162"/>
      <c r="L75" s="162"/>
      <c r="M75" s="189">
        <f>Master201722[[#This Row],[Design $ (Add/Deduct)]]+Master201722[[#This Row],[Construction $ (Add/Ded)]]</f>
        <v>0</v>
      </c>
      <c r="N75" s="162">
        <v>135000</v>
      </c>
      <c r="O75" s="150">
        <v>2018</v>
      </c>
      <c r="P75" s="149" t="s">
        <v>688</v>
      </c>
      <c r="Q75" s="150">
        <f t="shared" si="12"/>
        <v>20</v>
      </c>
      <c r="R75" s="152">
        <v>2</v>
      </c>
      <c r="S75" s="148">
        <f t="shared" si="10"/>
        <v>6</v>
      </c>
      <c r="T75" s="152" t="s">
        <v>41</v>
      </c>
      <c r="U75" s="151">
        <f t="shared" si="11"/>
        <v>4</v>
      </c>
      <c r="V75" s="151" t="s">
        <v>30</v>
      </c>
      <c r="W75" s="151">
        <v>0</v>
      </c>
      <c r="X75" s="151">
        <v>0</v>
      </c>
      <c r="Y75" s="151">
        <v>0</v>
      </c>
      <c r="Z75" s="151">
        <v>0</v>
      </c>
      <c r="AA75" s="151">
        <v>0</v>
      </c>
      <c r="AB75" s="151">
        <v>0</v>
      </c>
      <c r="AC75" s="151">
        <v>0</v>
      </c>
      <c r="AD75" s="152" t="s">
        <v>833</v>
      </c>
      <c r="AE75" s="157">
        <f>VLOOKUP(Master201722[[#This Row],[Elevated Priority]],Epriority,2,)</f>
        <v>15</v>
      </c>
      <c r="AF75" s="151">
        <f>IF(Master201722[[#This Row],[Status]]="Active",Master201722[[#This Row],[Status_Score]],IF(C75="","",Q75+G75+S75+U75+AE75-5))</f>
        <v>40</v>
      </c>
      <c r="AG75" s="148"/>
      <c r="AH75" s="148">
        <v>2022</v>
      </c>
      <c r="AI75" s="148">
        <v>2023</v>
      </c>
      <c r="AJ75" s="156"/>
    </row>
    <row r="76" spans="1:36" ht="30" hidden="1" x14ac:dyDescent="0.25">
      <c r="A76" s="198">
        <f t="shared" si="5"/>
        <v>70</v>
      </c>
      <c r="B76" s="156" t="s">
        <v>94</v>
      </c>
      <c r="C76" s="156" t="s">
        <v>634</v>
      </c>
      <c r="D76" s="156" t="s">
        <v>172</v>
      </c>
      <c r="E76" s="156" t="s">
        <v>635</v>
      </c>
      <c r="F76" s="149" t="s">
        <v>29</v>
      </c>
      <c r="G76" s="149">
        <f t="shared" si="9"/>
        <v>0</v>
      </c>
      <c r="H76" s="162"/>
      <c r="I76" s="162"/>
      <c r="J76" s="162">
        <f>Master201722[[#This Row],[Initial Budget]]-Master201722[[#This Row],[Previously Committed Funds]]</f>
        <v>0</v>
      </c>
      <c r="K76" s="162"/>
      <c r="L76" s="162"/>
      <c r="M76" s="189">
        <f>Master201722[[#This Row],[Design $ (Add/Deduct)]]+Master201722[[#This Row],[Construction $ (Add/Ded)]]</f>
        <v>0</v>
      </c>
      <c r="N76" s="171">
        <v>50000</v>
      </c>
      <c r="O76" s="150">
        <v>2018</v>
      </c>
      <c r="P76" s="149" t="s">
        <v>688</v>
      </c>
      <c r="Q76" s="150">
        <f t="shared" si="12"/>
        <v>20</v>
      </c>
      <c r="R76" s="151">
        <v>12</v>
      </c>
      <c r="S76" s="148">
        <f t="shared" si="10"/>
        <v>22</v>
      </c>
      <c r="T76" s="151" t="s">
        <v>37</v>
      </c>
      <c r="U76" s="151">
        <f t="shared" si="11"/>
        <v>3</v>
      </c>
      <c r="V76" s="151" t="s">
        <v>30</v>
      </c>
      <c r="W76" s="151">
        <v>0</v>
      </c>
      <c r="X76" s="151">
        <v>0</v>
      </c>
      <c r="Y76" s="151">
        <v>0</v>
      </c>
      <c r="Z76" s="151">
        <v>0</v>
      </c>
      <c r="AA76" s="151">
        <v>0</v>
      </c>
      <c r="AB76" s="151">
        <v>0</v>
      </c>
      <c r="AC76" s="151">
        <v>0</v>
      </c>
      <c r="AD76" s="152" t="s">
        <v>29</v>
      </c>
      <c r="AE76" s="157">
        <f>VLOOKUP(Master201722[[#This Row],[Elevated Priority]],Epriority,2,)</f>
        <v>0</v>
      </c>
      <c r="AF76" s="151">
        <f>IF(Master201722[[#This Row],[Status]]="Active",Master201722[[#This Row],[Status_Score]],IF(C76="","",Q76+G76+S76+U76+AE76-5))</f>
        <v>40</v>
      </c>
      <c r="AG76" s="148"/>
      <c r="AH76" s="148">
        <v>2022</v>
      </c>
      <c r="AI76" s="148">
        <v>2023</v>
      </c>
      <c r="AJ76" s="156" t="s">
        <v>936</v>
      </c>
    </row>
    <row r="77" spans="1:36" ht="60" x14ac:dyDescent="0.25">
      <c r="A77" s="198">
        <f t="shared" si="5"/>
        <v>71</v>
      </c>
      <c r="B77" s="149" t="s">
        <v>94</v>
      </c>
      <c r="C77" s="149" t="s">
        <v>952</v>
      </c>
      <c r="D77" s="149" t="s">
        <v>953</v>
      </c>
      <c r="E77" s="149" t="s">
        <v>954</v>
      </c>
      <c r="F77" s="149" t="s">
        <v>29</v>
      </c>
      <c r="G77" s="260">
        <f t="shared" si="9"/>
        <v>0</v>
      </c>
      <c r="H77" s="162"/>
      <c r="I77" s="162"/>
      <c r="J77" s="162">
        <f>Master201722[[#This Row],[Initial Budget]]-Master201722[[#This Row],[Previously Committed Funds]]</f>
        <v>0</v>
      </c>
      <c r="K77" s="162"/>
      <c r="L77" s="162"/>
      <c r="M77" s="189">
        <f>Master201722[[#This Row],[Design $ (Add/Deduct)]]+Master201722[[#This Row],[Construction $ (Add/Ded)]]</f>
        <v>0</v>
      </c>
      <c r="N77" s="171">
        <v>20000000</v>
      </c>
      <c r="O77" s="150">
        <v>2020</v>
      </c>
      <c r="P77" s="149" t="s">
        <v>688</v>
      </c>
      <c r="Q77" s="150">
        <f t="shared" si="12"/>
        <v>20</v>
      </c>
      <c r="R77" s="151">
        <v>5</v>
      </c>
      <c r="S77" s="148">
        <f t="shared" si="10"/>
        <v>15</v>
      </c>
      <c r="T77" s="151" t="s">
        <v>43</v>
      </c>
      <c r="U77" s="151">
        <f t="shared" si="11"/>
        <v>16</v>
      </c>
      <c r="V77" s="151" t="s">
        <v>34</v>
      </c>
      <c r="W77" s="238">
        <v>0</v>
      </c>
      <c r="X77" s="151">
        <v>-1</v>
      </c>
      <c r="Y77" s="151">
        <v>-3</v>
      </c>
      <c r="Z77" s="151">
        <v>-3</v>
      </c>
      <c r="AA77" s="151">
        <v>-2</v>
      </c>
      <c r="AB77" s="151">
        <v>-3</v>
      </c>
      <c r="AC77" s="151">
        <v>0</v>
      </c>
      <c r="AD77" s="152" t="s">
        <v>29</v>
      </c>
      <c r="AE77" s="157">
        <f>VLOOKUP(Master201722[[#This Row],[Elevated Priority]],Epriority,2,)</f>
        <v>0</v>
      </c>
      <c r="AF77" s="237">
        <f>IF(Master201722[[#This Row],[Status]]="Active",Master201722[[#This Row],[Status_Score]],IF(C77="","",Q77+G77+S77+U77+AE77-5))</f>
        <v>46</v>
      </c>
      <c r="AG77" s="235"/>
      <c r="AH77" s="235">
        <v>2021</v>
      </c>
      <c r="AI77" s="235">
        <v>2024</v>
      </c>
      <c r="AJ77" s="243"/>
    </row>
    <row r="78" spans="1:36" ht="30" x14ac:dyDescent="0.25">
      <c r="A78" s="198">
        <f t="shared" si="5"/>
        <v>72</v>
      </c>
      <c r="B78" s="149" t="s">
        <v>67</v>
      </c>
      <c r="C78" s="149" t="s">
        <v>425</v>
      </c>
      <c r="D78" s="149" t="s">
        <v>426</v>
      </c>
      <c r="E78" s="149" t="s">
        <v>427</v>
      </c>
      <c r="F78" s="149" t="s">
        <v>29</v>
      </c>
      <c r="G78" s="149">
        <f t="shared" si="9"/>
        <v>0</v>
      </c>
      <c r="H78" s="162"/>
      <c r="I78" s="162"/>
      <c r="J78" s="162">
        <f>Master201722[[#This Row],[Initial Budget]]-Master201722[[#This Row],[Previously Committed Funds]]</f>
        <v>0</v>
      </c>
      <c r="K78" s="162"/>
      <c r="L78" s="162"/>
      <c r="M78" s="189">
        <f>Master201722[[#This Row],[Design $ (Add/Deduct)]]+Master201722[[#This Row],[Construction $ (Add/Ded)]]</f>
        <v>0</v>
      </c>
      <c r="N78" s="171">
        <v>275000</v>
      </c>
      <c r="O78" s="150">
        <v>2018</v>
      </c>
      <c r="P78" s="149" t="s">
        <v>830</v>
      </c>
      <c r="Q78" s="150">
        <f t="shared" si="12"/>
        <v>10</v>
      </c>
      <c r="R78" s="151">
        <v>2</v>
      </c>
      <c r="S78" s="148">
        <f t="shared" si="10"/>
        <v>6</v>
      </c>
      <c r="T78" s="151" t="s">
        <v>45</v>
      </c>
      <c r="U78" s="151">
        <f t="shared" si="11"/>
        <v>32</v>
      </c>
      <c r="V78" s="151" t="s">
        <v>34</v>
      </c>
      <c r="W78" s="238">
        <v>0</v>
      </c>
      <c r="X78" s="151">
        <v>0</v>
      </c>
      <c r="Y78" s="151">
        <v>0</v>
      </c>
      <c r="Z78" s="151">
        <v>0</v>
      </c>
      <c r="AA78" s="151">
        <v>0</v>
      </c>
      <c r="AB78" s="151">
        <v>0</v>
      </c>
      <c r="AC78" s="151">
        <v>0</v>
      </c>
      <c r="AD78" s="152" t="s">
        <v>29</v>
      </c>
      <c r="AE78" s="157">
        <f>VLOOKUP(Master201722[[#This Row],[Elevated Priority]],Epriority,2,)</f>
        <v>0</v>
      </c>
      <c r="AF78" s="151">
        <f>IF(Master201722[[#This Row],[Status]]="Active",Master201722[[#This Row],[Status_Score]],IF(C78="","",Q78+G78+S78+U78+AE78-5))</f>
        <v>43</v>
      </c>
      <c r="AG78" s="148"/>
      <c r="AH78" s="148">
        <v>2021</v>
      </c>
      <c r="AI78" s="148">
        <v>2022</v>
      </c>
      <c r="AJ78" s="156"/>
    </row>
    <row r="79" spans="1:36" ht="30" hidden="1" x14ac:dyDescent="0.25">
      <c r="A79" s="198">
        <f t="shared" si="5"/>
        <v>73</v>
      </c>
      <c r="B79" s="149" t="s">
        <v>79</v>
      </c>
      <c r="C79" s="149" t="s">
        <v>325</v>
      </c>
      <c r="D79" s="149" t="s">
        <v>326</v>
      </c>
      <c r="E79" s="149" t="s">
        <v>663</v>
      </c>
      <c r="F79" s="149" t="s">
        <v>29</v>
      </c>
      <c r="G79" s="149">
        <f t="shared" ref="G79:G110" si="13">VLOOKUP(F79,Status_Score,2,FALSE)</f>
        <v>0</v>
      </c>
      <c r="H79" s="162"/>
      <c r="I79" s="162"/>
      <c r="J79" s="162">
        <f>Master201722[[#This Row],[Initial Budget]]-Master201722[[#This Row],[Previously Committed Funds]]</f>
        <v>0</v>
      </c>
      <c r="K79" s="162"/>
      <c r="L79" s="162"/>
      <c r="M79" s="189">
        <f>Master201722[[#This Row],[Design $ (Add/Deduct)]]+Master201722[[#This Row],[Construction $ (Add/Ded)]]</f>
        <v>0</v>
      </c>
      <c r="N79" s="171">
        <v>500000</v>
      </c>
      <c r="O79" s="150">
        <v>2018</v>
      </c>
      <c r="P79" s="149" t="s">
        <v>36</v>
      </c>
      <c r="Q79" s="150">
        <f t="shared" si="12"/>
        <v>10</v>
      </c>
      <c r="R79" s="151">
        <v>8</v>
      </c>
      <c r="S79" s="148">
        <f t="shared" si="10"/>
        <v>20</v>
      </c>
      <c r="T79" s="151" t="s">
        <v>43</v>
      </c>
      <c r="U79" s="151">
        <f t="shared" si="11"/>
        <v>16</v>
      </c>
      <c r="V79" s="151" t="s">
        <v>30</v>
      </c>
      <c r="W79" s="151">
        <v>0</v>
      </c>
      <c r="X79" s="151">
        <v>0</v>
      </c>
      <c r="Y79" s="151">
        <v>0</v>
      </c>
      <c r="Z79" s="151">
        <v>0</v>
      </c>
      <c r="AA79" s="151">
        <v>0</v>
      </c>
      <c r="AB79" s="151">
        <v>0</v>
      </c>
      <c r="AC79" s="151">
        <v>0</v>
      </c>
      <c r="AD79" s="152" t="s">
        <v>29</v>
      </c>
      <c r="AE79" s="157">
        <f>VLOOKUP(Master201722[[#This Row],[Elevated Priority]],Epriority,2,)</f>
        <v>0</v>
      </c>
      <c r="AF79" s="151">
        <f>IF(Master201722[[#This Row],[Status]]="Active",Master201722[[#This Row],[Status_Score]],IF(C79="","",Q79+G79+S79+U79+AE79-5))</f>
        <v>41</v>
      </c>
      <c r="AG79" s="151"/>
      <c r="AH79" s="151">
        <v>2022</v>
      </c>
      <c r="AI79" s="151">
        <v>2023</v>
      </c>
      <c r="AJ79" s="149"/>
    </row>
    <row r="80" spans="1:36" ht="30" hidden="1" x14ac:dyDescent="0.25">
      <c r="A80" s="198">
        <f t="shared" ref="A80:A143" si="14">A79+1</f>
        <v>74</v>
      </c>
      <c r="B80" s="149" t="s">
        <v>79</v>
      </c>
      <c r="C80" s="149" t="s">
        <v>245</v>
      </c>
      <c r="D80" s="149" t="s">
        <v>246</v>
      </c>
      <c r="E80" s="149" t="s">
        <v>247</v>
      </c>
      <c r="F80" s="149" t="s">
        <v>29</v>
      </c>
      <c r="G80" s="149">
        <f t="shared" si="13"/>
        <v>0</v>
      </c>
      <c r="H80" s="162"/>
      <c r="I80" s="162"/>
      <c r="J80" s="162">
        <f>Master201722[[#This Row],[Initial Budget]]-Master201722[[#This Row],[Previously Committed Funds]]</f>
        <v>0</v>
      </c>
      <c r="K80" s="162"/>
      <c r="L80" s="162"/>
      <c r="M80" s="189">
        <f>Master201722[[#This Row],[Design $ (Add/Deduct)]]+Master201722[[#This Row],[Construction $ (Add/Ded)]]</f>
        <v>0</v>
      </c>
      <c r="N80" s="171">
        <v>20000</v>
      </c>
      <c r="O80" s="150">
        <v>2018</v>
      </c>
      <c r="P80" s="149" t="s">
        <v>687</v>
      </c>
      <c r="Q80" s="150">
        <f t="shared" si="12"/>
        <v>30</v>
      </c>
      <c r="R80" s="151">
        <v>4</v>
      </c>
      <c r="S80" s="148">
        <f t="shared" si="10"/>
        <v>12</v>
      </c>
      <c r="T80" s="151" t="s">
        <v>41</v>
      </c>
      <c r="U80" s="151">
        <f t="shared" si="11"/>
        <v>4</v>
      </c>
      <c r="V80" s="151" t="s">
        <v>30</v>
      </c>
      <c r="W80" s="151">
        <v>0</v>
      </c>
      <c r="X80" s="151">
        <v>0</v>
      </c>
      <c r="Y80" s="151">
        <v>0</v>
      </c>
      <c r="Z80" s="151">
        <v>0</v>
      </c>
      <c r="AA80" s="151">
        <v>0</v>
      </c>
      <c r="AB80" s="151">
        <v>0</v>
      </c>
      <c r="AC80" s="151">
        <v>0</v>
      </c>
      <c r="AD80" s="152" t="s">
        <v>29</v>
      </c>
      <c r="AE80" s="157">
        <f>VLOOKUP(Master201722[[#This Row],[Elevated Priority]],Epriority,2,)</f>
        <v>0</v>
      </c>
      <c r="AF80" s="151">
        <f>IF(Master201722[[#This Row],[Status]]="Active",Master201722[[#This Row],[Status_Score]],IF(C80="","",Q80+G80+S80+U80+AE80-5))</f>
        <v>41</v>
      </c>
      <c r="AG80" s="148"/>
      <c r="AH80" s="148">
        <v>2022</v>
      </c>
      <c r="AI80" s="148">
        <v>2023</v>
      </c>
      <c r="AJ80" s="156"/>
    </row>
    <row r="81" spans="1:36" hidden="1" x14ac:dyDescent="0.25">
      <c r="A81" s="198">
        <f t="shared" si="14"/>
        <v>75</v>
      </c>
      <c r="B81" s="149" t="s">
        <v>70</v>
      </c>
      <c r="C81" s="149" t="s">
        <v>291</v>
      </c>
      <c r="D81" s="149" t="s">
        <v>893</v>
      </c>
      <c r="E81" s="149" t="s">
        <v>293</v>
      </c>
      <c r="F81" s="149" t="s">
        <v>29</v>
      </c>
      <c r="G81" s="149">
        <f t="shared" si="13"/>
        <v>0</v>
      </c>
      <c r="H81" s="162"/>
      <c r="I81" s="162"/>
      <c r="J81" s="162">
        <f>Master201722[[#This Row],[Initial Budget]]-Master201722[[#This Row],[Previously Committed Funds]]</f>
        <v>0</v>
      </c>
      <c r="K81" s="162"/>
      <c r="L81" s="162"/>
      <c r="M81" s="189">
        <f>Master201722[[#This Row],[Design $ (Add/Deduct)]]+Master201722[[#This Row],[Construction $ (Add/Ded)]]</f>
        <v>0</v>
      </c>
      <c r="N81" s="171">
        <v>5000</v>
      </c>
      <c r="O81" s="150">
        <v>2018</v>
      </c>
      <c r="P81" s="149" t="s">
        <v>687</v>
      </c>
      <c r="Q81" s="150">
        <f t="shared" si="12"/>
        <v>30</v>
      </c>
      <c r="R81" s="151">
        <v>4</v>
      </c>
      <c r="S81" s="148">
        <f t="shared" si="10"/>
        <v>12</v>
      </c>
      <c r="T81" s="151" t="s">
        <v>41</v>
      </c>
      <c r="U81" s="151">
        <f t="shared" si="11"/>
        <v>4</v>
      </c>
      <c r="V81" s="151" t="s">
        <v>30</v>
      </c>
      <c r="W81" s="151">
        <v>0</v>
      </c>
      <c r="X81" s="151">
        <v>0</v>
      </c>
      <c r="Y81" s="151">
        <v>0</v>
      </c>
      <c r="Z81" s="151">
        <v>0</v>
      </c>
      <c r="AA81" s="151">
        <v>0</v>
      </c>
      <c r="AB81" s="151">
        <v>0</v>
      </c>
      <c r="AC81" s="151">
        <v>0</v>
      </c>
      <c r="AD81" s="152" t="s">
        <v>29</v>
      </c>
      <c r="AE81" s="157">
        <f>VLOOKUP(Master201722[[#This Row],[Elevated Priority]],Epriority,2,)</f>
        <v>0</v>
      </c>
      <c r="AF81" s="151">
        <f>IF(Master201722[[#This Row],[Status]]="Active",Master201722[[#This Row],[Status_Score]],IF(C81="","",Q81+G81+S81+U81+AE81-5))</f>
        <v>41</v>
      </c>
      <c r="AG81" s="148"/>
      <c r="AH81" s="148">
        <v>2022</v>
      </c>
      <c r="AI81" s="148">
        <v>2023</v>
      </c>
      <c r="AJ81" s="156"/>
    </row>
    <row r="82" spans="1:36" ht="75" x14ac:dyDescent="0.25">
      <c r="A82" s="198">
        <f t="shared" si="14"/>
        <v>76</v>
      </c>
      <c r="B82" s="146" t="s">
        <v>143</v>
      </c>
      <c r="C82" s="149" t="s">
        <v>767</v>
      </c>
      <c r="D82" s="149" t="s">
        <v>768</v>
      </c>
      <c r="E82" s="149" t="s">
        <v>769</v>
      </c>
      <c r="F82" s="149" t="s">
        <v>29</v>
      </c>
      <c r="G82" s="149">
        <f t="shared" si="13"/>
        <v>0</v>
      </c>
      <c r="H82" s="162"/>
      <c r="I82" s="162"/>
      <c r="J82" s="162">
        <f>Master201722[[#This Row],[Initial Budget]]-Master201722[[#This Row],[Previously Committed Funds]]</f>
        <v>0</v>
      </c>
      <c r="K82" s="162"/>
      <c r="L82" s="162"/>
      <c r="M82" s="189">
        <f>Master201722[[#This Row],[Design $ (Add/Deduct)]]+Master201722[[#This Row],[Construction $ (Add/Ded)]]</f>
        <v>0</v>
      </c>
      <c r="N82" s="246">
        <v>25000</v>
      </c>
      <c r="O82" s="244">
        <v>2020</v>
      </c>
      <c r="P82" s="243" t="s">
        <v>686</v>
      </c>
      <c r="Q82" s="150">
        <f t="shared" si="12"/>
        <v>60</v>
      </c>
      <c r="R82" s="235">
        <v>2</v>
      </c>
      <c r="S82" s="148">
        <f t="shared" si="10"/>
        <v>6</v>
      </c>
      <c r="T82" s="235" t="s">
        <v>37</v>
      </c>
      <c r="U82" s="151">
        <f t="shared" si="11"/>
        <v>3</v>
      </c>
      <c r="V82" s="235" t="s">
        <v>34</v>
      </c>
      <c r="W82" s="265">
        <v>0</v>
      </c>
      <c r="X82" s="151">
        <v>0</v>
      </c>
      <c r="Y82" s="151">
        <v>-3</v>
      </c>
      <c r="Z82" s="151">
        <v>0</v>
      </c>
      <c r="AA82" s="151">
        <v>-2</v>
      </c>
      <c r="AB82" s="151">
        <v>0</v>
      </c>
      <c r="AC82" s="151">
        <v>0</v>
      </c>
      <c r="AD82" s="245" t="s">
        <v>29</v>
      </c>
      <c r="AE82" s="157">
        <f>VLOOKUP(Master201722[[#This Row],[Elevated Priority]],Epriority,2,)</f>
        <v>0</v>
      </c>
      <c r="AF82" s="151">
        <f>IF(Master201722[[#This Row],[Status]]="Active",Master201722[[#This Row],[Status_Score]],IF(C82="","",Q82+G82+S82+U82+AE82-5))</f>
        <v>64</v>
      </c>
      <c r="AG82" s="148"/>
      <c r="AH82" s="148">
        <v>2020</v>
      </c>
      <c r="AI82" s="148">
        <v>2021</v>
      </c>
      <c r="AJ82" s="156"/>
    </row>
    <row r="83" spans="1:36" ht="30" hidden="1" x14ac:dyDescent="0.25">
      <c r="A83" s="198">
        <f t="shared" si="14"/>
        <v>77</v>
      </c>
      <c r="B83" s="149" t="s">
        <v>94</v>
      </c>
      <c r="C83" s="149" t="s">
        <v>897</v>
      </c>
      <c r="D83" s="149" t="s">
        <v>608</v>
      </c>
      <c r="E83" s="149" t="s">
        <v>879</v>
      </c>
      <c r="F83" s="149" t="s">
        <v>29</v>
      </c>
      <c r="G83" s="149">
        <f t="shared" si="13"/>
        <v>0</v>
      </c>
      <c r="H83" s="162"/>
      <c r="I83" s="162"/>
      <c r="J83" s="162">
        <f>Master201722[[#This Row],[Initial Budget]]-Master201722[[#This Row],[Previously Committed Funds]]</f>
        <v>0</v>
      </c>
      <c r="K83" s="162"/>
      <c r="L83" s="162"/>
      <c r="M83" s="189">
        <f>Master201722[[#This Row],[Design $ (Add/Deduct)]]+Master201722[[#This Row],[Construction $ (Add/Ded)]]</f>
        <v>0</v>
      </c>
      <c r="N83" s="171">
        <v>250000</v>
      </c>
      <c r="O83" s="152">
        <v>2019</v>
      </c>
      <c r="P83" s="149" t="s">
        <v>688</v>
      </c>
      <c r="Q83" s="150">
        <f t="shared" si="12"/>
        <v>20</v>
      </c>
      <c r="R83" s="150">
        <v>22</v>
      </c>
      <c r="S83" s="148">
        <f t="shared" si="10"/>
        <v>27</v>
      </c>
      <c r="T83" s="150" t="s">
        <v>33</v>
      </c>
      <c r="U83" s="151">
        <f t="shared" si="11"/>
        <v>1</v>
      </c>
      <c r="V83" s="150" t="s">
        <v>30</v>
      </c>
      <c r="W83" s="151">
        <v>0</v>
      </c>
      <c r="X83" s="151">
        <v>0</v>
      </c>
      <c r="Y83" s="151">
        <v>0</v>
      </c>
      <c r="Z83" s="151">
        <v>0</v>
      </c>
      <c r="AA83" s="151">
        <v>0</v>
      </c>
      <c r="AB83" s="151">
        <v>0</v>
      </c>
      <c r="AC83" s="151">
        <v>0</v>
      </c>
      <c r="AD83" s="150" t="s">
        <v>29</v>
      </c>
      <c r="AE83" s="157">
        <f>VLOOKUP(Master201722[[#This Row],[Elevated Priority]],Epriority,2,)</f>
        <v>0</v>
      </c>
      <c r="AF83" s="151">
        <f>IF(Master201722[[#This Row],[Status]]="Active",Master201722[[#This Row],[Status_Score]],IF(C83="","",Q83+G83+S83+U83+AE83-5))</f>
        <v>43</v>
      </c>
      <c r="AG83" s="151"/>
      <c r="AH83" s="151">
        <v>2022</v>
      </c>
      <c r="AI83" s="151">
        <v>2022</v>
      </c>
      <c r="AJ83" s="156"/>
    </row>
    <row r="84" spans="1:36" ht="30" hidden="1" x14ac:dyDescent="0.25">
      <c r="A84" s="198">
        <f t="shared" si="14"/>
        <v>78</v>
      </c>
      <c r="B84" s="149" t="s">
        <v>79</v>
      </c>
      <c r="C84" s="149" t="s">
        <v>981</v>
      </c>
      <c r="D84" s="149" t="s">
        <v>471</v>
      </c>
      <c r="E84" s="149" t="s">
        <v>472</v>
      </c>
      <c r="F84" s="149" t="s">
        <v>29</v>
      </c>
      <c r="G84" s="149">
        <f t="shared" si="13"/>
        <v>0</v>
      </c>
      <c r="H84" s="162"/>
      <c r="I84" s="162"/>
      <c r="J84" s="162">
        <f>Master201722[[#This Row],[Initial Budget]]-Master201722[[#This Row],[Previously Committed Funds]]</f>
        <v>0</v>
      </c>
      <c r="K84" s="162"/>
      <c r="L84" s="162"/>
      <c r="M84" s="189">
        <f>Master201722[[#This Row],[Design $ (Add/Deduct)]]+Master201722[[#This Row],[Construction $ (Add/Ded)]]</f>
        <v>0</v>
      </c>
      <c r="N84" s="171">
        <v>150000</v>
      </c>
      <c r="O84" s="150">
        <v>2018</v>
      </c>
      <c r="P84" s="149" t="s">
        <v>36</v>
      </c>
      <c r="Q84" s="150">
        <f t="shared" si="12"/>
        <v>10</v>
      </c>
      <c r="R84" s="151">
        <v>12</v>
      </c>
      <c r="S84" s="148">
        <f t="shared" si="10"/>
        <v>22</v>
      </c>
      <c r="T84" s="151" t="s">
        <v>43</v>
      </c>
      <c r="U84" s="151">
        <f t="shared" si="11"/>
        <v>16</v>
      </c>
      <c r="V84" s="151" t="s">
        <v>30</v>
      </c>
      <c r="W84" s="151">
        <v>0</v>
      </c>
      <c r="X84" s="151">
        <v>0</v>
      </c>
      <c r="Y84" s="151">
        <v>0</v>
      </c>
      <c r="Z84" s="151">
        <v>0</v>
      </c>
      <c r="AA84" s="151">
        <v>0</v>
      </c>
      <c r="AB84" s="151">
        <v>0</v>
      </c>
      <c r="AC84" s="151">
        <v>0</v>
      </c>
      <c r="AD84" s="152" t="s">
        <v>29</v>
      </c>
      <c r="AE84" s="157">
        <f>VLOOKUP(Master201722[[#This Row],[Elevated Priority]],Epriority,2,)</f>
        <v>0</v>
      </c>
      <c r="AF84" s="151">
        <f>IF(Master201722[[#This Row],[Status]]="Active",Master201722[[#This Row],[Status_Score]],IF(C84="","",Q84+G84+S84+U84+AE84-5))</f>
        <v>43</v>
      </c>
      <c r="AG84" s="148"/>
      <c r="AH84" s="148">
        <v>2020</v>
      </c>
      <c r="AI84" s="148">
        <v>2021</v>
      </c>
      <c r="AJ84" s="156"/>
    </row>
    <row r="85" spans="1:36" ht="45" hidden="1" x14ac:dyDescent="0.25">
      <c r="A85" s="198">
        <f t="shared" si="14"/>
        <v>79</v>
      </c>
      <c r="B85" s="149" t="s">
        <v>61</v>
      </c>
      <c r="C85" s="149" t="s">
        <v>895</v>
      </c>
      <c r="D85" s="149" t="s">
        <v>896</v>
      </c>
      <c r="E85" s="149" t="s">
        <v>371</v>
      </c>
      <c r="F85" s="149" t="s">
        <v>29</v>
      </c>
      <c r="G85" s="149">
        <f t="shared" si="13"/>
        <v>0</v>
      </c>
      <c r="H85" s="162"/>
      <c r="I85" s="162"/>
      <c r="J85" s="162">
        <f>Master201722[[#This Row],[Initial Budget]]-Master201722[[#This Row],[Previously Committed Funds]]</f>
        <v>0</v>
      </c>
      <c r="K85" s="162"/>
      <c r="L85" s="162"/>
      <c r="M85" s="189">
        <f>Master201722[[#This Row],[Design $ (Add/Deduct)]]+Master201722[[#This Row],[Construction $ (Add/Ded)]]</f>
        <v>0</v>
      </c>
      <c r="N85" s="171">
        <v>250000</v>
      </c>
      <c r="O85" s="150">
        <v>2018</v>
      </c>
      <c r="P85" s="149" t="s">
        <v>687</v>
      </c>
      <c r="Q85" s="150">
        <f t="shared" si="12"/>
        <v>30</v>
      </c>
      <c r="R85" s="151">
        <v>1</v>
      </c>
      <c r="S85" s="148">
        <f t="shared" ref="S85:S116" si="15">VLOOKUP(R85,Department,2,FALSE)</f>
        <v>3</v>
      </c>
      <c r="T85" s="151" t="s">
        <v>43</v>
      </c>
      <c r="U85" s="151">
        <f t="shared" ref="U85:U98" si="16">VLOOKUP(T85,Urgency,2,FALSE)</f>
        <v>16</v>
      </c>
      <c r="V85" s="151" t="s">
        <v>30</v>
      </c>
      <c r="W85" s="151">
        <v>0</v>
      </c>
      <c r="X85" s="151">
        <v>0</v>
      </c>
      <c r="Y85" s="151">
        <v>0</v>
      </c>
      <c r="Z85" s="151">
        <v>0</v>
      </c>
      <c r="AA85" s="151">
        <v>0</v>
      </c>
      <c r="AB85" s="151">
        <v>0</v>
      </c>
      <c r="AC85" s="151">
        <v>0</v>
      </c>
      <c r="AD85" s="152" t="s">
        <v>29</v>
      </c>
      <c r="AE85" s="157">
        <f>VLOOKUP(Master201722[[#This Row],[Elevated Priority]],Epriority,2,)</f>
        <v>0</v>
      </c>
      <c r="AF85" s="151">
        <f>IF(Master201722[[#This Row],[Status]]="Active",Master201722[[#This Row],[Status_Score]],IF(C85="","",Q85+G85+S85+U85+AE85-5))</f>
        <v>44</v>
      </c>
      <c r="AG85" s="151"/>
      <c r="AH85" s="151">
        <v>2023</v>
      </c>
      <c r="AI85" s="151">
        <v>2024</v>
      </c>
      <c r="AJ85" s="156"/>
    </row>
    <row r="86" spans="1:36" ht="30" x14ac:dyDescent="0.25">
      <c r="A86" s="198">
        <f t="shared" si="14"/>
        <v>80</v>
      </c>
      <c r="B86" s="149" t="s">
        <v>72</v>
      </c>
      <c r="C86" s="149" t="s">
        <v>336</v>
      </c>
      <c r="D86" s="149" t="s">
        <v>824</v>
      </c>
      <c r="E86" s="149" t="s">
        <v>338</v>
      </c>
      <c r="F86" s="149" t="s">
        <v>29</v>
      </c>
      <c r="G86" s="236">
        <f t="shared" si="13"/>
        <v>0</v>
      </c>
      <c r="H86" s="162"/>
      <c r="I86" s="162"/>
      <c r="J86" s="162">
        <f>Master201722[[#This Row],[Initial Budget]]-Master201722[[#This Row],[Previously Committed Funds]]</f>
        <v>0</v>
      </c>
      <c r="K86" s="162"/>
      <c r="L86" s="162"/>
      <c r="M86" s="189">
        <f>Master201722[[#This Row],[Design $ (Add/Deduct)]]+Master201722[[#This Row],[Construction $ (Add/Ded)]]</f>
        <v>0</v>
      </c>
      <c r="N86" s="171">
        <v>2500000</v>
      </c>
      <c r="O86" s="150">
        <v>2018</v>
      </c>
      <c r="P86" s="149" t="s">
        <v>686</v>
      </c>
      <c r="Q86" s="150">
        <f t="shared" si="12"/>
        <v>60</v>
      </c>
      <c r="R86" s="151">
        <v>1</v>
      </c>
      <c r="S86" s="148">
        <f t="shared" si="15"/>
        <v>3</v>
      </c>
      <c r="T86" s="151" t="s">
        <v>37</v>
      </c>
      <c r="U86" s="151">
        <f t="shared" si="16"/>
        <v>3</v>
      </c>
      <c r="V86" s="151" t="s">
        <v>34</v>
      </c>
      <c r="W86" s="265">
        <v>0</v>
      </c>
      <c r="X86" s="151">
        <v>0</v>
      </c>
      <c r="Y86" s="151">
        <v>0</v>
      </c>
      <c r="Z86" s="151">
        <v>0</v>
      </c>
      <c r="AA86" s="151">
        <v>0</v>
      </c>
      <c r="AB86" s="151">
        <v>0</v>
      </c>
      <c r="AC86" s="151">
        <v>-2</v>
      </c>
      <c r="AD86" s="152" t="s">
        <v>29</v>
      </c>
      <c r="AE86" s="157">
        <f>VLOOKUP(Master201722[[#This Row],[Elevated Priority]],Epriority,2,)</f>
        <v>0</v>
      </c>
      <c r="AF86" s="238">
        <f>IF(Master201722[[#This Row],[Status]]="Active",Master201722[[#This Row],[Status_Score]],IF(C86="","",Q86+G86+S86+U86+AE86-5))</f>
        <v>61</v>
      </c>
      <c r="AG86" s="148"/>
      <c r="AH86" s="148">
        <v>2023</v>
      </c>
      <c r="AI86" s="148">
        <v>2024</v>
      </c>
      <c r="AJ86" s="156"/>
    </row>
    <row r="87" spans="1:36" ht="45" hidden="1" x14ac:dyDescent="0.25">
      <c r="A87" s="198">
        <f t="shared" si="14"/>
        <v>81</v>
      </c>
      <c r="B87" s="149" t="s">
        <v>65</v>
      </c>
      <c r="C87" s="149" t="s">
        <v>966</v>
      </c>
      <c r="D87" s="149" t="s">
        <v>967</v>
      </c>
      <c r="E87" s="149" t="s">
        <v>968</v>
      </c>
      <c r="F87" s="149" t="s">
        <v>29</v>
      </c>
      <c r="G87" s="174">
        <f t="shared" si="13"/>
        <v>0</v>
      </c>
      <c r="H87" s="162"/>
      <c r="I87" s="162"/>
      <c r="J87" s="162">
        <f>Master201722[[#This Row],[Initial Budget]]-Master201722[[#This Row],[Previously Committed Funds]]</f>
        <v>0</v>
      </c>
      <c r="K87" s="162"/>
      <c r="L87" s="162"/>
      <c r="M87" s="189">
        <f>Master201722[[#This Row],[Design $ (Add/Deduct)]]+Master201722[[#This Row],[Construction $ (Add/Ded)]]</f>
        <v>0</v>
      </c>
      <c r="N87" s="221">
        <v>350000</v>
      </c>
      <c r="O87" s="150">
        <v>2020</v>
      </c>
      <c r="P87" s="149" t="s">
        <v>688</v>
      </c>
      <c r="Q87" s="150">
        <f t="shared" si="12"/>
        <v>20</v>
      </c>
      <c r="R87" s="151">
        <v>5</v>
      </c>
      <c r="S87" s="148">
        <f t="shared" si="15"/>
        <v>15</v>
      </c>
      <c r="T87" s="152" t="s">
        <v>43</v>
      </c>
      <c r="U87" s="151">
        <f t="shared" si="16"/>
        <v>16</v>
      </c>
      <c r="V87" s="151" t="s">
        <v>30</v>
      </c>
      <c r="W87" s="151">
        <v>0</v>
      </c>
      <c r="X87" s="151">
        <v>0</v>
      </c>
      <c r="Y87" s="151">
        <v>0</v>
      </c>
      <c r="Z87" s="151">
        <v>0</v>
      </c>
      <c r="AA87" s="151">
        <v>0</v>
      </c>
      <c r="AB87" s="151">
        <v>0</v>
      </c>
      <c r="AC87" s="151">
        <v>0</v>
      </c>
      <c r="AD87" s="158" t="s">
        <v>29</v>
      </c>
      <c r="AE87" s="157">
        <f>VLOOKUP(Master201722[[#This Row],[Elevated Priority]],Epriority,2,)</f>
        <v>0</v>
      </c>
      <c r="AF87" s="150">
        <f>IF(Master201722[[#This Row],[Status]]="Active",Master201722[[#This Row],[Status_Score]],IF(C87="","",Q87+G87+S87+U87+AE87-5))</f>
        <v>46</v>
      </c>
      <c r="AG87" s="148"/>
      <c r="AH87" s="148"/>
      <c r="AI87" s="148"/>
      <c r="AJ87" s="156"/>
    </row>
    <row r="88" spans="1:36" ht="60" hidden="1" x14ac:dyDescent="0.25">
      <c r="A88" s="198">
        <f t="shared" si="14"/>
        <v>82</v>
      </c>
      <c r="B88" s="149" t="s">
        <v>67</v>
      </c>
      <c r="C88" s="149" t="s">
        <v>434</v>
      </c>
      <c r="D88" s="149" t="s">
        <v>435</v>
      </c>
      <c r="E88" s="149" t="s">
        <v>436</v>
      </c>
      <c r="F88" s="149" t="s">
        <v>29</v>
      </c>
      <c r="G88" s="149">
        <f t="shared" si="13"/>
        <v>0</v>
      </c>
      <c r="H88" s="162"/>
      <c r="I88" s="162"/>
      <c r="J88" s="162">
        <f>Master201722[[#This Row],[Initial Budget]]-Master201722[[#This Row],[Previously Committed Funds]]</f>
        <v>0</v>
      </c>
      <c r="K88" s="162"/>
      <c r="L88" s="162"/>
      <c r="M88" s="189">
        <f>Master201722[[#This Row],[Design $ (Add/Deduct)]]+Master201722[[#This Row],[Construction $ (Add/Ded)]]</f>
        <v>0</v>
      </c>
      <c r="N88" s="171">
        <v>65000</v>
      </c>
      <c r="O88" s="150">
        <v>2018</v>
      </c>
      <c r="P88" s="149" t="s">
        <v>687</v>
      </c>
      <c r="Q88" s="150">
        <f t="shared" ref="Q88:Q119" si="17">VLOOKUP(P88,Importance,2,FALSE)</f>
        <v>30</v>
      </c>
      <c r="R88" s="151">
        <v>2</v>
      </c>
      <c r="S88" s="148">
        <f t="shared" si="15"/>
        <v>6</v>
      </c>
      <c r="T88" s="151" t="s">
        <v>43</v>
      </c>
      <c r="U88" s="151">
        <f t="shared" si="16"/>
        <v>16</v>
      </c>
      <c r="V88" s="151" t="s">
        <v>30</v>
      </c>
      <c r="W88" s="151">
        <v>0</v>
      </c>
      <c r="X88" s="151">
        <v>0</v>
      </c>
      <c r="Y88" s="151">
        <v>0</v>
      </c>
      <c r="Z88" s="151">
        <v>0</v>
      </c>
      <c r="AA88" s="151">
        <v>0</v>
      </c>
      <c r="AB88" s="151">
        <v>0</v>
      </c>
      <c r="AC88" s="151">
        <v>0</v>
      </c>
      <c r="AD88" s="152" t="s">
        <v>29</v>
      </c>
      <c r="AE88" s="157">
        <f>VLOOKUP(Master201722[[#This Row],[Elevated Priority]],Epriority,2,)</f>
        <v>0</v>
      </c>
      <c r="AF88" s="151">
        <f>IF(Master201722[[#This Row],[Status]]="Active",Master201722[[#This Row],[Status_Score]],IF(C88="","",Q88+G88+S88+U88+AE88-5))</f>
        <v>47</v>
      </c>
      <c r="AG88" s="148"/>
      <c r="AH88" s="148"/>
      <c r="AI88" s="148"/>
      <c r="AJ88" s="156"/>
    </row>
    <row r="89" spans="1:36" ht="255" x14ac:dyDescent="0.25">
      <c r="A89" s="198">
        <f t="shared" si="14"/>
        <v>83</v>
      </c>
      <c r="B89" s="149" t="s">
        <v>73</v>
      </c>
      <c r="C89" s="149" t="s">
        <v>547</v>
      </c>
      <c r="D89" s="149" t="s">
        <v>548</v>
      </c>
      <c r="E89" s="149" t="s">
        <v>549</v>
      </c>
      <c r="F89" s="149" t="s">
        <v>29</v>
      </c>
      <c r="G89" s="149">
        <f t="shared" si="13"/>
        <v>0</v>
      </c>
      <c r="H89" s="162"/>
      <c r="I89" s="162"/>
      <c r="J89" s="162">
        <f>Master201722[[#This Row],[Initial Budget]]-Master201722[[#This Row],[Previously Committed Funds]]</f>
        <v>0</v>
      </c>
      <c r="K89" s="162"/>
      <c r="L89" s="162"/>
      <c r="M89" s="189">
        <f>Master201722[[#This Row],[Design $ (Add/Deduct)]]+Master201722[[#This Row],[Construction $ (Add/Ded)]]</f>
        <v>0</v>
      </c>
      <c r="N89" s="171">
        <v>65000</v>
      </c>
      <c r="O89" s="150">
        <v>2018</v>
      </c>
      <c r="P89" s="149" t="s">
        <v>686</v>
      </c>
      <c r="Q89" s="150">
        <f t="shared" si="17"/>
        <v>60</v>
      </c>
      <c r="R89" s="151">
        <v>2</v>
      </c>
      <c r="S89" s="148">
        <f t="shared" si="15"/>
        <v>6</v>
      </c>
      <c r="T89" s="151" t="s">
        <v>41</v>
      </c>
      <c r="U89" s="151">
        <f t="shared" si="16"/>
        <v>4</v>
      </c>
      <c r="V89" s="151" t="s">
        <v>34</v>
      </c>
      <c r="W89" s="265">
        <v>0</v>
      </c>
      <c r="X89" s="151">
        <v>-5</v>
      </c>
      <c r="Y89" s="151">
        <v>0</v>
      </c>
      <c r="Z89" s="151">
        <v>0</v>
      </c>
      <c r="AA89" s="151">
        <v>0</v>
      </c>
      <c r="AB89" s="151">
        <v>0</v>
      </c>
      <c r="AC89" s="151">
        <v>0</v>
      </c>
      <c r="AD89" s="152" t="s">
        <v>29</v>
      </c>
      <c r="AE89" s="157">
        <f>VLOOKUP(Master201722[[#This Row],[Elevated Priority]],Epriority,2,)</f>
        <v>0</v>
      </c>
      <c r="AF89" s="151">
        <f>IF(Master201722[[#This Row],[Status]]="Active",Master201722[[#This Row],[Status_Score]],IF(C89="","",Q89+G89+S89+U89+AE89-5))</f>
        <v>65</v>
      </c>
      <c r="AG89" s="148"/>
      <c r="AH89" s="148">
        <v>2021</v>
      </c>
      <c r="AI89" s="148">
        <v>2021</v>
      </c>
      <c r="AJ89" s="156"/>
    </row>
    <row r="90" spans="1:36" hidden="1" x14ac:dyDescent="0.25">
      <c r="A90" s="198">
        <f t="shared" si="14"/>
        <v>84</v>
      </c>
      <c r="B90" s="149" t="s">
        <v>94</v>
      </c>
      <c r="C90" s="149" t="s">
        <v>610</v>
      </c>
      <c r="D90" s="149"/>
      <c r="E90" s="149" t="s">
        <v>879</v>
      </c>
      <c r="F90" s="149" t="s">
        <v>29</v>
      </c>
      <c r="G90" s="149">
        <f t="shared" si="13"/>
        <v>0</v>
      </c>
      <c r="H90" s="162"/>
      <c r="I90" s="162"/>
      <c r="J90" s="162">
        <f>Master201722[[#This Row],[Initial Budget]]-Master201722[[#This Row],[Previously Committed Funds]]</f>
        <v>0</v>
      </c>
      <c r="K90" s="162"/>
      <c r="L90" s="162"/>
      <c r="M90" s="189">
        <f>Master201722[[#This Row],[Design $ (Add/Deduct)]]+Master201722[[#This Row],[Construction $ (Add/Ded)]]</f>
        <v>0</v>
      </c>
      <c r="N90" s="171">
        <v>20000</v>
      </c>
      <c r="O90" s="152">
        <v>2019</v>
      </c>
      <c r="P90" s="149" t="s">
        <v>688</v>
      </c>
      <c r="Q90" s="150">
        <f t="shared" si="17"/>
        <v>20</v>
      </c>
      <c r="R90" s="151">
        <v>26</v>
      </c>
      <c r="S90" s="148">
        <f t="shared" si="15"/>
        <v>29</v>
      </c>
      <c r="T90" s="151" t="s">
        <v>41</v>
      </c>
      <c r="U90" s="151">
        <f t="shared" si="16"/>
        <v>4</v>
      </c>
      <c r="V90" s="151" t="s">
        <v>30</v>
      </c>
      <c r="W90" s="151">
        <v>0</v>
      </c>
      <c r="X90" s="151">
        <v>0</v>
      </c>
      <c r="Y90" s="151">
        <v>0</v>
      </c>
      <c r="Z90" s="151">
        <v>0</v>
      </c>
      <c r="AA90" s="151">
        <v>0</v>
      </c>
      <c r="AB90" s="151">
        <v>0</v>
      </c>
      <c r="AC90" s="151">
        <v>0</v>
      </c>
      <c r="AD90" s="152" t="s">
        <v>29</v>
      </c>
      <c r="AE90" s="157">
        <f>VLOOKUP(Master201722[[#This Row],[Elevated Priority]],Epriority,2,)</f>
        <v>0</v>
      </c>
      <c r="AF90" s="151">
        <f>IF(Master201722[[#This Row],[Status]]="Active",Master201722[[#This Row],[Status_Score]],IF(C90="","",Q90+G90+S90+U90+AE90-5))</f>
        <v>48</v>
      </c>
      <c r="AG90" s="151"/>
      <c r="AH90" s="151"/>
      <c r="AI90" s="151"/>
      <c r="AJ90" s="156"/>
    </row>
    <row r="91" spans="1:36" ht="30" hidden="1" x14ac:dyDescent="0.25">
      <c r="A91" s="198">
        <f t="shared" si="14"/>
        <v>85</v>
      </c>
      <c r="B91" s="149" t="s">
        <v>94</v>
      </c>
      <c r="C91" s="149" t="s">
        <v>235</v>
      </c>
      <c r="D91" s="149" t="s">
        <v>236</v>
      </c>
      <c r="E91" s="149" t="s">
        <v>879</v>
      </c>
      <c r="F91" s="149" t="s">
        <v>29</v>
      </c>
      <c r="G91" s="149">
        <f t="shared" si="13"/>
        <v>0</v>
      </c>
      <c r="H91" s="162"/>
      <c r="I91" s="162"/>
      <c r="J91" s="162">
        <f>Master201722[[#This Row],[Initial Budget]]-Master201722[[#This Row],[Previously Committed Funds]]</f>
        <v>0</v>
      </c>
      <c r="K91" s="162"/>
      <c r="L91" s="162"/>
      <c r="M91" s="189">
        <f>Master201722[[#This Row],[Design $ (Add/Deduct)]]+Master201722[[#This Row],[Construction $ (Add/Ded)]]</f>
        <v>0</v>
      </c>
      <c r="N91" s="171">
        <v>150000</v>
      </c>
      <c r="O91" s="150">
        <v>2018</v>
      </c>
      <c r="P91" s="149" t="s">
        <v>688</v>
      </c>
      <c r="Q91" s="150">
        <f t="shared" si="17"/>
        <v>20</v>
      </c>
      <c r="R91" s="151">
        <v>25</v>
      </c>
      <c r="S91" s="148">
        <f t="shared" si="15"/>
        <v>29</v>
      </c>
      <c r="T91" s="151" t="s">
        <v>41</v>
      </c>
      <c r="U91" s="151">
        <f t="shared" si="16"/>
        <v>4</v>
      </c>
      <c r="V91" s="151" t="s">
        <v>30</v>
      </c>
      <c r="W91" s="151">
        <v>0</v>
      </c>
      <c r="X91" s="151">
        <v>0</v>
      </c>
      <c r="Y91" s="151">
        <v>0</v>
      </c>
      <c r="Z91" s="151">
        <v>0</v>
      </c>
      <c r="AA91" s="151">
        <v>0</v>
      </c>
      <c r="AB91" s="151">
        <v>0</v>
      </c>
      <c r="AC91" s="151">
        <v>0</v>
      </c>
      <c r="AD91" s="152" t="s">
        <v>29</v>
      </c>
      <c r="AE91" s="157">
        <f>VLOOKUP(Master201722[[#This Row],[Elevated Priority]],Epriority,2,)</f>
        <v>0</v>
      </c>
      <c r="AF91" s="151">
        <f>IF(Master201722[[#This Row],[Status]]="Active",Master201722[[#This Row],[Status_Score]],IF(C91="","",Q91+G91+S91+U91+AE91-5))</f>
        <v>48</v>
      </c>
      <c r="AG91" s="151"/>
      <c r="AH91" s="151">
        <v>2021</v>
      </c>
      <c r="AI91" s="151">
        <v>2022</v>
      </c>
      <c r="AJ91" s="156"/>
    </row>
    <row r="92" spans="1:36" ht="180" x14ac:dyDescent="0.25">
      <c r="A92" s="198">
        <f t="shared" si="14"/>
        <v>86</v>
      </c>
      <c r="B92" s="236" t="s">
        <v>73</v>
      </c>
      <c r="C92" s="149" t="s">
        <v>825</v>
      </c>
      <c r="D92" s="149" t="s">
        <v>196</v>
      </c>
      <c r="E92" s="149" t="s">
        <v>826</v>
      </c>
      <c r="F92" s="149" t="s">
        <v>29</v>
      </c>
      <c r="G92" s="149">
        <f t="shared" si="13"/>
        <v>0</v>
      </c>
      <c r="H92" s="162"/>
      <c r="I92" s="162"/>
      <c r="J92" s="162">
        <f>Master201722[[#This Row],[Initial Budget]]-Master201722[[#This Row],[Previously Committed Funds]]</f>
        <v>0</v>
      </c>
      <c r="K92" s="162"/>
      <c r="L92" s="162"/>
      <c r="M92" s="189">
        <f>Master201722[[#This Row],[Design $ (Add/Deduct)]]+Master201722[[#This Row],[Construction $ (Add/Ded)]]</f>
        <v>0</v>
      </c>
      <c r="N92" s="256">
        <v>25000</v>
      </c>
      <c r="O92" s="237">
        <v>2018</v>
      </c>
      <c r="P92" s="236" t="s">
        <v>686</v>
      </c>
      <c r="Q92" s="150">
        <f t="shared" si="17"/>
        <v>60</v>
      </c>
      <c r="R92" s="238">
        <v>1</v>
      </c>
      <c r="S92" s="148">
        <f t="shared" si="15"/>
        <v>3</v>
      </c>
      <c r="T92" s="238" t="s">
        <v>37</v>
      </c>
      <c r="U92" s="151">
        <f t="shared" si="16"/>
        <v>3</v>
      </c>
      <c r="V92" s="238" t="s">
        <v>34</v>
      </c>
      <c r="W92" s="185">
        <v>0</v>
      </c>
      <c r="X92" s="151">
        <v>0</v>
      </c>
      <c r="Y92" s="151">
        <v>0</v>
      </c>
      <c r="Z92" s="151">
        <v>0</v>
      </c>
      <c r="AA92" s="151">
        <v>0</v>
      </c>
      <c r="AB92" s="151">
        <v>0</v>
      </c>
      <c r="AC92" s="151">
        <v>0</v>
      </c>
      <c r="AD92" s="239" t="s">
        <v>29</v>
      </c>
      <c r="AE92" s="157">
        <f>VLOOKUP(Master201722[[#This Row],[Elevated Priority]],Epriority,2,)</f>
        <v>0</v>
      </c>
      <c r="AF92" s="151">
        <f>IF(Master201722[[#This Row],[Status]]="Active",Master201722[[#This Row],[Status_Score]],IF(C92="","",Q92+G92+S92+U92+AE92-5))</f>
        <v>61</v>
      </c>
      <c r="AG92" s="148"/>
      <c r="AH92" s="148">
        <v>2023</v>
      </c>
      <c r="AI92" s="148">
        <v>2024</v>
      </c>
      <c r="AJ92" s="156"/>
    </row>
    <row r="93" spans="1:36" ht="60" x14ac:dyDescent="0.25">
      <c r="A93" s="198">
        <f t="shared" si="14"/>
        <v>87</v>
      </c>
      <c r="B93" s="255" t="s">
        <v>61</v>
      </c>
      <c r="C93" s="149" t="s">
        <v>632</v>
      </c>
      <c r="D93" s="149" t="s">
        <v>636</v>
      </c>
      <c r="E93" s="249" t="s">
        <v>633</v>
      </c>
      <c r="F93" s="149" t="s">
        <v>29</v>
      </c>
      <c r="G93" s="240">
        <f t="shared" si="13"/>
        <v>0</v>
      </c>
      <c r="H93" s="162"/>
      <c r="I93" s="162"/>
      <c r="J93" s="162">
        <f>Master201722[[#This Row],[Initial Budget]]-Master201722[[#This Row],[Previously Committed Funds]]</f>
        <v>0</v>
      </c>
      <c r="K93" s="162"/>
      <c r="L93" s="162"/>
      <c r="M93" s="189">
        <f>Master201722[[#This Row],[Design $ (Add/Deduct)]]+Master201722[[#This Row],[Construction $ (Add/Ded)]]</f>
        <v>0</v>
      </c>
      <c r="N93" s="171">
        <v>100000</v>
      </c>
      <c r="O93" s="150">
        <v>2019</v>
      </c>
      <c r="P93" s="149" t="s">
        <v>686</v>
      </c>
      <c r="Q93" s="150">
        <f t="shared" si="17"/>
        <v>60</v>
      </c>
      <c r="R93" s="237">
        <v>3</v>
      </c>
      <c r="S93" s="148">
        <f t="shared" si="15"/>
        <v>9</v>
      </c>
      <c r="T93" s="237" t="s">
        <v>41</v>
      </c>
      <c r="U93" s="151">
        <f t="shared" si="16"/>
        <v>4</v>
      </c>
      <c r="V93" s="237" t="s">
        <v>34</v>
      </c>
      <c r="W93" s="185">
        <v>-2</v>
      </c>
      <c r="X93" s="151">
        <v>0</v>
      </c>
      <c r="Y93" s="151">
        <v>0</v>
      </c>
      <c r="Z93" s="151">
        <v>-3</v>
      </c>
      <c r="AA93" s="151">
        <v>-2</v>
      </c>
      <c r="AB93" s="151">
        <v>0</v>
      </c>
      <c r="AC93" s="151">
        <v>0</v>
      </c>
      <c r="AD93" s="237" t="s">
        <v>29</v>
      </c>
      <c r="AE93" s="157">
        <f>VLOOKUP(Master201722[[#This Row],[Elevated Priority]],Epriority,2,)</f>
        <v>0</v>
      </c>
      <c r="AF93" s="151">
        <f>IF(Master201722[[#This Row],[Status]]="Active",Master201722[[#This Row],[Status_Score]],IF(C93="","",Q93+G93+S93+U93+AE93-5))</f>
        <v>68</v>
      </c>
      <c r="AG93" s="238"/>
      <c r="AH93" s="238"/>
      <c r="AI93" s="238"/>
      <c r="AJ93" s="156"/>
    </row>
    <row r="94" spans="1:36" ht="30" hidden="1" x14ac:dyDescent="0.25">
      <c r="A94" s="198">
        <f t="shared" si="14"/>
        <v>88</v>
      </c>
      <c r="B94" s="164" t="s">
        <v>94</v>
      </c>
      <c r="C94" s="164" t="s">
        <v>611</v>
      </c>
      <c r="D94" s="164" t="s">
        <v>612</v>
      </c>
      <c r="E94" s="164" t="s">
        <v>879</v>
      </c>
      <c r="F94" s="149" t="s">
        <v>29</v>
      </c>
      <c r="G94" s="149">
        <f t="shared" si="13"/>
        <v>0</v>
      </c>
      <c r="H94" s="162"/>
      <c r="I94" s="162"/>
      <c r="J94" s="162">
        <f>Master201722[[#This Row],[Initial Budget]]-Master201722[[#This Row],[Previously Committed Funds]]</f>
        <v>0</v>
      </c>
      <c r="K94" s="162"/>
      <c r="L94" s="162"/>
      <c r="M94" s="189">
        <f>Master201722[[#This Row],[Design $ (Add/Deduct)]]+Master201722[[#This Row],[Construction $ (Add/Ded)]]</f>
        <v>0</v>
      </c>
      <c r="N94" s="171">
        <v>250000</v>
      </c>
      <c r="O94" s="152">
        <v>2019</v>
      </c>
      <c r="P94" s="149" t="s">
        <v>688</v>
      </c>
      <c r="Q94" s="150">
        <f t="shared" si="17"/>
        <v>20</v>
      </c>
      <c r="R94" s="150">
        <v>27</v>
      </c>
      <c r="S94" s="148">
        <f t="shared" si="15"/>
        <v>30</v>
      </c>
      <c r="T94" s="150" t="s">
        <v>41</v>
      </c>
      <c r="U94" s="151">
        <f t="shared" si="16"/>
        <v>4</v>
      </c>
      <c r="V94" s="150" t="s">
        <v>30</v>
      </c>
      <c r="W94" s="151">
        <v>0</v>
      </c>
      <c r="X94" s="151">
        <v>0</v>
      </c>
      <c r="Y94" s="151">
        <v>0</v>
      </c>
      <c r="Z94" s="151">
        <v>0</v>
      </c>
      <c r="AA94" s="151">
        <v>0</v>
      </c>
      <c r="AB94" s="151">
        <v>0</v>
      </c>
      <c r="AC94" s="151">
        <v>0</v>
      </c>
      <c r="AD94" s="150" t="s">
        <v>29</v>
      </c>
      <c r="AE94" s="157">
        <f>VLOOKUP(Master201722[[#This Row],[Elevated Priority]],Epriority,2,)</f>
        <v>0</v>
      </c>
      <c r="AF94" s="151">
        <f>IF(Master201722[[#This Row],[Status]]="Active",Master201722[[#This Row],[Status_Score]],IF(C94="","",Q94+G94+S94+U94+AE94-5))</f>
        <v>49</v>
      </c>
      <c r="AG94" s="151"/>
      <c r="AH94" s="151"/>
      <c r="AI94" s="151"/>
      <c r="AJ94" s="156"/>
    </row>
    <row r="95" spans="1:36" ht="45" hidden="1" x14ac:dyDescent="0.25">
      <c r="A95" s="198">
        <f t="shared" si="14"/>
        <v>89</v>
      </c>
      <c r="B95" s="149" t="s">
        <v>94</v>
      </c>
      <c r="C95" s="149" t="s">
        <v>613</v>
      </c>
      <c r="D95" s="149" t="s">
        <v>898</v>
      </c>
      <c r="E95" s="149" t="s">
        <v>879</v>
      </c>
      <c r="F95" s="149" t="s">
        <v>29</v>
      </c>
      <c r="G95" s="149">
        <f t="shared" si="13"/>
        <v>0</v>
      </c>
      <c r="H95" s="162"/>
      <c r="I95" s="162"/>
      <c r="J95" s="162">
        <f>Master201722[[#This Row],[Initial Budget]]-Master201722[[#This Row],[Previously Committed Funds]]</f>
        <v>0</v>
      </c>
      <c r="K95" s="162"/>
      <c r="L95" s="162"/>
      <c r="M95" s="189">
        <f>Master201722[[#This Row],[Design $ (Add/Deduct)]]+Master201722[[#This Row],[Construction $ (Add/Ded)]]</f>
        <v>0</v>
      </c>
      <c r="N95" s="171">
        <v>500000</v>
      </c>
      <c r="O95" s="152">
        <v>2019</v>
      </c>
      <c r="P95" s="149" t="s">
        <v>688</v>
      </c>
      <c r="Q95" s="150">
        <f t="shared" si="17"/>
        <v>20</v>
      </c>
      <c r="R95" s="150">
        <v>28</v>
      </c>
      <c r="S95" s="148">
        <f t="shared" si="15"/>
        <v>30</v>
      </c>
      <c r="T95" s="150" t="s">
        <v>41</v>
      </c>
      <c r="U95" s="151">
        <f t="shared" si="16"/>
        <v>4</v>
      </c>
      <c r="V95" s="150" t="s">
        <v>30</v>
      </c>
      <c r="W95" s="151">
        <v>0</v>
      </c>
      <c r="X95" s="151">
        <v>0</v>
      </c>
      <c r="Y95" s="151">
        <v>0</v>
      </c>
      <c r="Z95" s="151">
        <v>0</v>
      </c>
      <c r="AA95" s="151">
        <v>0</v>
      </c>
      <c r="AB95" s="151">
        <v>0</v>
      </c>
      <c r="AC95" s="151">
        <v>0</v>
      </c>
      <c r="AD95" s="150" t="s">
        <v>29</v>
      </c>
      <c r="AE95" s="157">
        <f>VLOOKUP(Master201722[[#This Row],[Elevated Priority]],Epriority,2,)</f>
        <v>0</v>
      </c>
      <c r="AF95" s="151">
        <f>IF(Master201722[[#This Row],[Status]]="Active",Master201722[[#This Row],[Status_Score]],IF(C95="","",Q95+G95+S95+U95+AE95-5))</f>
        <v>49</v>
      </c>
      <c r="AG95" s="151"/>
      <c r="AH95" s="151">
        <v>2022</v>
      </c>
      <c r="AI95" s="151">
        <v>2023</v>
      </c>
      <c r="AJ95" s="156"/>
    </row>
    <row r="96" spans="1:36" ht="45" x14ac:dyDescent="0.25">
      <c r="A96" s="198">
        <f t="shared" si="14"/>
        <v>90</v>
      </c>
      <c r="B96" s="149" t="s">
        <v>61</v>
      </c>
      <c r="C96" s="149" t="s">
        <v>528</v>
      </c>
      <c r="D96" s="149" t="s">
        <v>529</v>
      </c>
      <c r="E96" s="149" t="s">
        <v>908</v>
      </c>
      <c r="F96" s="149" t="s">
        <v>29</v>
      </c>
      <c r="G96" s="149">
        <f t="shared" si="13"/>
        <v>0</v>
      </c>
      <c r="H96" s="162"/>
      <c r="I96" s="162"/>
      <c r="J96" s="162">
        <f>Master201722[[#This Row],[Initial Budget]]-Master201722[[#This Row],[Previously Committed Funds]]</f>
        <v>0</v>
      </c>
      <c r="K96" s="162"/>
      <c r="L96" s="162"/>
      <c r="M96" s="189">
        <f>Master201722[[#This Row],[Design $ (Add/Deduct)]]+Master201722[[#This Row],[Construction $ (Add/Ded)]]</f>
        <v>0</v>
      </c>
      <c r="N96" s="171">
        <v>4500000</v>
      </c>
      <c r="O96" s="150">
        <v>2018</v>
      </c>
      <c r="P96" s="149" t="s">
        <v>46</v>
      </c>
      <c r="Q96" s="150">
        <f t="shared" si="17"/>
        <v>50</v>
      </c>
      <c r="R96" s="151">
        <v>4</v>
      </c>
      <c r="S96" s="148">
        <f t="shared" si="15"/>
        <v>12</v>
      </c>
      <c r="T96" s="151" t="s">
        <v>41</v>
      </c>
      <c r="U96" s="151">
        <f t="shared" si="16"/>
        <v>4</v>
      </c>
      <c r="V96" s="151" t="s">
        <v>34</v>
      </c>
      <c r="W96" s="185">
        <v>-9</v>
      </c>
      <c r="X96" s="151">
        <v>0</v>
      </c>
      <c r="Y96" s="151">
        <v>-1</v>
      </c>
      <c r="Z96" s="151">
        <v>-3</v>
      </c>
      <c r="AA96" s="151">
        <v>-2</v>
      </c>
      <c r="AB96" s="151">
        <v>-5</v>
      </c>
      <c r="AC96" s="151">
        <v>0</v>
      </c>
      <c r="AD96" s="152" t="s">
        <v>29</v>
      </c>
      <c r="AE96" s="157">
        <f>VLOOKUP(Master201722[[#This Row],[Elevated Priority]],Epriority,2,)</f>
        <v>0</v>
      </c>
      <c r="AF96" s="151">
        <f>IF(Master201722[[#This Row],[Status]]="Active",Master201722[[#This Row],[Status_Score]],IF(C96="","",Q96+G96+S96+U96+AE96-5))</f>
        <v>61</v>
      </c>
      <c r="AG96" s="238"/>
      <c r="AH96" s="238">
        <v>2020</v>
      </c>
      <c r="AI96" s="238">
        <v>2021</v>
      </c>
      <c r="AJ96" s="156"/>
    </row>
    <row r="97" spans="1:36" ht="60" hidden="1" x14ac:dyDescent="0.25">
      <c r="A97" s="198">
        <f t="shared" si="14"/>
        <v>91</v>
      </c>
      <c r="B97" s="149" t="s">
        <v>91</v>
      </c>
      <c r="C97" s="149" t="s">
        <v>384</v>
      </c>
      <c r="D97" s="149" t="s">
        <v>899</v>
      </c>
      <c r="E97" s="149" t="s">
        <v>386</v>
      </c>
      <c r="F97" s="149" t="s">
        <v>29</v>
      </c>
      <c r="G97" s="149">
        <f t="shared" si="13"/>
        <v>0</v>
      </c>
      <c r="H97" s="162"/>
      <c r="I97" s="162"/>
      <c r="J97" s="162">
        <f>Master201722[[#This Row],[Initial Budget]]-Master201722[[#This Row],[Previously Committed Funds]]</f>
        <v>0</v>
      </c>
      <c r="K97" s="162"/>
      <c r="L97" s="162"/>
      <c r="M97" s="189">
        <f>Master201722[[#This Row],[Design $ (Add/Deduct)]]+Master201722[[#This Row],[Construction $ (Add/Ded)]]</f>
        <v>0</v>
      </c>
      <c r="N97" s="171">
        <v>150000</v>
      </c>
      <c r="O97" s="150">
        <v>2018</v>
      </c>
      <c r="P97" s="149" t="s">
        <v>687</v>
      </c>
      <c r="Q97" s="150">
        <f t="shared" si="17"/>
        <v>30</v>
      </c>
      <c r="R97" s="151">
        <v>3</v>
      </c>
      <c r="S97" s="148">
        <f t="shared" si="15"/>
        <v>9</v>
      </c>
      <c r="T97" s="151" t="s">
        <v>43</v>
      </c>
      <c r="U97" s="151">
        <f t="shared" si="16"/>
        <v>16</v>
      </c>
      <c r="V97" s="151" t="s">
        <v>30</v>
      </c>
      <c r="W97" s="151">
        <v>0</v>
      </c>
      <c r="X97" s="151">
        <v>0</v>
      </c>
      <c r="Y97" s="151">
        <v>0</v>
      </c>
      <c r="Z97" s="151">
        <v>0</v>
      </c>
      <c r="AA97" s="151">
        <v>0</v>
      </c>
      <c r="AB97" s="151">
        <v>0</v>
      </c>
      <c r="AC97" s="151">
        <v>0</v>
      </c>
      <c r="AD97" s="152" t="s">
        <v>29</v>
      </c>
      <c r="AE97" s="157">
        <f>VLOOKUP(Master201722[[#This Row],[Elevated Priority]],Epriority,2,)</f>
        <v>0</v>
      </c>
      <c r="AF97" s="151">
        <f>IF(Master201722[[#This Row],[Status]]="Active",Master201722[[#This Row],[Status_Score]],IF(C97="","",Q97+G97+S97+U97+AE97-5))</f>
        <v>50</v>
      </c>
      <c r="AG97" s="148"/>
      <c r="AH97" s="148">
        <v>2021</v>
      </c>
      <c r="AI97" s="148">
        <v>2022</v>
      </c>
      <c r="AJ97" s="156"/>
    </row>
    <row r="98" spans="1:36" ht="30" x14ac:dyDescent="0.25">
      <c r="A98" s="198">
        <f t="shared" si="14"/>
        <v>92</v>
      </c>
      <c r="B98" s="149" t="s">
        <v>220</v>
      </c>
      <c r="C98" s="243" t="s">
        <v>772</v>
      </c>
      <c r="D98" s="247" t="s">
        <v>773</v>
      </c>
      <c r="E98" s="247" t="s">
        <v>838</v>
      </c>
      <c r="F98" s="149" t="s">
        <v>29</v>
      </c>
      <c r="G98" s="149">
        <f t="shared" si="13"/>
        <v>0</v>
      </c>
      <c r="H98" s="162"/>
      <c r="I98" s="162"/>
      <c r="J98" s="162">
        <f>Master201722[[#This Row],[Initial Budget]]-Master201722[[#This Row],[Previously Committed Funds]]</f>
        <v>0</v>
      </c>
      <c r="K98" s="162"/>
      <c r="L98" s="162"/>
      <c r="M98" s="189">
        <f>Master201722[[#This Row],[Design $ (Add/Deduct)]]+Master201722[[#This Row],[Construction $ (Add/Ded)]]</f>
        <v>0</v>
      </c>
      <c r="N98" s="171" t="s">
        <v>224</v>
      </c>
      <c r="O98" s="150">
        <v>2018</v>
      </c>
      <c r="P98" s="149" t="s">
        <v>686</v>
      </c>
      <c r="Q98" s="150">
        <f t="shared" si="17"/>
        <v>60</v>
      </c>
      <c r="R98" s="151">
        <v>2</v>
      </c>
      <c r="S98" s="148">
        <f t="shared" si="15"/>
        <v>6</v>
      </c>
      <c r="T98" s="151" t="s">
        <v>41</v>
      </c>
      <c r="U98" s="151">
        <f t="shared" si="16"/>
        <v>4</v>
      </c>
      <c r="V98" s="151" t="s">
        <v>34</v>
      </c>
      <c r="W98" s="185">
        <v>0</v>
      </c>
      <c r="X98" s="151">
        <v>0</v>
      </c>
      <c r="Y98" s="151">
        <v>0</v>
      </c>
      <c r="Z98" s="151">
        <v>0</v>
      </c>
      <c r="AA98" s="151">
        <v>0</v>
      </c>
      <c r="AB98" s="151">
        <v>0</v>
      </c>
      <c r="AC98" s="151">
        <v>0</v>
      </c>
      <c r="AD98" s="152" t="s">
        <v>29</v>
      </c>
      <c r="AE98" s="157">
        <f>VLOOKUP(Master201722[[#This Row],[Elevated Priority]],Epriority,2,)</f>
        <v>0</v>
      </c>
      <c r="AF98" s="151">
        <f>IF(Master201722[[#This Row],[Status]]="Active",Master201722[[#This Row],[Status_Score]],IF(C98="","",Q98+G98+S98+U98+AE98-5))</f>
        <v>65</v>
      </c>
      <c r="AG98" s="148"/>
      <c r="AH98" s="148">
        <v>2022</v>
      </c>
      <c r="AI98" s="148">
        <v>2023</v>
      </c>
      <c r="AJ98" s="156" t="s">
        <v>942</v>
      </c>
    </row>
    <row r="99" spans="1:36" ht="30" x14ac:dyDescent="0.25">
      <c r="A99" s="198">
        <f t="shared" si="14"/>
        <v>93</v>
      </c>
      <c r="B99" s="236" t="s">
        <v>70</v>
      </c>
      <c r="C99" s="149" t="s">
        <v>693</v>
      </c>
      <c r="D99" s="149" t="s">
        <v>699</v>
      </c>
      <c r="E99" s="243"/>
      <c r="F99" s="149" t="s">
        <v>29</v>
      </c>
      <c r="G99" s="236">
        <f t="shared" si="13"/>
        <v>0</v>
      </c>
      <c r="H99" s="162"/>
      <c r="I99" s="162"/>
      <c r="J99" s="162">
        <f>Master201722[[#This Row],[Initial Budget]]-Master201722[[#This Row],[Previously Committed Funds]]</f>
        <v>0</v>
      </c>
      <c r="K99" s="162"/>
      <c r="L99" s="162"/>
      <c r="M99" s="189">
        <f>Master201722[[#This Row],[Design $ (Add/Deduct)]]+Master201722[[#This Row],[Construction $ (Add/Ded)]]</f>
        <v>0</v>
      </c>
      <c r="N99" s="171">
        <v>7000000</v>
      </c>
      <c r="O99" s="244">
        <v>2019</v>
      </c>
      <c r="P99" s="243" t="s">
        <v>46</v>
      </c>
      <c r="Q99" s="150">
        <f t="shared" si="17"/>
        <v>50</v>
      </c>
      <c r="R99" s="235">
        <v>3</v>
      </c>
      <c r="S99" s="148">
        <f t="shared" si="15"/>
        <v>9</v>
      </c>
      <c r="T99" s="235" t="s">
        <v>43</v>
      </c>
      <c r="U99" s="151"/>
      <c r="V99" s="235" t="s">
        <v>34</v>
      </c>
      <c r="W99" s="185">
        <v>0</v>
      </c>
      <c r="X99" s="151">
        <v>0</v>
      </c>
      <c r="Y99" s="151">
        <v>-3</v>
      </c>
      <c r="Z99" s="151">
        <v>-3</v>
      </c>
      <c r="AA99" s="151">
        <v>-2</v>
      </c>
      <c r="AB99" s="151">
        <v>0</v>
      </c>
      <c r="AC99" s="151">
        <v>0</v>
      </c>
      <c r="AD99" s="245" t="s">
        <v>29</v>
      </c>
      <c r="AE99" s="157">
        <f>VLOOKUP(Master201722[[#This Row],[Elevated Priority]],Epriority,2,)</f>
        <v>0</v>
      </c>
      <c r="AF99" s="151">
        <f>IF(Master201722[[#This Row],[Status]]="Active",Master201722[[#This Row],[Status_Score]],IF(C99="","",Q99+G99+S99+U99+AE99-5))</f>
        <v>54</v>
      </c>
      <c r="AG99" s="235"/>
      <c r="AH99" s="235">
        <v>2021</v>
      </c>
      <c r="AI99" s="235">
        <v>2022</v>
      </c>
      <c r="AJ99" s="156"/>
    </row>
    <row r="100" spans="1:36" ht="45" hidden="1" x14ac:dyDescent="0.25">
      <c r="A100" s="198">
        <f t="shared" si="14"/>
        <v>94</v>
      </c>
      <c r="B100" s="149" t="s">
        <v>91</v>
      </c>
      <c r="C100" s="149" t="s">
        <v>393</v>
      </c>
      <c r="D100" s="149" t="s">
        <v>394</v>
      </c>
      <c r="E100" s="149" t="s">
        <v>395</v>
      </c>
      <c r="F100" s="149" t="s">
        <v>29</v>
      </c>
      <c r="G100" s="149">
        <f t="shared" si="13"/>
        <v>0</v>
      </c>
      <c r="H100" s="162"/>
      <c r="I100" s="162"/>
      <c r="J100" s="162">
        <f>Master201722[[#This Row],[Initial Budget]]-Master201722[[#This Row],[Previously Committed Funds]]</f>
        <v>0</v>
      </c>
      <c r="K100" s="162"/>
      <c r="L100" s="162"/>
      <c r="M100" s="189">
        <f>Master201722[[#This Row],[Design $ (Add/Deduct)]]+Master201722[[#This Row],[Construction $ (Add/Ded)]]</f>
        <v>0</v>
      </c>
      <c r="N100" s="171">
        <v>85000</v>
      </c>
      <c r="O100" s="150">
        <v>2018</v>
      </c>
      <c r="P100" s="149" t="s">
        <v>688</v>
      </c>
      <c r="Q100" s="150">
        <f t="shared" si="17"/>
        <v>20</v>
      </c>
      <c r="R100" s="151">
        <v>7</v>
      </c>
      <c r="S100" s="148">
        <f t="shared" si="15"/>
        <v>20</v>
      </c>
      <c r="T100" s="151" t="s">
        <v>43</v>
      </c>
      <c r="U100" s="151">
        <f t="shared" ref="U100:U110" si="18">VLOOKUP(T100,Urgency,2,FALSE)</f>
        <v>16</v>
      </c>
      <c r="V100" s="151" t="s">
        <v>30</v>
      </c>
      <c r="W100" s="151">
        <v>0</v>
      </c>
      <c r="X100" s="151">
        <v>0</v>
      </c>
      <c r="Y100" s="151">
        <v>0</v>
      </c>
      <c r="Z100" s="151">
        <v>0</v>
      </c>
      <c r="AA100" s="151">
        <v>0</v>
      </c>
      <c r="AB100" s="151">
        <v>0</v>
      </c>
      <c r="AC100" s="151">
        <v>0</v>
      </c>
      <c r="AD100" s="152" t="s">
        <v>29</v>
      </c>
      <c r="AE100" s="157">
        <f>VLOOKUP(Master201722[[#This Row],[Elevated Priority]],Epriority,2,)</f>
        <v>0</v>
      </c>
      <c r="AF100" s="151">
        <f>IF(Master201722[[#This Row],[Status]]="Active",Master201722[[#This Row],[Status_Score]],IF(C100="","",Q100+G100+S100+U100+AE100-5))</f>
        <v>51</v>
      </c>
      <c r="AG100" s="151"/>
      <c r="AH100" s="151">
        <v>2023</v>
      </c>
      <c r="AI100" s="151">
        <v>2024</v>
      </c>
      <c r="AJ100" s="156"/>
    </row>
    <row r="101" spans="1:36" ht="105" x14ac:dyDescent="0.25">
      <c r="A101" s="198">
        <f t="shared" si="14"/>
        <v>95</v>
      </c>
      <c r="B101" s="149" t="s">
        <v>143</v>
      </c>
      <c r="C101" s="149" t="s">
        <v>144</v>
      </c>
      <c r="D101" s="149" t="s">
        <v>145</v>
      </c>
      <c r="E101" s="149" t="s">
        <v>146</v>
      </c>
      <c r="F101" s="149" t="s">
        <v>29</v>
      </c>
      <c r="G101" s="149">
        <f t="shared" si="13"/>
        <v>0</v>
      </c>
      <c r="H101" s="162"/>
      <c r="I101" s="162"/>
      <c r="J101" s="162">
        <f>Master201722[[#This Row],[Initial Budget]]-Master201722[[#This Row],[Previously Committed Funds]]</f>
        <v>0</v>
      </c>
      <c r="K101" s="162"/>
      <c r="L101" s="162"/>
      <c r="M101" s="189">
        <f>Master201722[[#This Row],[Design $ (Add/Deduct)]]+Master201722[[#This Row],[Construction $ (Add/Ded)]]</f>
        <v>0</v>
      </c>
      <c r="N101" s="249">
        <v>50000</v>
      </c>
      <c r="O101" s="150">
        <v>2018</v>
      </c>
      <c r="P101" s="149" t="s">
        <v>686</v>
      </c>
      <c r="Q101" s="150">
        <f t="shared" si="17"/>
        <v>60</v>
      </c>
      <c r="R101" s="239">
        <v>3</v>
      </c>
      <c r="S101" s="148">
        <f t="shared" si="15"/>
        <v>9</v>
      </c>
      <c r="T101" s="239" t="s">
        <v>41</v>
      </c>
      <c r="U101" s="151">
        <f t="shared" si="18"/>
        <v>4</v>
      </c>
      <c r="V101" s="151" t="s">
        <v>34</v>
      </c>
      <c r="W101" s="185">
        <v>0</v>
      </c>
      <c r="X101" s="151">
        <v>0</v>
      </c>
      <c r="Y101" s="151">
        <v>0</v>
      </c>
      <c r="Z101" s="151">
        <v>0</v>
      </c>
      <c r="AA101" s="151">
        <v>0</v>
      </c>
      <c r="AB101" s="151">
        <v>0</v>
      </c>
      <c r="AC101" s="151">
        <v>-1</v>
      </c>
      <c r="AD101" s="152" t="s">
        <v>29</v>
      </c>
      <c r="AE101" s="157">
        <f>VLOOKUP(Master201722[[#This Row],[Elevated Priority]],Epriority,2,)</f>
        <v>0</v>
      </c>
      <c r="AF101" s="151">
        <f>IF(Master201722[[#This Row],[Status]]="Active",Master201722[[#This Row],[Status_Score]],IF(C101="","",Q101+G101+S101+U101+AE101-5))</f>
        <v>68</v>
      </c>
      <c r="AG101" s="151"/>
      <c r="AH101" s="151">
        <v>2022</v>
      </c>
      <c r="AI101" s="151">
        <v>2023</v>
      </c>
      <c r="AJ101" s="156" t="s">
        <v>942</v>
      </c>
    </row>
    <row r="102" spans="1:36" ht="120" hidden="1" x14ac:dyDescent="0.25">
      <c r="A102" s="198">
        <f t="shared" si="14"/>
        <v>96</v>
      </c>
      <c r="B102" s="204" t="s">
        <v>67</v>
      </c>
      <c r="C102" s="164" t="s">
        <v>791</v>
      </c>
      <c r="D102" s="164" t="s">
        <v>792</v>
      </c>
      <c r="E102" s="164" t="s">
        <v>900</v>
      </c>
      <c r="F102" s="149" t="s">
        <v>29</v>
      </c>
      <c r="G102" s="149">
        <f t="shared" si="13"/>
        <v>0</v>
      </c>
      <c r="H102" s="162"/>
      <c r="I102" s="162"/>
      <c r="J102" s="162">
        <f>Master201722[[#This Row],[Initial Budget]]-Master201722[[#This Row],[Previously Committed Funds]]</f>
        <v>0</v>
      </c>
      <c r="K102" s="162">
        <v>45000</v>
      </c>
      <c r="L102" s="162"/>
      <c r="M102" s="189">
        <f>Master201722[[#This Row],[Design $ (Add/Deduct)]]+Master201722[[#This Row],[Construction $ (Add/Ded)]]</f>
        <v>45000</v>
      </c>
      <c r="N102" s="171">
        <v>235000</v>
      </c>
      <c r="O102" s="150">
        <v>2020</v>
      </c>
      <c r="P102" s="149" t="s">
        <v>688</v>
      </c>
      <c r="Q102" s="150">
        <f t="shared" si="17"/>
        <v>20</v>
      </c>
      <c r="R102" s="148">
        <v>10</v>
      </c>
      <c r="S102" s="148">
        <f t="shared" si="15"/>
        <v>21</v>
      </c>
      <c r="T102" s="148" t="s">
        <v>43</v>
      </c>
      <c r="U102" s="151">
        <f t="shared" si="18"/>
        <v>16</v>
      </c>
      <c r="V102" s="151" t="s">
        <v>30</v>
      </c>
      <c r="W102" s="151">
        <v>0</v>
      </c>
      <c r="X102" s="151">
        <v>0</v>
      </c>
      <c r="Y102" s="151">
        <v>0</v>
      </c>
      <c r="Z102" s="151">
        <v>0</v>
      </c>
      <c r="AA102" s="151">
        <v>0</v>
      </c>
      <c r="AB102" s="151">
        <v>0</v>
      </c>
      <c r="AC102" s="151">
        <v>0</v>
      </c>
      <c r="AD102" s="152" t="s">
        <v>29</v>
      </c>
      <c r="AE102" s="157">
        <f>VLOOKUP(Master201722[[#This Row],[Elevated Priority]],Epriority,2,)</f>
        <v>0</v>
      </c>
      <c r="AF102" s="151">
        <f>IF(Master201722[[#This Row],[Status]]="Active",Master201722[[#This Row],[Status_Score]],IF(C102="","",Q102+G102+S102+U102+AE102-5))</f>
        <v>52</v>
      </c>
      <c r="AG102" s="148"/>
      <c r="AH102" s="148"/>
      <c r="AI102" s="148"/>
      <c r="AJ102" s="156"/>
    </row>
    <row r="103" spans="1:36" ht="45" hidden="1" x14ac:dyDescent="0.25">
      <c r="A103" s="198">
        <f t="shared" si="14"/>
        <v>97</v>
      </c>
      <c r="B103" s="204" t="s">
        <v>67</v>
      </c>
      <c r="C103" s="156" t="s">
        <v>778</v>
      </c>
      <c r="D103" s="156" t="s">
        <v>801</v>
      </c>
      <c r="E103" s="149" t="s">
        <v>901</v>
      </c>
      <c r="F103" s="149" t="s">
        <v>29</v>
      </c>
      <c r="G103" s="149">
        <f t="shared" si="13"/>
        <v>0</v>
      </c>
      <c r="H103" s="162"/>
      <c r="I103" s="162"/>
      <c r="J103" s="162">
        <f>Master201722[[#This Row],[Initial Budget]]-Master201722[[#This Row],[Previously Committed Funds]]</f>
        <v>0</v>
      </c>
      <c r="K103" s="162"/>
      <c r="L103" s="162"/>
      <c r="M103" s="189"/>
      <c r="N103" s="159">
        <v>100000</v>
      </c>
      <c r="O103" s="157">
        <v>2020</v>
      </c>
      <c r="P103" s="149" t="s">
        <v>688</v>
      </c>
      <c r="Q103" s="150">
        <f t="shared" si="17"/>
        <v>20</v>
      </c>
      <c r="R103" s="148">
        <v>10</v>
      </c>
      <c r="S103" s="148">
        <f t="shared" si="15"/>
        <v>21</v>
      </c>
      <c r="T103" s="148" t="s">
        <v>43</v>
      </c>
      <c r="U103" s="151">
        <f t="shared" si="18"/>
        <v>16</v>
      </c>
      <c r="V103" s="148" t="s">
        <v>30</v>
      </c>
      <c r="W103" s="151">
        <v>0</v>
      </c>
      <c r="X103" s="151">
        <v>0</v>
      </c>
      <c r="Y103" s="151">
        <v>0</v>
      </c>
      <c r="Z103" s="151">
        <v>0</v>
      </c>
      <c r="AA103" s="151">
        <v>0</v>
      </c>
      <c r="AB103" s="151">
        <v>0</v>
      </c>
      <c r="AC103" s="151">
        <v>0</v>
      </c>
      <c r="AD103" s="152" t="s">
        <v>29</v>
      </c>
      <c r="AE103" s="157">
        <f>VLOOKUP(Master201722[[#This Row],[Elevated Priority]],Epriority,2,)</f>
        <v>0</v>
      </c>
      <c r="AF103" s="151">
        <f>IF(Master201722[[#This Row],[Status]]="Active",Master201722[[#This Row],[Status_Score]],IF(C103="","",Q103+G103+S103+U103+AE103-5))</f>
        <v>52</v>
      </c>
      <c r="AG103" s="148"/>
      <c r="AH103" s="148"/>
      <c r="AI103" s="148"/>
      <c r="AJ103" s="156"/>
    </row>
    <row r="104" spans="1:36" ht="30" hidden="1" x14ac:dyDescent="0.25">
      <c r="A104" s="198">
        <f t="shared" si="14"/>
        <v>98</v>
      </c>
      <c r="B104" s="149" t="s">
        <v>94</v>
      </c>
      <c r="C104" s="156" t="s">
        <v>270</v>
      </c>
      <c r="D104" s="156" t="s">
        <v>271</v>
      </c>
      <c r="E104" s="156" t="s">
        <v>902</v>
      </c>
      <c r="F104" s="149" t="s">
        <v>29</v>
      </c>
      <c r="G104" s="149">
        <f t="shared" si="13"/>
        <v>0</v>
      </c>
      <c r="H104" s="162"/>
      <c r="I104" s="162"/>
      <c r="J104" s="162">
        <f>Master201722[[#This Row],[Initial Budget]]-Master201722[[#This Row],[Previously Committed Funds]]</f>
        <v>0</v>
      </c>
      <c r="K104" s="162"/>
      <c r="L104" s="162"/>
      <c r="M104" s="189">
        <f>Master201722[[#This Row],[Design $ (Add/Deduct)]]+Master201722[[#This Row],[Construction $ (Add/Ded)]]</f>
        <v>0</v>
      </c>
      <c r="N104" s="171">
        <v>5000</v>
      </c>
      <c r="O104" s="150">
        <v>2018</v>
      </c>
      <c r="P104" s="149" t="s">
        <v>688</v>
      </c>
      <c r="Q104" s="150">
        <f t="shared" si="17"/>
        <v>20</v>
      </c>
      <c r="R104" s="151">
        <v>34</v>
      </c>
      <c r="S104" s="148">
        <f t="shared" si="15"/>
        <v>33</v>
      </c>
      <c r="T104" s="151" t="s">
        <v>41</v>
      </c>
      <c r="U104" s="151">
        <f t="shared" si="18"/>
        <v>4</v>
      </c>
      <c r="V104" s="151" t="s">
        <v>30</v>
      </c>
      <c r="W104" s="151">
        <v>0</v>
      </c>
      <c r="X104" s="151">
        <v>0</v>
      </c>
      <c r="Y104" s="151">
        <v>0</v>
      </c>
      <c r="Z104" s="151">
        <v>0</v>
      </c>
      <c r="AA104" s="151">
        <v>0</v>
      </c>
      <c r="AB104" s="151">
        <v>0</v>
      </c>
      <c r="AC104" s="151">
        <v>0</v>
      </c>
      <c r="AD104" s="152" t="s">
        <v>29</v>
      </c>
      <c r="AE104" s="157">
        <f>VLOOKUP(Master201722[[#This Row],[Elevated Priority]],Epriority,2,)</f>
        <v>0</v>
      </c>
      <c r="AF104" s="151">
        <f>IF(Master201722[[#This Row],[Status]]="Active",Master201722[[#This Row],[Status_Score]],IF(C104="","",Q104+G104+S104+U104+AE104-5))</f>
        <v>52</v>
      </c>
      <c r="AG104" s="148"/>
      <c r="AH104" s="148">
        <v>2023</v>
      </c>
      <c r="AI104" s="148">
        <v>2024</v>
      </c>
      <c r="AJ104" s="156"/>
    </row>
    <row r="105" spans="1:36" ht="45" hidden="1" x14ac:dyDescent="0.25">
      <c r="A105" s="198">
        <f t="shared" si="14"/>
        <v>99</v>
      </c>
      <c r="B105" s="149" t="s">
        <v>70</v>
      </c>
      <c r="C105" s="149" t="s">
        <v>840</v>
      </c>
      <c r="D105" s="149" t="s">
        <v>841</v>
      </c>
      <c r="E105" s="149" t="s">
        <v>903</v>
      </c>
      <c r="F105" s="149" t="s">
        <v>29</v>
      </c>
      <c r="G105" s="149">
        <f t="shared" si="13"/>
        <v>0</v>
      </c>
      <c r="H105" s="162"/>
      <c r="I105" s="162"/>
      <c r="J105" s="162">
        <f>Master201722[[#This Row],[Initial Budget]]-Master201722[[#This Row],[Previously Committed Funds]]</f>
        <v>0</v>
      </c>
      <c r="K105" s="162"/>
      <c r="L105" s="162"/>
      <c r="M105" s="189">
        <f>Master201722[[#This Row],[Design $ (Add/Deduct)]]+Master201722[[#This Row],[Construction $ (Add/Ded)]]</f>
        <v>0</v>
      </c>
      <c r="N105" s="171">
        <v>50000</v>
      </c>
      <c r="O105" s="150">
        <v>2018</v>
      </c>
      <c r="P105" s="149" t="s">
        <v>687</v>
      </c>
      <c r="Q105" s="150">
        <f t="shared" si="17"/>
        <v>30</v>
      </c>
      <c r="R105" s="151">
        <v>4</v>
      </c>
      <c r="S105" s="148">
        <f t="shared" si="15"/>
        <v>12</v>
      </c>
      <c r="T105" s="151" t="s">
        <v>43</v>
      </c>
      <c r="U105" s="151">
        <f t="shared" si="18"/>
        <v>16</v>
      </c>
      <c r="V105" s="151" t="s">
        <v>30</v>
      </c>
      <c r="W105" s="151">
        <v>0</v>
      </c>
      <c r="X105" s="151">
        <v>0</v>
      </c>
      <c r="Y105" s="151">
        <v>0</v>
      </c>
      <c r="Z105" s="151">
        <v>0</v>
      </c>
      <c r="AA105" s="151">
        <v>0</v>
      </c>
      <c r="AB105" s="151">
        <v>0</v>
      </c>
      <c r="AC105" s="151">
        <v>0</v>
      </c>
      <c r="AD105" s="152" t="s">
        <v>29</v>
      </c>
      <c r="AE105" s="157">
        <f>VLOOKUP(Master201722[[#This Row],[Elevated Priority]],Epriority,2,)</f>
        <v>0</v>
      </c>
      <c r="AF105" s="151">
        <f>IF(Master201722[[#This Row],[Status]]="Active",Master201722[[#This Row],[Status_Score]],IF(C105="","",Q105+G105+S105+U105+AE105-5))</f>
        <v>53</v>
      </c>
      <c r="AG105" s="151"/>
      <c r="AH105" s="151">
        <v>2021</v>
      </c>
      <c r="AI105" s="151">
        <v>2022</v>
      </c>
      <c r="AJ105" s="149"/>
    </row>
    <row r="106" spans="1:36" ht="210" hidden="1" x14ac:dyDescent="0.25">
      <c r="A106" s="198">
        <f t="shared" si="14"/>
        <v>100</v>
      </c>
      <c r="B106" s="149" t="s">
        <v>159</v>
      </c>
      <c r="C106" s="149" t="s">
        <v>416</v>
      </c>
      <c r="D106" s="149" t="s">
        <v>417</v>
      </c>
      <c r="E106" s="149" t="s">
        <v>418</v>
      </c>
      <c r="F106" s="149" t="s">
        <v>29</v>
      </c>
      <c r="G106" s="149">
        <f t="shared" si="13"/>
        <v>0</v>
      </c>
      <c r="H106" s="162"/>
      <c r="I106" s="162"/>
      <c r="J106" s="162">
        <f>Master201722[[#This Row],[Initial Budget]]-Master201722[[#This Row],[Previously Committed Funds]]</f>
        <v>0</v>
      </c>
      <c r="K106" s="162"/>
      <c r="L106" s="162"/>
      <c r="M106" s="189">
        <f>Master201722[[#This Row],[Design $ (Add/Deduct)]]+Master201722[[#This Row],[Construction $ (Add/Ded)]]</f>
        <v>0</v>
      </c>
      <c r="N106" s="171">
        <v>45000</v>
      </c>
      <c r="O106" s="150">
        <v>2018</v>
      </c>
      <c r="P106" s="149" t="s">
        <v>687</v>
      </c>
      <c r="Q106" s="150">
        <f t="shared" si="17"/>
        <v>30</v>
      </c>
      <c r="R106" s="151">
        <v>4</v>
      </c>
      <c r="S106" s="148">
        <f t="shared" si="15"/>
        <v>12</v>
      </c>
      <c r="T106" s="151" t="s">
        <v>43</v>
      </c>
      <c r="U106" s="151">
        <f t="shared" si="18"/>
        <v>16</v>
      </c>
      <c r="V106" s="151" t="s">
        <v>30</v>
      </c>
      <c r="W106" s="151">
        <v>0</v>
      </c>
      <c r="X106" s="151">
        <v>0</v>
      </c>
      <c r="Y106" s="151">
        <v>0</v>
      </c>
      <c r="Z106" s="151">
        <v>0</v>
      </c>
      <c r="AA106" s="151">
        <v>0</v>
      </c>
      <c r="AB106" s="151">
        <v>0</v>
      </c>
      <c r="AC106" s="151">
        <v>0</v>
      </c>
      <c r="AD106" s="152" t="s">
        <v>29</v>
      </c>
      <c r="AE106" s="157">
        <f>VLOOKUP(Master201722[[#This Row],[Elevated Priority]],Epriority,2,)</f>
        <v>0</v>
      </c>
      <c r="AF106" s="151">
        <f>IF(Master201722[[#This Row],[Status]]="Active",Master201722[[#This Row],[Status_Score]],IF(C106="","",Q106+G106+S106+U106+AE106-5))</f>
        <v>53</v>
      </c>
      <c r="AG106" s="148"/>
      <c r="AH106" s="148">
        <v>2021</v>
      </c>
      <c r="AI106" s="148">
        <v>2022</v>
      </c>
      <c r="AJ106" s="156"/>
    </row>
    <row r="107" spans="1:36" ht="45" x14ac:dyDescent="0.25">
      <c r="A107" s="198">
        <f t="shared" si="14"/>
        <v>101</v>
      </c>
      <c r="B107" s="149" t="s">
        <v>61</v>
      </c>
      <c r="C107" s="236" t="s">
        <v>541</v>
      </c>
      <c r="D107" s="236" t="s">
        <v>542</v>
      </c>
      <c r="E107" s="236" t="s">
        <v>543</v>
      </c>
      <c r="F107" s="149" t="s">
        <v>29</v>
      </c>
      <c r="G107" s="149">
        <f t="shared" si="13"/>
        <v>0</v>
      </c>
      <c r="H107" s="162"/>
      <c r="I107" s="162"/>
      <c r="J107" s="162">
        <f>Master201722[[#This Row],[Initial Budget]]-Master201722[[#This Row],[Previously Committed Funds]]</f>
        <v>0</v>
      </c>
      <c r="K107" s="162"/>
      <c r="L107" s="162"/>
      <c r="M107" s="189">
        <f>Master201722[[#This Row],[Design $ (Add/Deduct)]]+Master201722[[#This Row],[Construction $ (Add/Ded)]]</f>
        <v>0</v>
      </c>
      <c r="N107" s="171">
        <v>10000000</v>
      </c>
      <c r="O107" s="150">
        <v>2018</v>
      </c>
      <c r="P107" s="149" t="s">
        <v>46</v>
      </c>
      <c r="Q107" s="150">
        <f t="shared" si="17"/>
        <v>50</v>
      </c>
      <c r="R107" s="151">
        <v>4</v>
      </c>
      <c r="S107" s="148">
        <f t="shared" si="15"/>
        <v>12</v>
      </c>
      <c r="T107" s="151" t="s">
        <v>43</v>
      </c>
      <c r="U107" s="151">
        <f t="shared" si="18"/>
        <v>16</v>
      </c>
      <c r="V107" s="151" t="s">
        <v>34</v>
      </c>
      <c r="W107" s="185">
        <v>-9</v>
      </c>
      <c r="X107" s="151">
        <v>0</v>
      </c>
      <c r="Y107" s="151">
        <v>0</v>
      </c>
      <c r="Z107" s="151">
        <v>-3</v>
      </c>
      <c r="AA107" s="151">
        <v>-2</v>
      </c>
      <c r="AB107" s="151">
        <v>-9</v>
      </c>
      <c r="AC107" s="151">
        <v>-3</v>
      </c>
      <c r="AD107" s="152" t="s">
        <v>29</v>
      </c>
      <c r="AE107" s="157">
        <f>VLOOKUP(Master201722[[#This Row],[Elevated Priority]],Epriority,2,)</f>
        <v>0</v>
      </c>
      <c r="AF107" s="151">
        <f>IF(Master201722[[#This Row],[Status]]="Active",Master201722[[#This Row],[Status_Score]],IF(C107="","",Q107+G107+S107+U107+AE107-5))</f>
        <v>73</v>
      </c>
      <c r="AG107" s="238"/>
      <c r="AH107" s="238">
        <v>2020</v>
      </c>
      <c r="AI107" s="238">
        <v>2024</v>
      </c>
      <c r="AJ107" s="156"/>
    </row>
    <row r="108" spans="1:36" ht="60" x14ac:dyDescent="0.25">
      <c r="A108" s="198">
        <f t="shared" si="14"/>
        <v>102</v>
      </c>
      <c r="B108" s="149" t="s">
        <v>71</v>
      </c>
      <c r="C108" s="149" t="s">
        <v>943</v>
      </c>
      <c r="D108" s="149" t="s">
        <v>946</v>
      </c>
      <c r="E108" s="236" t="s">
        <v>944</v>
      </c>
      <c r="F108" s="149" t="s">
        <v>29</v>
      </c>
      <c r="G108" s="149">
        <f t="shared" si="13"/>
        <v>0</v>
      </c>
      <c r="H108" s="162"/>
      <c r="I108" s="162"/>
      <c r="J108" s="162">
        <f>Master201722[[#This Row],[Initial Budget]]-Master201722[[#This Row],[Previously Committed Funds]]</f>
        <v>0</v>
      </c>
      <c r="K108" s="162"/>
      <c r="L108" s="162"/>
      <c r="M108" s="189">
        <f>Master201722[[#This Row],[Design $ (Add/Deduct)]]+Master201722[[#This Row],[Construction $ (Add/Ded)]]</f>
        <v>0</v>
      </c>
      <c r="N108" s="171">
        <v>8000000</v>
      </c>
      <c r="O108" s="237">
        <v>2018</v>
      </c>
      <c r="P108" s="236" t="s">
        <v>46</v>
      </c>
      <c r="Q108" s="150">
        <f t="shared" si="17"/>
        <v>50</v>
      </c>
      <c r="R108" s="238">
        <v>2</v>
      </c>
      <c r="S108" s="148">
        <f t="shared" si="15"/>
        <v>6</v>
      </c>
      <c r="T108" s="238" t="s">
        <v>37</v>
      </c>
      <c r="U108" s="151">
        <f t="shared" si="18"/>
        <v>3</v>
      </c>
      <c r="V108" s="238" t="s">
        <v>34</v>
      </c>
      <c r="W108" s="185">
        <v>-1</v>
      </c>
      <c r="X108" s="151">
        <v>0</v>
      </c>
      <c r="Y108" s="151">
        <v>0</v>
      </c>
      <c r="Z108" s="151">
        <v>0</v>
      </c>
      <c r="AA108" s="151">
        <v>-2</v>
      </c>
      <c r="AB108" s="151">
        <v>0</v>
      </c>
      <c r="AC108" s="151">
        <v>-3</v>
      </c>
      <c r="AD108" s="239" t="s">
        <v>29</v>
      </c>
      <c r="AE108" s="157">
        <f>VLOOKUP(Master201722[[#This Row],[Elevated Priority]],Epriority,2,)</f>
        <v>0</v>
      </c>
      <c r="AF108" s="151">
        <f>IF(Master201722[[#This Row],[Status]]="Active",Master201722[[#This Row],[Status_Score]],IF(C108="","",Q108+G108+S108+U108+AE108-5))</f>
        <v>54</v>
      </c>
      <c r="AG108" s="148"/>
      <c r="AH108" s="148">
        <v>2022</v>
      </c>
      <c r="AI108" s="148">
        <v>2024</v>
      </c>
      <c r="AJ108" s="156"/>
    </row>
    <row r="109" spans="1:36" hidden="1" x14ac:dyDescent="0.25">
      <c r="A109" s="198">
        <f t="shared" si="14"/>
        <v>103</v>
      </c>
      <c r="B109" s="149" t="s">
        <v>61</v>
      </c>
      <c r="C109" s="149" t="s">
        <v>795</v>
      </c>
      <c r="D109" s="149" t="s">
        <v>442</v>
      </c>
      <c r="E109" s="149" t="s">
        <v>443</v>
      </c>
      <c r="F109" s="149" t="s">
        <v>29</v>
      </c>
      <c r="G109" s="149">
        <f t="shared" si="13"/>
        <v>0</v>
      </c>
      <c r="H109" s="162"/>
      <c r="I109" s="162"/>
      <c r="J109" s="162">
        <f>Master201722[[#This Row],[Initial Budget]]-Master201722[[#This Row],[Previously Committed Funds]]</f>
        <v>0</v>
      </c>
      <c r="K109" s="162"/>
      <c r="L109" s="162"/>
      <c r="M109" s="189">
        <f>Master201722[[#This Row],[Design $ (Add/Deduct)]]+Master201722[[#This Row],[Construction $ (Add/Ded)]]</f>
        <v>0</v>
      </c>
      <c r="N109" s="171">
        <v>100000</v>
      </c>
      <c r="O109" s="150">
        <v>2018</v>
      </c>
      <c r="P109" s="149" t="s">
        <v>687</v>
      </c>
      <c r="Q109" s="150">
        <f t="shared" si="17"/>
        <v>30</v>
      </c>
      <c r="R109" s="151">
        <v>5</v>
      </c>
      <c r="S109" s="148">
        <f t="shared" si="15"/>
        <v>15</v>
      </c>
      <c r="T109" s="151" t="s">
        <v>43</v>
      </c>
      <c r="U109" s="151">
        <f t="shared" si="18"/>
        <v>16</v>
      </c>
      <c r="V109" s="151" t="s">
        <v>30</v>
      </c>
      <c r="W109" s="151">
        <v>0</v>
      </c>
      <c r="X109" s="151">
        <v>0</v>
      </c>
      <c r="Y109" s="151">
        <v>0</v>
      </c>
      <c r="Z109" s="151">
        <v>0</v>
      </c>
      <c r="AA109" s="151">
        <v>0</v>
      </c>
      <c r="AB109" s="151">
        <v>0</v>
      </c>
      <c r="AC109" s="151">
        <v>0</v>
      </c>
      <c r="AD109" s="152" t="s">
        <v>29</v>
      </c>
      <c r="AE109" s="157">
        <f>VLOOKUP(Master201722[[#This Row],[Elevated Priority]],Epriority,2,)</f>
        <v>0</v>
      </c>
      <c r="AF109" s="151">
        <f>IF(Master201722[[#This Row],[Status]]="Active",Master201722[[#This Row],[Status_Score]],IF(C109="","",Q109+G109+S109+U109+AE109-5))</f>
        <v>56</v>
      </c>
      <c r="AG109" s="148"/>
      <c r="AH109" s="148"/>
      <c r="AI109" s="148"/>
      <c r="AJ109" s="156"/>
    </row>
    <row r="110" spans="1:36" ht="90" x14ac:dyDescent="0.25">
      <c r="A110" s="198">
        <f t="shared" si="14"/>
        <v>104</v>
      </c>
      <c r="B110" s="149" t="s">
        <v>71</v>
      </c>
      <c r="C110" s="149" t="s">
        <v>455</v>
      </c>
      <c r="D110" s="149" t="s">
        <v>904</v>
      </c>
      <c r="E110" s="149" t="s">
        <v>905</v>
      </c>
      <c r="F110" s="149" t="s">
        <v>29</v>
      </c>
      <c r="G110" s="149">
        <f t="shared" si="13"/>
        <v>0</v>
      </c>
      <c r="H110" s="162"/>
      <c r="I110" s="162"/>
      <c r="J110" s="162">
        <f>Master201722[[#This Row],[Initial Budget]]-Master201722[[#This Row],[Previously Committed Funds]]</f>
        <v>0</v>
      </c>
      <c r="K110" s="162"/>
      <c r="L110" s="162"/>
      <c r="M110" s="189">
        <f>Master201722[[#This Row],[Design $ (Add/Deduct)]]+Master201722[[#This Row],[Construction $ (Add/Ded)]]</f>
        <v>0</v>
      </c>
      <c r="N110" s="256">
        <v>8000000</v>
      </c>
      <c r="O110" s="150">
        <v>2018</v>
      </c>
      <c r="P110" s="149" t="s">
        <v>46</v>
      </c>
      <c r="Q110" s="150">
        <f t="shared" si="17"/>
        <v>50</v>
      </c>
      <c r="R110" s="238">
        <v>1</v>
      </c>
      <c r="S110" s="148">
        <f t="shared" si="15"/>
        <v>3</v>
      </c>
      <c r="T110" s="238" t="s">
        <v>37</v>
      </c>
      <c r="U110" s="151">
        <f t="shared" si="18"/>
        <v>3</v>
      </c>
      <c r="V110" s="151" t="s">
        <v>34</v>
      </c>
      <c r="W110" s="185">
        <v>0</v>
      </c>
      <c r="X110" s="151">
        <v>0</v>
      </c>
      <c r="Y110" s="151">
        <v>0</v>
      </c>
      <c r="Z110" s="151">
        <v>0</v>
      </c>
      <c r="AA110" s="151">
        <v>-2</v>
      </c>
      <c r="AB110" s="151">
        <v>-1</v>
      </c>
      <c r="AC110" s="151">
        <v>0</v>
      </c>
      <c r="AD110" s="152" t="s">
        <v>29</v>
      </c>
      <c r="AE110" s="157">
        <f>VLOOKUP(Master201722[[#This Row],[Elevated Priority]],Epriority,2,)</f>
        <v>0</v>
      </c>
      <c r="AF110" s="151">
        <f>IF(Master201722[[#This Row],[Status]]="Active",Master201722[[#This Row],[Status_Score]],IF(C110="","",Q110+G110+S110+U110+AE110-5))</f>
        <v>51</v>
      </c>
      <c r="AG110" s="235"/>
      <c r="AH110" s="235">
        <v>2022</v>
      </c>
      <c r="AI110" s="235">
        <v>2024</v>
      </c>
      <c r="AJ110" s="156" t="s">
        <v>982</v>
      </c>
    </row>
    <row r="111" spans="1:36" ht="30" x14ac:dyDescent="0.25">
      <c r="A111" s="198">
        <f t="shared" si="14"/>
        <v>105</v>
      </c>
      <c r="B111" s="149" t="s">
        <v>70</v>
      </c>
      <c r="C111" s="149" t="s">
        <v>694</v>
      </c>
      <c r="D111" s="149" t="s">
        <v>700</v>
      </c>
      <c r="E111" s="243"/>
      <c r="F111" s="149" t="s">
        <v>29</v>
      </c>
      <c r="G111" s="149">
        <f t="shared" ref="G111:G142" si="19">VLOOKUP(F111,Status_Score,2,FALSE)</f>
        <v>0</v>
      </c>
      <c r="H111" s="162"/>
      <c r="I111" s="162"/>
      <c r="J111" s="162">
        <f>Master201722[[#This Row],[Initial Budget]]-Master201722[[#This Row],[Previously Committed Funds]]</f>
        <v>0</v>
      </c>
      <c r="K111" s="162"/>
      <c r="L111" s="162"/>
      <c r="M111" s="189">
        <f>Master201722[[#This Row],[Design $ (Add/Deduct)]]+Master201722[[#This Row],[Construction $ (Add/Ded)]]</f>
        <v>0</v>
      </c>
      <c r="N111" s="171">
        <v>5000000</v>
      </c>
      <c r="O111" s="244">
        <v>2019</v>
      </c>
      <c r="P111" s="243" t="s">
        <v>46</v>
      </c>
      <c r="Q111" s="150">
        <f t="shared" si="17"/>
        <v>50</v>
      </c>
      <c r="R111" s="235">
        <v>4</v>
      </c>
      <c r="S111" s="148">
        <f t="shared" si="15"/>
        <v>12</v>
      </c>
      <c r="T111" s="235" t="s">
        <v>43</v>
      </c>
      <c r="U111" s="151"/>
      <c r="V111" s="235" t="s">
        <v>34</v>
      </c>
      <c r="W111" s="185">
        <v>0</v>
      </c>
      <c r="X111" s="151">
        <v>0</v>
      </c>
      <c r="Y111" s="151">
        <v>-3</v>
      </c>
      <c r="Z111" s="151">
        <v>-3</v>
      </c>
      <c r="AA111" s="151">
        <v>-2</v>
      </c>
      <c r="AB111" s="151">
        <v>0</v>
      </c>
      <c r="AC111" s="151">
        <v>0</v>
      </c>
      <c r="AD111" s="245" t="s">
        <v>29</v>
      </c>
      <c r="AE111" s="157">
        <f>VLOOKUP(Master201722[[#This Row],[Elevated Priority]],Epriority,2,)</f>
        <v>0</v>
      </c>
      <c r="AF111" s="151">
        <f>IF(Master201722[[#This Row],[Status]]="Active",Master201722[[#This Row],[Status_Score]],IF(C111="","",Q111+G111+S111+U111+AE111-5))</f>
        <v>57</v>
      </c>
      <c r="AG111" s="151"/>
      <c r="AH111" s="151">
        <v>2022</v>
      </c>
      <c r="AI111" s="151">
        <v>2023</v>
      </c>
      <c r="AJ111" s="156"/>
    </row>
    <row r="112" spans="1:36" ht="30" hidden="1" x14ac:dyDescent="0.25">
      <c r="A112" s="198">
        <f t="shared" si="14"/>
        <v>106</v>
      </c>
      <c r="B112" s="149" t="s">
        <v>70</v>
      </c>
      <c r="C112" s="149" t="s">
        <v>366</v>
      </c>
      <c r="D112" s="149" t="s">
        <v>367</v>
      </c>
      <c r="E112" s="149" t="s">
        <v>368</v>
      </c>
      <c r="F112" s="149" t="s">
        <v>29</v>
      </c>
      <c r="G112" s="149">
        <f t="shared" si="19"/>
        <v>0</v>
      </c>
      <c r="H112" s="162"/>
      <c r="I112" s="162"/>
      <c r="J112" s="162">
        <f>Master201722[[#This Row],[Initial Budget]]-Master201722[[#This Row],[Previously Committed Funds]]</f>
        <v>0</v>
      </c>
      <c r="K112" s="162"/>
      <c r="L112" s="162"/>
      <c r="M112" s="189">
        <f>Master201722[[#This Row],[Design $ (Add/Deduct)]]+Master201722[[#This Row],[Construction $ (Add/Ded)]]</f>
        <v>0</v>
      </c>
      <c r="N112" s="171">
        <v>5000</v>
      </c>
      <c r="O112" s="150">
        <v>2018</v>
      </c>
      <c r="P112" s="149" t="s">
        <v>686</v>
      </c>
      <c r="Q112" s="150">
        <f t="shared" si="17"/>
        <v>60</v>
      </c>
      <c r="R112" s="151">
        <v>3</v>
      </c>
      <c r="S112" s="148">
        <f t="shared" si="15"/>
        <v>9</v>
      </c>
      <c r="T112" s="151" t="s">
        <v>41</v>
      </c>
      <c r="U112" s="151">
        <f>VLOOKUP(T112,Urgency,2,FALSE)</f>
        <v>4</v>
      </c>
      <c r="V112" s="151" t="s">
        <v>30</v>
      </c>
      <c r="W112" s="151">
        <v>0</v>
      </c>
      <c r="X112" s="151">
        <v>0</v>
      </c>
      <c r="Y112" s="151">
        <v>0</v>
      </c>
      <c r="Z112" s="151">
        <v>0</v>
      </c>
      <c r="AA112" s="151">
        <v>0</v>
      </c>
      <c r="AB112" s="151">
        <v>0</v>
      </c>
      <c r="AC112" s="151">
        <v>0</v>
      </c>
      <c r="AD112" s="152" t="s">
        <v>29</v>
      </c>
      <c r="AE112" s="157">
        <f>VLOOKUP(Master201722[[#This Row],[Elevated Priority]],Epriority,2,)</f>
        <v>0</v>
      </c>
      <c r="AF112" s="151">
        <f>IF(Master201722[[#This Row],[Status]]="Active",Master201722[[#This Row],[Status_Score]],IF(C112="","",Q112+G112+S112+U112+AE112-5))</f>
        <v>68</v>
      </c>
      <c r="AG112" s="151"/>
      <c r="AH112" s="151">
        <v>2023</v>
      </c>
      <c r="AI112" s="151">
        <v>2024</v>
      </c>
      <c r="AJ112" s="156"/>
    </row>
    <row r="113" spans="1:36" ht="60" x14ac:dyDescent="0.25">
      <c r="A113" s="198">
        <f t="shared" si="14"/>
        <v>107</v>
      </c>
      <c r="B113" s="204" t="s">
        <v>79</v>
      </c>
      <c r="C113" s="279" t="s">
        <v>783</v>
      </c>
      <c r="D113" s="243" t="s">
        <v>785</v>
      </c>
      <c r="E113" s="243" t="s">
        <v>804</v>
      </c>
      <c r="F113" s="149" t="s">
        <v>29</v>
      </c>
      <c r="G113" s="149">
        <f t="shared" si="19"/>
        <v>0</v>
      </c>
      <c r="H113" s="162"/>
      <c r="I113" s="162"/>
      <c r="J113" s="162">
        <f>Master201722[[#This Row],[Initial Budget]]-Master201722[[#This Row],[Previously Committed Funds]]</f>
        <v>0</v>
      </c>
      <c r="K113" s="162"/>
      <c r="L113" s="162"/>
      <c r="M113" s="189">
        <f>Master201722[[#This Row],[Design $ (Add/Deduct)]]+Master201722[[#This Row],[Construction $ (Add/Ded)]]</f>
        <v>0</v>
      </c>
      <c r="N113" s="246">
        <v>100000</v>
      </c>
      <c r="O113" s="244">
        <v>2017</v>
      </c>
      <c r="P113" s="149" t="s">
        <v>686</v>
      </c>
      <c r="Q113" s="150">
        <f t="shared" si="17"/>
        <v>60</v>
      </c>
      <c r="R113" s="235">
        <v>1</v>
      </c>
      <c r="S113" s="148">
        <f t="shared" si="15"/>
        <v>3</v>
      </c>
      <c r="T113" s="235" t="s">
        <v>43</v>
      </c>
      <c r="U113" s="151">
        <f>VLOOKUP(T113,Urgency,2,FALSE)</f>
        <v>16</v>
      </c>
      <c r="V113" s="235" t="s">
        <v>34</v>
      </c>
      <c r="W113" s="185">
        <v>0</v>
      </c>
      <c r="X113" s="151">
        <v>0</v>
      </c>
      <c r="Y113" s="151">
        <v>0</v>
      </c>
      <c r="Z113" s="151">
        <v>0</v>
      </c>
      <c r="AA113" s="151">
        <v>0</v>
      </c>
      <c r="AB113" s="151">
        <v>0</v>
      </c>
      <c r="AC113" s="151">
        <v>-3</v>
      </c>
      <c r="AD113" s="152" t="s">
        <v>29</v>
      </c>
      <c r="AE113" s="157">
        <f>VLOOKUP(Master201722[[#This Row],[Elevated Priority]],Epriority,2,)</f>
        <v>0</v>
      </c>
      <c r="AF113" s="151">
        <f>IF(Master201722[[#This Row],[Status]]="Active",Master201722[[#This Row],[Status_Score]],IF(C113="","",Q113+G113+S113+U113+AE113-5))</f>
        <v>74</v>
      </c>
      <c r="AG113" s="148"/>
      <c r="AH113" s="148"/>
      <c r="AI113" s="148"/>
      <c r="AJ113" s="156"/>
    </row>
    <row r="114" spans="1:36" ht="30" x14ac:dyDescent="0.25">
      <c r="A114" s="198">
        <f t="shared" si="14"/>
        <v>108</v>
      </c>
      <c r="B114" s="149" t="s">
        <v>152</v>
      </c>
      <c r="C114" s="149" t="s">
        <v>926</v>
      </c>
      <c r="D114" s="149" t="s">
        <v>927</v>
      </c>
      <c r="E114" s="149" t="s">
        <v>928</v>
      </c>
      <c r="F114" s="149" t="s">
        <v>29</v>
      </c>
      <c r="G114" s="260">
        <f t="shared" si="19"/>
        <v>0</v>
      </c>
      <c r="H114" s="162"/>
      <c r="I114" s="162"/>
      <c r="J114" s="162">
        <f>Master201722[[#This Row],[Initial Budget]]-Master201722[[#This Row],[Previously Committed Funds]]</f>
        <v>0</v>
      </c>
      <c r="K114" s="162"/>
      <c r="L114" s="162"/>
      <c r="M114" s="189">
        <f>Master201722[[#This Row],[Design $ (Add/Deduct)]]+Master201722[[#This Row],[Construction $ (Add/Ded)]]</f>
        <v>0</v>
      </c>
      <c r="N114" s="171">
        <v>5000000</v>
      </c>
      <c r="O114" s="150">
        <v>2020</v>
      </c>
      <c r="P114" s="149" t="s">
        <v>46</v>
      </c>
      <c r="Q114" s="150">
        <f t="shared" si="17"/>
        <v>50</v>
      </c>
      <c r="R114" s="151">
        <v>1</v>
      </c>
      <c r="S114" s="148">
        <f t="shared" si="15"/>
        <v>3</v>
      </c>
      <c r="T114" s="151" t="s">
        <v>43</v>
      </c>
      <c r="U114" s="151">
        <f>VLOOKUP(T114,Urgency,2,FALSE)</f>
        <v>16</v>
      </c>
      <c r="V114" s="151" t="s">
        <v>34</v>
      </c>
      <c r="W114" s="185">
        <v>-5</v>
      </c>
      <c r="X114" s="151">
        <v>0</v>
      </c>
      <c r="Y114" s="151">
        <v>-3</v>
      </c>
      <c r="Z114" s="151">
        <v>-3</v>
      </c>
      <c r="AA114" s="151">
        <v>-2</v>
      </c>
      <c r="AB114" s="151">
        <v>0</v>
      </c>
      <c r="AC114" s="151">
        <v>0</v>
      </c>
      <c r="AD114" s="152" t="s">
        <v>29</v>
      </c>
      <c r="AE114" s="157">
        <f>VLOOKUP(Master201722[[#This Row],[Elevated Priority]],Epriority,2,)</f>
        <v>0</v>
      </c>
      <c r="AF114" s="151">
        <f>IF(Master201722[[#This Row],[Status]]="Active",Master201722[[#This Row],[Status_Score]],IF(C114="","",Q114+G114+S114+U114+AE114-5))</f>
        <v>64</v>
      </c>
      <c r="AG114" s="148"/>
      <c r="AH114" s="148">
        <v>2021</v>
      </c>
      <c r="AI114" s="148">
        <v>2023</v>
      </c>
      <c r="AJ114" s="156" t="s">
        <v>983</v>
      </c>
    </row>
    <row r="115" spans="1:36" ht="30" x14ac:dyDescent="0.25">
      <c r="A115" s="198">
        <f t="shared" si="14"/>
        <v>109</v>
      </c>
      <c r="B115" s="149" t="s">
        <v>70</v>
      </c>
      <c r="C115" s="149" t="s">
        <v>695</v>
      </c>
      <c r="D115" s="149" t="s">
        <v>701</v>
      </c>
      <c r="E115" s="156"/>
      <c r="F115" s="149" t="s">
        <v>29</v>
      </c>
      <c r="G115" s="149">
        <f t="shared" si="19"/>
        <v>0</v>
      </c>
      <c r="H115" s="162"/>
      <c r="I115" s="162"/>
      <c r="J115" s="162">
        <f>Master201722[[#This Row],[Initial Budget]]-Master201722[[#This Row],[Previously Committed Funds]]</f>
        <v>0</v>
      </c>
      <c r="K115" s="162"/>
      <c r="L115" s="162"/>
      <c r="M115" s="189">
        <f>Master201722[[#This Row],[Design $ (Add/Deduct)]]+Master201722[[#This Row],[Construction $ (Add/Ded)]]</f>
        <v>0</v>
      </c>
      <c r="N115" s="171">
        <v>5000000</v>
      </c>
      <c r="O115" s="157">
        <v>2019</v>
      </c>
      <c r="P115" s="156" t="s">
        <v>46</v>
      </c>
      <c r="Q115" s="150">
        <f t="shared" si="17"/>
        <v>50</v>
      </c>
      <c r="R115" s="148">
        <v>5</v>
      </c>
      <c r="S115" s="148">
        <f t="shared" si="15"/>
        <v>15</v>
      </c>
      <c r="T115" s="148" t="s">
        <v>45</v>
      </c>
      <c r="U115" s="151"/>
      <c r="V115" s="148" t="s">
        <v>34</v>
      </c>
      <c r="W115" s="185">
        <v>0</v>
      </c>
      <c r="X115" s="151">
        <v>0</v>
      </c>
      <c r="Y115" s="151">
        <v>-3</v>
      </c>
      <c r="Z115" s="151">
        <v>-3</v>
      </c>
      <c r="AA115" s="151">
        <v>-2</v>
      </c>
      <c r="AB115" s="151">
        <v>0</v>
      </c>
      <c r="AC115" s="151">
        <v>0</v>
      </c>
      <c r="AD115" s="158" t="s">
        <v>29</v>
      </c>
      <c r="AE115" s="157">
        <f>VLOOKUP(Master201722[[#This Row],[Elevated Priority]],Epriority,2,)</f>
        <v>0</v>
      </c>
      <c r="AF115" s="151">
        <f>IF(Master201722[[#This Row],[Status]]="Active",Master201722[[#This Row],[Status_Score]],IF(C115="","",Q115+G115+S115+U115+AE115-5))</f>
        <v>60</v>
      </c>
      <c r="AG115" s="235"/>
      <c r="AH115" s="235">
        <v>2023</v>
      </c>
      <c r="AI115" s="235">
        <v>2024</v>
      </c>
      <c r="AJ115" s="156"/>
    </row>
    <row r="116" spans="1:36" ht="89.25" hidden="1" customHeight="1" x14ac:dyDescent="0.25">
      <c r="A116" s="198">
        <f t="shared" si="14"/>
        <v>110</v>
      </c>
      <c r="B116" s="149" t="s">
        <v>214</v>
      </c>
      <c r="C116" s="149" t="s">
        <v>447</v>
      </c>
      <c r="D116" s="149" t="s">
        <v>448</v>
      </c>
      <c r="E116" s="149" t="s">
        <v>449</v>
      </c>
      <c r="F116" s="149" t="s">
        <v>29</v>
      </c>
      <c r="G116" s="149">
        <f t="shared" si="19"/>
        <v>0</v>
      </c>
      <c r="H116" s="162"/>
      <c r="I116" s="162"/>
      <c r="J116" s="162">
        <f>Master201722[[#This Row],[Initial Budget]]-Master201722[[#This Row],[Previously Committed Funds]]</f>
        <v>0</v>
      </c>
      <c r="K116" s="162"/>
      <c r="L116" s="162"/>
      <c r="M116" s="189">
        <f>Master201722[[#This Row],[Design $ (Add/Deduct)]]+Master201722[[#This Row],[Construction $ (Add/Ded)]]</f>
        <v>0</v>
      </c>
      <c r="N116" s="171">
        <v>200000</v>
      </c>
      <c r="O116" s="150">
        <v>2018</v>
      </c>
      <c r="P116" s="149" t="s">
        <v>687</v>
      </c>
      <c r="Q116" s="150">
        <f t="shared" si="17"/>
        <v>30</v>
      </c>
      <c r="R116" s="151">
        <v>6</v>
      </c>
      <c r="S116" s="148">
        <f t="shared" si="15"/>
        <v>18</v>
      </c>
      <c r="T116" s="151" t="s">
        <v>43</v>
      </c>
      <c r="U116" s="151">
        <f t="shared" ref="U116:U130" si="20">VLOOKUP(T116,Urgency,2,FALSE)</f>
        <v>16</v>
      </c>
      <c r="V116" s="151" t="s">
        <v>30</v>
      </c>
      <c r="W116" s="151">
        <v>0</v>
      </c>
      <c r="X116" s="151">
        <v>0</v>
      </c>
      <c r="Y116" s="151">
        <v>0</v>
      </c>
      <c r="Z116" s="151">
        <v>0</v>
      </c>
      <c r="AA116" s="151">
        <v>0</v>
      </c>
      <c r="AB116" s="151">
        <v>0</v>
      </c>
      <c r="AC116" s="151">
        <v>0</v>
      </c>
      <c r="AD116" s="152" t="s">
        <v>29</v>
      </c>
      <c r="AE116" s="157">
        <f>VLOOKUP(Master201722[[#This Row],[Elevated Priority]],Epriority,2,)</f>
        <v>0</v>
      </c>
      <c r="AF116" s="151">
        <f>IF(Master201722[[#This Row],[Status]]="Active",Master201722[[#This Row],[Status_Score]],IF(C116="","",Q116+G116+S116+U116+AE116-5))</f>
        <v>59</v>
      </c>
      <c r="AG116" s="148"/>
      <c r="AH116" s="148"/>
      <c r="AI116" s="148"/>
      <c r="AJ116" s="156"/>
    </row>
    <row r="117" spans="1:36" ht="30" hidden="1" x14ac:dyDescent="0.25">
      <c r="A117" s="198">
        <f t="shared" si="14"/>
        <v>111</v>
      </c>
      <c r="B117" s="149" t="s">
        <v>91</v>
      </c>
      <c r="C117" s="161" t="s">
        <v>453</v>
      </c>
      <c r="D117" s="149" t="s">
        <v>454</v>
      </c>
      <c r="E117" s="149"/>
      <c r="F117" s="149" t="s">
        <v>29</v>
      </c>
      <c r="G117" s="149">
        <f t="shared" si="19"/>
        <v>0</v>
      </c>
      <c r="H117" s="162"/>
      <c r="I117" s="162"/>
      <c r="J117" s="162">
        <f>Master201722[[#This Row],[Initial Budget]]-Master201722[[#This Row],[Previously Committed Funds]]</f>
        <v>0</v>
      </c>
      <c r="K117" s="162"/>
      <c r="L117" s="162"/>
      <c r="M117" s="189">
        <f>Master201722[[#This Row],[Design $ (Add/Deduct)]]+Master201722[[#This Row],[Construction $ (Add/Ded)]]</f>
        <v>0</v>
      </c>
      <c r="N117" s="171">
        <v>60000</v>
      </c>
      <c r="O117" s="150">
        <v>2018</v>
      </c>
      <c r="P117" s="149" t="s">
        <v>687</v>
      </c>
      <c r="Q117" s="150">
        <f t="shared" si="17"/>
        <v>30</v>
      </c>
      <c r="R117" s="151">
        <v>8</v>
      </c>
      <c r="S117" s="148">
        <f t="shared" ref="S117:S148" si="21">VLOOKUP(R117,Department,2,FALSE)</f>
        <v>20</v>
      </c>
      <c r="T117" s="151" t="s">
        <v>43</v>
      </c>
      <c r="U117" s="151">
        <f t="shared" si="20"/>
        <v>16</v>
      </c>
      <c r="V117" s="151" t="s">
        <v>30</v>
      </c>
      <c r="W117" s="151">
        <v>0</v>
      </c>
      <c r="X117" s="151">
        <v>0</v>
      </c>
      <c r="Y117" s="151">
        <v>0</v>
      </c>
      <c r="Z117" s="151">
        <v>0</v>
      </c>
      <c r="AA117" s="151">
        <v>0</v>
      </c>
      <c r="AB117" s="151">
        <v>0</v>
      </c>
      <c r="AC117" s="151">
        <v>0</v>
      </c>
      <c r="AD117" s="152" t="s">
        <v>29</v>
      </c>
      <c r="AE117" s="157">
        <f>VLOOKUP(Master201722[[#This Row],[Elevated Priority]],Epriority,2,)</f>
        <v>0</v>
      </c>
      <c r="AF117" s="151">
        <f>IF(Master201722[[#This Row],[Status]]="Active",Master201722[[#This Row],[Status_Score]],IF(C117="","",Q117+G117+S117+U117+AE117-5))</f>
        <v>61</v>
      </c>
      <c r="AG117" s="148"/>
      <c r="AH117" s="148">
        <v>2023</v>
      </c>
      <c r="AI117" s="148">
        <v>2024</v>
      </c>
      <c r="AJ117" s="156"/>
    </row>
    <row r="118" spans="1:36" ht="107.25" customHeight="1" x14ac:dyDescent="0.25">
      <c r="A118" s="198">
        <f t="shared" si="14"/>
        <v>112</v>
      </c>
      <c r="B118" s="236" t="s">
        <v>143</v>
      </c>
      <c r="C118" s="243" t="s">
        <v>166</v>
      </c>
      <c r="D118" s="156" t="s">
        <v>167</v>
      </c>
      <c r="E118" s="156" t="s">
        <v>763</v>
      </c>
      <c r="F118" s="149" t="s">
        <v>29</v>
      </c>
      <c r="G118" s="149">
        <f t="shared" si="19"/>
        <v>0</v>
      </c>
      <c r="H118" s="162"/>
      <c r="I118" s="162"/>
      <c r="J118" s="162">
        <f>Master201722[[#This Row],[Initial Budget]]-Master201722[[#This Row],[Previously Committed Funds]]</f>
        <v>0</v>
      </c>
      <c r="K118" s="162"/>
      <c r="L118" s="162"/>
      <c r="M118" s="189">
        <f>Master201722[[#This Row],[Design $ (Add/Deduct)]]+Master201722[[#This Row],[Construction $ (Add/Ded)]]</f>
        <v>0</v>
      </c>
      <c r="N118" s="249">
        <v>40000</v>
      </c>
      <c r="O118" s="237">
        <v>2018</v>
      </c>
      <c r="P118" s="149" t="s">
        <v>686</v>
      </c>
      <c r="Q118" s="150">
        <f t="shared" si="17"/>
        <v>60</v>
      </c>
      <c r="R118" s="239">
        <v>5</v>
      </c>
      <c r="S118" s="148">
        <f t="shared" si="21"/>
        <v>15</v>
      </c>
      <c r="T118" s="239" t="s">
        <v>41</v>
      </c>
      <c r="U118" s="151">
        <f t="shared" si="20"/>
        <v>4</v>
      </c>
      <c r="V118" s="238" t="s">
        <v>34</v>
      </c>
      <c r="W118" s="185">
        <v>0</v>
      </c>
      <c r="X118" s="151">
        <v>0</v>
      </c>
      <c r="Y118" s="151">
        <v>0</v>
      </c>
      <c r="Z118" s="151">
        <v>0</v>
      </c>
      <c r="AA118" s="151">
        <v>0</v>
      </c>
      <c r="AB118" s="151">
        <v>0</v>
      </c>
      <c r="AC118" s="151">
        <v>-1</v>
      </c>
      <c r="AD118" s="152" t="s">
        <v>29</v>
      </c>
      <c r="AE118" s="157">
        <f>VLOOKUP(Master201722[[#This Row],[Elevated Priority]],Epriority,2,)</f>
        <v>0</v>
      </c>
      <c r="AF118" s="151">
        <f>IF(Master201722[[#This Row],[Status]]="Active",Master201722[[#This Row],[Status_Score]],IF(C118="","",Q118+G118+S118+U118+AE118-5))</f>
        <v>74</v>
      </c>
      <c r="AG118" s="148"/>
      <c r="AH118" s="148"/>
      <c r="AI118" s="148"/>
      <c r="AJ118" s="156"/>
    </row>
    <row r="119" spans="1:36" ht="30" x14ac:dyDescent="0.25">
      <c r="A119" s="198">
        <f t="shared" si="14"/>
        <v>113</v>
      </c>
      <c r="B119" s="149" t="s">
        <v>61</v>
      </c>
      <c r="C119" s="149" t="s">
        <v>473</v>
      </c>
      <c r="D119" s="149" t="s">
        <v>474</v>
      </c>
      <c r="E119" s="149" t="s">
        <v>475</v>
      </c>
      <c r="F119" s="149" t="s">
        <v>29</v>
      </c>
      <c r="G119" s="236">
        <f t="shared" si="19"/>
        <v>0</v>
      </c>
      <c r="H119" s="162"/>
      <c r="I119" s="162"/>
      <c r="J119" s="162">
        <f>Master201722[[#This Row],[Initial Budget]]-Master201722[[#This Row],[Previously Committed Funds]]</f>
        <v>0</v>
      </c>
      <c r="K119" s="162"/>
      <c r="L119" s="162"/>
      <c r="M119" s="189">
        <f>Master201722[[#This Row],[Design $ (Add/Deduct)]]+Master201722[[#This Row],[Construction $ (Add/Ded)]]</f>
        <v>0</v>
      </c>
      <c r="N119" s="171">
        <v>150000</v>
      </c>
      <c r="O119" s="150">
        <v>2018</v>
      </c>
      <c r="P119" s="149" t="s">
        <v>686</v>
      </c>
      <c r="Q119" s="150">
        <f t="shared" si="17"/>
        <v>60</v>
      </c>
      <c r="R119" s="151">
        <v>4</v>
      </c>
      <c r="S119" s="148">
        <f t="shared" si="21"/>
        <v>12</v>
      </c>
      <c r="T119" s="151" t="s">
        <v>43</v>
      </c>
      <c r="U119" s="151">
        <f t="shared" si="20"/>
        <v>16</v>
      </c>
      <c r="V119" s="151" t="s">
        <v>34</v>
      </c>
      <c r="W119" s="185">
        <v>0</v>
      </c>
      <c r="X119" s="151">
        <v>0</v>
      </c>
      <c r="Y119" s="151">
        <v>0</v>
      </c>
      <c r="Z119" s="151">
        <v>0</v>
      </c>
      <c r="AA119" s="151">
        <v>0</v>
      </c>
      <c r="AB119" s="151">
        <v>-5</v>
      </c>
      <c r="AC119" s="151">
        <v>-3</v>
      </c>
      <c r="AD119" s="152" t="s">
        <v>29</v>
      </c>
      <c r="AE119" s="157">
        <f>VLOOKUP(Master201722[[#This Row],[Elevated Priority]],Epriority,2,)</f>
        <v>0</v>
      </c>
      <c r="AF119" s="151">
        <f>IF(Master201722[[#This Row],[Status]]="Active",Master201722[[#This Row],[Status_Score]],IF(C119="","",Q119+G119+S119+U119+AE119-5))</f>
        <v>83</v>
      </c>
      <c r="AG119" s="148"/>
      <c r="AH119" s="148"/>
      <c r="AI119" s="148"/>
      <c r="AJ119" s="156" t="s">
        <v>984</v>
      </c>
    </row>
    <row r="120" spans="1:36" ht="90" hidden="1" x14ac:dyDescent="0.25">
      <c r="A120" s="198">
        <f t="shared" si="14"/>
        <v>114</v>
      </c>
      <c r="B120" s="204" t="s">
        <v>91</v>
      </c>
      <c r="C120" s="164" t="s">
        <v>806</v>
      </c>
      <c r="D120" s="164" t="s">
        <v>793</v>
      </c>
      <c r="E120" s="164" t="s">
        <v>807</v>
      </c>
      <c r="F120" s="149" t="s">
        <v>29</v>
      </c>
      <c r="G120" s="149">
        <f t="shared" si="19"/>
        <v>0</v>
      </c>
      <c r="H120" s="162"/>
      <c r="I120" s="162"/>
      <c r="J120" s="162">
        <f>Master201722[[#This Row],[Initial Budget]]-Master201722[[#This Row],[Previously Committed Funds]]</f>
        <v>0</v>
      </c>
      <c r="K120" s="162">
        <v>40000</v>
      </c>
      <c r="L120" s="162"/>
      <c r="M120" s="189">
        <f>Master201722[[#This Row],[Design $ (Add/Deduct)]]+Master201722[[#This Row],[Construction $ (Add/Ded)]]</f>
        <v>40000</v>
      </c>
      <c r="N120" s="171">
        <v>275000</v>
      </c>
      <c r="O120" s="150">
        <v>2020</v>
      </c>
      <c r="P120" s="149" t="s">
        <v>46</v>
      </c>
      <c r="Q120" s="150">
        <f t="shared" ref="Q120:Q151" si="22">VLOOKUP(P120,Importance,2,FALSE)</f>
        <v>50</v>
      </c>
      <c r="R120" s="151">
        <v>1</v>
      </c>
      <c r="S120" s="148">
        <f t="shared" si="21"/>
        <v>3</v>
      </c>
      <c r="T120" s="151" t="s">
        <v>41</v>
      </c>
      <c r="U120" s="151">
        <f t="shared" si="20"/>
        <v>4</v>
      </c>
      <c r="V120" s="151" t="s">
        <v>30</v>
      </c>
      <c r="W120" s="151">
        <v>0</v>
      </c>
      <c r="X120" s="151">
        <v>0</v>
      </c>
      <c r="Y120" s="151">
        <v>0</v>
      </c>
      <c r="Z120" s="151">
        <v>0</v>
      </c>
      <c r="AA120" s="151">
        <v>0</v>
      </c>
      <c r="AB120" s="151">
        <v>0</v>
      </c>
      <c r="AC120" s="151">
        <v>0</v>
      </c>
      <c r="AD120" s="152" t="s">
        <v>29</v>
      </c>
      <c r="AE120" s="157">
        <f>VLOOKUP(Master201722[[#This Row],[Elevated Priority]],Epriority,2,)</f>
        <v>0</v>
      </c>
      <c r="AF120" s="151">
        <f>IF(Master201722[[#This Row],[Status]]="Active",Master201722[[#This Row],[Status_Score]],IF(C120="","",Q120+G120+S120+U120+AE120-5))</f>
        <v>52</v>
      </c>
      <c r="AG120" s="148"/>
      <c r="AH120" s="148"/>
      <c r="AI120" s="148"/>
      <c r="AJ120" s="156"/>
    </row>
    <row r="121" spans="1:36" ht="30" hidden="1" x14ac:dyDescent="0.25">
      <c r="A121" s="198">
        <f t="shared" si="14"/>
        <v>115</v>
      </c>
      <c r="B121" s="149" t="s">
        <v>214</v>
      </c>
      <c r="C121" s="149" t="s">
        <v>459</v>
      </c>
      <c r="D121" s="149" t="s">
        <v>460</v>
      </c>
      <c r="E121" s="149" t="s">
        <v>461</v>
      </c>
      <c r="F121" s="149" t="s">
        <v>29</v>
      </c>
      <c r="G121" s="149">
        <f t="shared" si="19"/>
        <v>0</v>
      </c>
      <c r="H121" s="162"/>
      <c r="I121" s="162"/>
      <c r="J121" s="162">
        <f>Master201722[[#This Row],[Initial Budget]]-Master201722[[#This Row],[Previously Committed Funds]]</f>
        <v>0</v>
      </c>
      <c r="K121" s="162"/>
      <c r="L121" s="162"/>
      <c r="M121" s="189">
        <f>Master201722[[#This Row],[Design $ (Add/Deduct)]]+Master201722[[#This Row],[Construction $ (Add/Ded)]]</f>
        <v>0</v>
      </c>
      <c r="N121" s="171">
        <v>65000</v>
      </c>
      <c r="O121" s="150">
        <v>2018</v>
      </c>
      <c r="P121" s="149" t="s">
        <v>688</v>
      </c>
      <c r="Q121" s="150">
        <f t="shared" si="22"/>
        <v>20</v>
      </c>
      <c r="R121" s="151">
        <v>5</v>
      </c>
      <c r="S121" s="148">
        <f t="shared" si="21"/>
        <v>15</v>
      </c>
      <c r="T121" s="151" t="s">
        <v>45</v>
      </c>
      <c r="U121" s="151">
        <f t="shared" si="20"/>
        <v>32</v>
      </c>
      <c r="V121" s="151" t="s">
        <v>30</v>
      </c>
      <c r="W121" s="151">
        <v>0</v>
      </c>
      <c r="X121" s="151">
        <v>0</v>
      </c>
      <c r="Y121" s="151">
        <v>0</v>
      </c>
      <c r="Z121" s="151">
        <v>0</v>
      </c>
      <c r="AA121" s="151">
        <v>0</v>
      </c>
      <c r="AB121" s="151">
        <v>0</v>
      </c>
      <c r="AC121" s="151">
        <v>0</v>
      </c>
      <c r="AD121" s="152" t="s">
        <v>29</v>
      </c>
      <c r="AE121" s="157">
        <f>VLOOKUP(Master201722[[#This Row],[Elevated Priority]],Epriority,2,)</f>
        <v>0</v>
      </c>
      <c r="AF121" s="151">
        <f>IF(Master201722[[#This Row],[Status]]="Active",Master201722[[#This Row],[Status_Score]],IF(C121="","",Q121+G121+S121+U121+AE121-5))</f>
        <v>62</v>
      </c>
      <c r="AG121" s="148"/>
      <c r="AH121" s="148"/>
      <c r="AI121" s="148"/>
      <c r="AJ121" s="156"/>
    </row>
    <row r="122" spans="1:36" ht="30" x14ac:dyDescent="0.25">
      <c r="A122" s="198">
        <f t="shared" si="14"/>
        <v>116</v>
      </c>
      <c r="B122" s="204" t="s">
        <v>61</v>
      </c>
      <c r="C122" s="280" t="s">
        <v>796</v>
      </c>
      <c r="D122" s="251" t="s">
        <v>808</v>
      </c>
      <c r="E122" s="261" t="s">
        <v>907</v>
      </c>
      <c r="F122" s="149" t="s">
        <v>29</v>
      </c>
      <c r="G122" s="149">
        <f t="shared" si="19"/>
        <v>0</v>
      </c>
      <c r="H122" s="162"/>
      <c r="I122" s="162"/>
      <c r="J122" s="162">
        <f>Master201722[[#This Row],[Initial Budget]]-Master201722[[#This Row],[Previously Committed Funds]]</f>
        <v>0</v>
      </c>
      <c r="K122" s="162"/>
      <c r="L122" s="162"/>
      <c r="M122" s="189">
        <f>Master201722[[#This Row],[Design $ (Add/Deduct)]]+Master201722[[#This Row],[Construction $ (Add/Ded)]]</f>
        <v>0</v>
      </c>
      <c r="N122" s="171">
        <v>350000</v>
      </c>
      <c r="O122" s="237">
        <v>2020</v>
      </c>
      <c r="P122" s="236" t="s">
        <v>46</v>
      </c>
      <c r="Q122" s="150">
        <f t="shared" si="22"/>
        <v>50</v>
      </c>
      <c r="R122" s="238">
        <v>2</v>
      </c>
      <c r="S122" s="148">
        <f t="shared" si="21"/>
        <v>6</v>
      </c>
      <c r="T122" s="238" t="s">
        <v>41</v>
      </c>
      <c r="U122" s="151">
        <f t="shared" si="20"/>
        <v>4</v>
      </c>
      <c r="V122" s="238" t="s">
        <v>34</v>
      </c>
      <c r="W122" s="185">
        <v>0</v>
      </c>
      <c r="X122" s="151">
        <v>0</v>
      </c>
      <c r="Y122" s="151">
        <v>0</v>
      </c>
      <c r="Z122" s="151">
        <v>0</v>
      </c>
      <c r="AA122" s="151">
        <v>0</v>
      </c>
      <c r="AB122" s="151">
        <v>0</v>
      </c>
      <c r="AC122" s="151">
        <v>0</v>
      </c>
      <c r="AD122" s="239" t="s">
        <v>29</v>
      </c>
      <c r="AE122" s="157">
        <f>VLOOKUP(Master201722[[#This Row],[Elevated Priority]],Epriority,2,)</f>
        <v>0</v>
      </c>
      <c r="AF122" s="151">
        <f>IF(Master201722[[#This Row],[Status]]="Active",Master201722[[#This Row],[Status_Score]],IF(C122="","",Q122+G122+S122+U122+AE122-5))</f>
        <v>55</v>
      </c>
      <c r="AG122" s="148"/>
      <c r="AH122" s="148"/>
      <c r="AI122" s="148"/>
      <c r="AJ122" s="156"/>
    </row>
    <row r="123" spans="1:36" ht="45" hidden="1" x14ac:dyDescent="0.25">
      <c r="A123" s="198">
        <f t="shared" si="14"/>
        <v>117</v>
      </c>
      <c r="B123" s="149" t="s">
        <v>70</v>
      </c>
      <c r="C123" s="149" t="s">
        <v>444</v>
      </c>
      <c r="D123" s="149" t="s">
        <v>445</v>
      </c>
      <c r="E123" s="149" t="s">
        <v>446</v>
      </c>
      <c r="F123" s="149" t="s">
        <v>29</v>
      </c>
      <c r="G123" s="149">
        <f t="shared" si="19"/>
        <v>0</v>
      </c>
      <c r="H123" s="162"/>
      <c r="I123" s="162"/>
      <c r="J123" s="162">
        <f>Master201722[[#This Row],[Initial Budget]]-Master201722[[#This Row],[Previously Committed Funds]]</f>
        <v>0</v>
      </c>
      <c r="K123" s="162"/>
      <c r="L123" s="162"/>
      <c r="M123" s="189">
        <f>Master201722[[#This Row],[Design $ (Add/Deduct)]]+Master201722[[#This Row],[Construction $ (Add/Ded)]]</f>
        <v>0</v>
      </c>
      <c r="N123" s="171">
        <v>5000000</v>
      </c>
      <c r="O123" s="150">
        <v>2018</v>
      </c>
      <c r="P123" s="149" t="s">
        <v>687</v>
      </c>
      <c r="Q123" s="150">
        <f t="shared" si="22"/>
        <v>30</v>
      </c>
      <c r="R123" s="151">
        <v>2</v>
      </c>
      <c r="S123" s="148">
        <f t="shared" si="21"/>
        <v>6</v>
      </c>
      <c r="T123" s="151" t="s">
        <v>45</v>
      </c>
      <c r="U123" s="151">
        <f t="shared" si="20"/>
        <v>32</v>
      </c>
      <c r="V123" s="151" t="s">
        <v>30</v>
      </c>
      <c r="W123" s="151">
        <v>0</v>
      </c>
      <c r="X123" s="151">
        <v>0</v>
      </c>
      <c r="Y123" s="151">
        <v>0</v>
      </c>
      <c r="Z123" s="151">
        <v>0</v>
      </c>
      <c r="AA123" s="151">
        <v>0</v>
      </c>
      <c r="AB123" s="151">
        <v>0</v>
      </c>
      <c r="AC123" s="151">
        <v>0</v>
      </c>
      <c r="AD123" s="152" t="s">
        <v>29</v>
      </c>
      <c r="AE123" s="157">
        <f>VLOOKUP(Master201722[[#This Row],[Elevated Priority]],Epriority,2,)</f>
        <v>0</v>
      </c>
      <c r="AF123" s="151">
        <f>IF(Master201722[[#This Row],[Status]]="Active",Master201722[[#This Row],[Status_Score]],IF(C123="","",Q123+G123+S123+U123+AE123-5))</f>
        <v>63</v>
      </c>
      <c r="AG123" s="148"/>
      <c r="AH123" s="148"/>
      <c r="AI123" s="148"/>
      <c r="AJ123" s="156"/>
    </row>
    <row r="124" spans="1:36" ht="30" x14ac:dyDescent="0.25">
      <c r="A124" s="198">
        <f t="shared" si="14"/>
        <v>118</v>
      </c>
      <c r="B124" s="149" t="s">
        <v>61</v>
      </c>
      <c r="C124" s="236" t="s">
        <v>381</v>
      </c>
      <c r="D124" s="236" t="s">
        <v>382</v>
      </c>
      <c r="E124" s="236" t="s">
        <v>383</v>
      </c>
      <c r="F124" s="149" t="s">
        <v>29</v>
      </c>
      <c r="G124" s="149">
        <f t="shared" si="19"/>
        <v>0</v>
      </c>
      <c r="H124" s="162"/>
      <c r="I124" s="162"/>
      <c r="J124" s="162">
        <f>Master201722[[#This Row],[Initial Budget]]-Master201722[[#This Row],[Previously Committed Funds]]</f>
        <v>0</v>
      </c>
      <c r="K124" s="162"/>
      <c r="L124" s="162"/>
      <c r="M124" s="189">
        <f>Master201722[[#This Row],[Design $ (Add/Deduct)]]+Master201722[[#This Row],[Construction $ (Add/Ded)]]</f>
        <v>0</v>
      </c>
      <c r="N124" s="256">
        <v>15000000</v>
      </c>
      <c r="O124" s="150">
        <v>2018</v>
      </c>
      <c r="P124" s="149" t="s">
        <v>688</v>
      </c>
      <c r="Q124" s="150">
        <f t="shared" si="22"/>
        <v>20</v>
      </c>
      <c r="R124" s="238">
        <v>1</v>
      </c>
      <c r="S124" s="148">
        <f t="shared" si="21"/>
        <v>3</v>
      </c>
      <c r="T124" s="238" t="s">
        <v>47</v>
      </c>
      <c r="U124" s="151">
        <f t="shared" si="20"/>
        <v>64</v>
      </c>
      <c r="V124" s="151" t="s">
        <v>34</v>
      </c>
      <c r="W124" s="185">
        <v>-5</v>
      </c>
      <c r="X124" s="151">
        <v>0</v>
      </c>
      <c r="Y124" s="151">
        <v>-3</v>
      </c>
      <c r="Z124" s="151">
        <v>-3</v>
      </c>
      <c r="AA124" s="151">
        <v>0</v>
      </c>
      <c r="AB124" s="151">
        <v>-3</v>
      </c>
      <c r="AC124" s="151">
        <v>-3</v>
      </c>
      <c r="AD124" s="152" t="s">
        <v>29</v>
      </c>
      <c r="AE124" s="157">
        <f>VLOOKUP(Master201722[[#This Row],[Elevated Priority]],Epriority,2,)</f>
        <v>0</v>
      </c>
      <c r="AF124" s="151">
        <f>IF(Master201722[[#This Row],[Status]]="Active",Master201722[[#This Row],[Status_Score]],IF(C124="","",Q124+G124+S124+U124+AE124-5))</f>
        <v>82</v>
      </c>
      <c r="AG124" s="148"/>
      <c r="AH124" s="148"/>
      <c r="AI124" s="148"/>
      <c r="AJ124" s="156"/>
    </row>
    <row r="125" spans="1:36" ht="30" x14ac:dyDescent="0.25">
      <c r="A125" s="198">
        <f t="shared" si="14"/>
        <v>119</v>
      </c>
      <c r="B125" s="149" t="s">
        <v>65</v>
      </c>
      <c r="C125" s="149" t="s">
        <v>544</v>
      </c>
      <c r="D125" s="149" t="s">
        <v>945</v>
      </c>
      <c r="E125" s="149" t="s">
        <v>546</v>
      </c>
      <c r="F125" s="149" t="s">
        <v>29</v>
      </c>
      <c r="G125" s="149">
        <f t="shared" si="19"/>
        <v>0</v>
      </c>
      <c r="H125" s="162"/>
      <c r="I125" s="162"/>
      <c r="J125" s="162">
        <f>Master201722[[#This Row],[Initial Budget]]-Master201722[[#This Row],[Previously Committed Funds]]</f>
        <v>0</v>
      </c>
      <c r="K125" s="162"/>
      <c r="L125" s="162"/>
      <c r="M125" s="189">
        <f>Master201722[[#This Row],[Design $ (Add/Deduct)]]+Master201722[[#This Row],[Construction $ (Add/Ded)]]</f>
        <v>0</v>
      </c>
      <c r="N125" s="171">
        <v>400000</v>
      </c>
      <c r="O125" s="150">
        <v>2018</v>
      </c>
      <c r="P125" s="149" t="s">
        <v>686</v>
      </c>
      <c r="Q125" s="150">
        <f t="shared" si="22"/>
        <v>60</v>
      </c>
      <c r="R125" s="151">
        <v>6</v>
      </c>
      <c r="S125" s="238">
        <f t="shared" si="21"/>
        <v>18</v>
      </c>
      <c r="T125" s="151" t="s">
        <v>37</v>
      </c>
      <c r="U125" s="151">
        <f t="shared" si="20"/>
        <v>3</v>
      </c>
      <c r="V125" s="151" t="s">
        <v>34</v>
      </c>
      <c r="W125" s="185">
        <v>0</v>
      </c>
      <c r="X125" s="151">
        <v>0</v>
      </c>
      <c r="Y125" s="151">
        <v>0</v>
      </c>
      <c r="Z125" s="151">
        <v>0</v>
      </c>
      <c r="AA125" s="151">
        <v>0</v>
      </c>
      <c r="AB125" s="151">
        <v>0</v>
      </c>
      <c r="AC125" s="151">
        <v>-1</v>
      </c>
      <c r="AD125" s="152" t="s">
        <v>29</v>
      </c>
      <c r="AE125" s="237">
        <f>VLOOKUP(Master201722[[#This Row],[Elevated Priority]],Epriority,2,)</f>
        <v>0</v>
      </c>
      <c r="AF125" s="151">
        <f>IF(Master201722[[#This Row],[Status]]="Active",Master201722[[#This Row],[Status_Score]],IF(C125="","",Q125+G125+S125+U125+AE125-5))</f>
        <v>76</v>
      </c>
      <c r="AG125" s="148"/>
      <c r="AH125" s="148"/>
      <c r="AI125" s="148"/>
      <c r="AJ125" s="156"/>
    </row>
    <row r="126" spans="1:36" ht="105" x14ac:dyDescent="0.25">
      <c r="A126" s="198">
        <f t="shared" si="14"/>
        <v>120</v>
      </c>
      <c r="B126" s="236" t="s">
        <v>69</v>
      </c>
      <c r="C126" s="236" t="s">
        <v>378</v>
      </c>
      <c r="D126" s="236" t="s">
        <v>379</v>
      </c>
      <c r="E126" s="236" t="s">
        <v>380</v>
      </c>
      <c r="F126" s="149" t="s">
        <v>29</v>
      </c>
      <c r="G126" s="149">
        <f t="shared" si="19"/>
        <v>0</v>
      </c>
      <c r="H126" s="162"/>
      <c r="I126" s="162"/>
      <c r="J126" s="162">
        <f>Master201722[[#This Row],[Initial Budget]]-Master201722[[#This Row],[Previously Committed Funds]]</f>
        <v>0</v>
      </c>
      <c r="K126" s="162"/>
      <c r="L126" s="162"/>
      <c r="M126" s="189">
        <f>Master201722[[#This Row],[Design $ (Add/Deduct)]]+Master201722[[#This Row],[Construction $ (Add/Ded)]]</f>
        <v>0</v>
      </c>
      <c r="N126" s="249">
        <v>20000</v>
      </c>
      <c r="O126" s="150">
        <v>2018</v>
      </c>
      <c r="P126" s="149" t="s">
        <v>686</v>
      </c>
      <c r="Q126" s="150">
        <f t="shared" si="22"/>
        <v>60</v>
      </c>
      <c r="R126" s="239">
        <v>2</v>
      </c>
      <c r="S126" s="148">
        <f t="shared" si="21"/>
        <v>6</v>
      </c>
      <c r="T126" s="239" t="s">
        <v>43</v>
      </c>
      <c r="U126" s="151">
        <f t="shared" si="20"/>
        <v>16</v>
      </c>
      <c r="V126" s="151" t="s">
        <v>34</v>
      </c>
      <c r="W126" s="185">
        <v>0</v>
      </c>
      <c r="X126" s="151">
        <v>0</v>
      </c>
      <c r="Y126" s="151">
        <v>0</v>
      </c>
      <c r="Z126" s="151">
        <v>0</v>
      </c>
      <c r="AA126" s="151">
        <v>0</v>
      </c>
      <c r="AB126" s="151">
        <v>0</v>
      </c>
      <c r="AC126" s="151">
        <v>0</v>
      </c>
      <c r="AD126" s="152" t="s">
        <v>29</v>
      </c>
      <c r="AE126" s="157">
        <f>VLOOKUP(Master201722[[#This Row],[Elevated Priority]],Epriority,2,)</f>
        <v>0</v>
      </c>
      <c r="AF126" s="151">
        <f>IF(Master201722[[#This Row],[Status]]="Active",Master201722[[#This Row],[Status_Score]],IF(C126="","",Q126+G126+S126+U126+AE126-5))</f>
        <v>77</v>
      </c>
      <c r="AG126" s="148"/>
      <c r="AH126" s="148"/>
      <c r="AI126" s="148"/>
      <c r="AJ126" s="156"/>
    </row>
    <row r="127" spans="1:36" ht="75" x14ac:dyDescent="0.25">
      <c r="A127" s="198">
        <f t="shared" si="14"/>
        <v>121</v>
      </c>
      <c r="B127" s="149" t="s">
        <v>71</v>
      </c>
      <c r="C127" s="149" t="s">
        <v>516</v>
      </c>
      <c r="D127" s="149" t="s">
        <v>517</v>
      </c>
      <c r="E127" s="149" t="s">
        <v>518</v>
      </c>
      <c r="F127" s="149" t="s">
        <v>29</v>
      </c>
      <c r="G127" s="149">
        <f t="shared" si="19"/>
        <v>0</v>
      </c>
      <c r="H127" s="162"/>
      <c r="I127" s="162"/>
      <c r="J127" s="162">
        <f>Master201722[[#This Row],[Initial Budget]]-Master201722[[#This Row],[Previously Committed Funds]]</f>
        <v>0</v>
      </c>
      <c r="K127" s="162"/>
      <c r="L127" s="162"/>
      <c r="M127" s="189">
        <f>Master201722[[#This Row],[Design $ (Add/Deduct)]]+Master201722[[#This Row],[Construction $ (Add/Ded)]]</f>
        <v>0</v>
      </c>
      <c r="N127" s="171">
        <v>1500000</v>
      </c>
      <c r="O127" s="150">
        <v>2018</v>
      </c>
      <c r="P127" s="149" t="s">
        <v>46</v>
      </c>
      <c r="Q127" s="150">
        <f t="shared" si="22"/>
        <v>50</v>
      </c>
      <c r="R127" s="151">
        <v>3</v>
      </c>
      <c r="S127" s="148">
        <f t="shared" si="21"/>
        <v>9</v>
      </c>
      <c r="T127" s="151" t="s">
        <v>41</v>
      </c>
      <c r="U127" s="151">
        <f t="shared" si="20"/>
        <v>4</v>
      </c>
      <c r="V127" s="151" t="s">
        <v>34</v>
      </c>
      <c r="W127" s="185">
        <v>-1</v>
      </c>
      <c r="X127" s="151">
        <v>0</v>
      </c>
      <c r="Y127" s="151">
        <v>0</v>
      </c>
      <c r="Z127" s="151">
        <v>0</v>
      </c>
      <c r="AA127" s="151">
        <v>0</v>
      </c>
      <c r="AB127" s="151">
        <v>0</v>
      </c>
      <c r="AC127" s="151">
        <v>0</v>
      </c>
      <c r="AD127" s="152" t="s">
        <v>29</v>
      </c>
      <c r="AE127" s="157">
        <f>VLOOKUP(Master201722[[#This Row],[Elevated Priority]],Epriority,2,)</f>
        <v>0</v>
      </c>
      <c r="AF127" s="151">
        <f>IF(Master201722[[#This Row],[Status]]="Active",Master201722[[#This Row],[Status_Score]],IF(C127="","",Q127+G127+S127+U127+AE127-5))</f>
        <v>58</v>
      </c>
      <c r="AG127" s="148"/>
      <c r="AH127" s="148"/>
      <c r="AI127" s="148"/>
      <c r="AJ127" s="156"/>
    </row>
    <row r="128" spans="1:36" ht="90" x14ac:dyDescent="0.25">
      <c r="A128" s="198">
        <f t="shared" si="14"/>
        <v>122</v>
      </c>
      <c r="B128" s="149" t="s">
        <v>61</v>
      </c>
      <c r="C128" s="149" t="s">
        <v>476</v>
      </c>
      <c r="D128" s="149"/>
      <c r="E128" s="149" t="s">
        <v>906</v>
      </c>
      <c r="F128" s="149" t="s">
        <v>29</v>
      </c>
      <c r="G128" s="149">
        <f t="shared" si="19"/>
        <v>0</v>
      </c>
      <c r="H128" s="162"/>
      <c r="I128" s="162"/>
      <c r="J128" s="162">
        <f>Master201722[[#This Row],[Initial Budget]]-Master201722[[#This Row],[Previously Committed Funds]]</f>
        <v>0</v>
      </c>
      <c r="K128" s="162"/>
      <c r="L128" s="162"/>
      <c r="M128" s="189">
        <f>Master201722[[#This Row],[Design $ (Add/Deduct)]]+Master201722[[#This Row],[Construction $ (Add/Ded)]]</f>
        <v>0</v>
      </c>
      <c r="N128" s="171">
        <v>350000</v>
      </c>
      <c r="O128" s="150">
        <v>2018</v>
      </c>
      <c r="P128" s="149" t="s">
        <v>686</v>
      </c>
      <c r="Q128" s="150">
        <f t="shared" si="22"/>
        <v>60</v>
      </c>
      <c r="R128" s="151">
        <v>4</v>
      </c>
      <c r="S128" s="235">
        <f t="shared" si="21"/>
        <v>12</v>
      </c>
      <c r="T128" s="151" t="s">
        <v>43</v>
      </c>
      <c r="U128" s="151">
        <f t="shared" si="20"/>
        <v>16</v>
      </c>
      <c r="V128" s="151" t="s">
        <v>34</v>
      </c>
      <c r="W128" s="185">
        <v>-5</v>
      </c>
      <c r="X128" s="151">
        <v>0</v>
      </c>
      <c r="Y128" s="151">
        <v>0</v>
      </c>
      <c r="Z128" s="151">
        <v>0</v>
      </c>
      <c r="AA128" s="151">
        <v>0</v>
      </c>
      <c r="AB128" s="151">
        <v>0</v>
      </c>
      <c r="AC128" s="151">
        <v>0</v>
      </c>
      <c r="AD128" s="152" t="s">
        <v>29</v>
      </c>
      <c r="AE128" s="244">
        <f>VLOOKUP(Master201722[[#This Row],[Elevated Priority]],Epriority,2,)</f>
        <v>0</v>
      </c>
      <c r="AF128" s="151">
        <f>IF(Master201722[[#This Row],[Status]]="Active",Master201722[[#This Row],[Status_Score]],IF(C128="","",Q128+G128+S128+U128+AE128-5))</f>
        <v>83</v>
      </c>
      <c r="AG128" s="148"/>
      <c r="AH128" s="148"/>
      <c r="AI128" s="148"/>
      <c r="AJ128" s="156"/>
    </row>
    <row r="129" spans="1:36" ht="30" hidden="1" x14ac:dyDescent="0.25">
      <c r="A129" s="198">
        <f t="shared" si="14"/>
        <v>123</v>
      </c>
      <c r="B129" s="149" t="s">
        <v>61</v>
      </c>
      <c r="C129" s="149" t="s">
        <v>345</v>
      </c>
      <c r="D129" s="149" t="s">
        <v>346</v>
      </c>
      <c r="E129" s="149" t="s">
        <v>347</v>
      </c>
      <c r="F129" s="149" t="s">
        <v>29</v>
      </c>
      <c r="G129" s="149">
        <f t="shared" si="19"/>
        <v>0</v>
      </c>
      <c r="H129" s="162"/>
      <c r="I129" s="162"/>
      <c r="J129" s="162">
        <f>Master201722[[#This Row],[Initial Budget]]-Master201722[[#This Row],[Previously Committed Funds]]</f>
        <v>0</v>
      </c>
      <c r="K129" s="162"/>
      <c r="L129" s="162"/>
      <c r="M129" s="189">
        <f>Master201722[[#This Row],[Design $ (Add/Deduct)]]+Master201722[[#This Row],[Construction $ (Add/Ded)]]</f>
        <v>0</v>
      </c>
      <c r="N129" s="171">
        <v>75000</v>
      </c>
      <c r="O129" s="150">
        <v>2018</v>
      </c>
      <c r="P129" s="149" t="s">
        <v>687</v>
      </c>
      <c r="Q129" s="150">
        <f t="shared" si="22"/>
        <v>30</v>
      </c>
      <c r="R129" s="151">
        <v>3</v>
      </c>
      <c r="S129" s="148">
        <f t="shared" si="21"/>
        <v>9</v>
      </c>
      <c r="T129" s="151" t="s">
        <v>45</v>
      </c>
      <c r="U129" s="151">
        <f t="shared" si="20"/>
        <v>32</v>
      </c>
      <c r="V129" s="151" t="s">
        <v>30</v>
      </c>
      <c r="W129" s="151">
        <v>0</v>
      </c>
      <c r="X129" s="151">
        <v>0</v>
      </c>
      <c r="Y129" s="151">
        <v>0</v>
      </c>
      <c r="Z129" s="151">
        <v>0</v>
      </c>
      <c r="AA129" s="151">
        <v>0</v>
      </c>
      <c r="AB129" s="151">
        <v>0</v>
      </c>
      <c r="AC129" s="151">
        <v>0</v>
      </c>
      <c r="AD129" s="152" t="s">
        <v>29</v>
      </c>
      <c r="AE129" s="157">
        <f>VLOOKUP(Master201722[[#This Row],[Elevated Priority]],Epriority,2,)</f>
        <v>0</v>
      </c>
      <c r="AF129" s="151">
        <f>IF(Master201722[[#This Row],[Status]]="Active",Master201722[[#This Row],[Status_Score]],IF(C129="","",Q129+G129+S129+U129+AE129-5))</f>
        <v>66</v>
      </c>
      <c r="AG129" s="148"/>
      <c r="AH129" s="148"/>
      <c r="AI129" s="148"/>
      <c r="AJ129" s="156"/>
    </row>
    <row r="130" spans="1:36" hidden="1" x14ac:dyDescent="0.25">
      <c r="A130" s="198">
        <f t="shared" si="14"/>
        <v>124</v>
      </c>
      <c r="B130" s="149" t="s">
        <v>94</v>
      </c>
      <c r="C130" s="149" t="s">
        <v>581</v>
      </c>
      <c r="D130" s="149" t="s">
        <v>582</v>
      </c>
      <c r="E130" s="149"/>
      <c r="F130" s="149" t="s">
        <v>29</v>
      </c>
      <c r="G130" s="149">
        <f t="shared" si="19"/>
        <v>0</v>
      </c>
      <c r="H130" s="162"/>
      <c r="I130" s="162"/>
      <c r="J130" s="162">
        <f>Master201722[[#This Row],[Initial Budget]]-Master201722[[#This Row],[Previously Committed Funds]]</f>
        <v>0</v>
      </c>
      <c r="K130" s="162"/>
      <c r="L130" s="162"/>
      <c r="M130" s="189">
        <f>Master201722[[#This Row],[Design $ (Add/Deduct)]]+Master201722[[#This Row],[Construction $ (Add/Ded)]]</f>
        <v>0</v>
      </c>
      <c r="N130" s="171">
        <v>650000</v>
      </c>
      <c r="O130" s="152">
        <v>2019</v>
      </c>
      <c r="P130" s="149" t="s">
        <v>687</v>
      </c>
      <c r="Q130" s="150">
        <f t="shared" si="22"/>
        <v>30</v>
      </c>
      <c r="R130" s="151">
        <v>19</v>
      </c>
      <c r="S130" s="148">
        <f t="shared" si="21"/>
        <v>26</v>
      </c>
      <c r="T130" s="151" t="s">
        <v>43</v>
      </c>
      <c r="U130" s="151">
        <f t="shared" si="20"/>
        <v>16</v>
      </c>
      <c r="V130" s="151" t="s">
        <v>30</v>
      </c>
      <c r="W130" s="151">
        <v>0</v>
      </c>
      <c r="X130" s="151">
        <v>0</v>
      </c>
      <c r="Y130" s="151">
        <v>0</v>
      </c>
      <c r="Z130" s="151">
        <v>0</v>
      </c>
      <c r="AA130" s="151">
        <v>0</v>
      </c>
      <c r="AB130" s="151">
        <v>0</v>
      </c>
      <c r="AC130" s="151">
        <v>0</v>
      </c>
      <c r="AD130" s="152" t="s">
        <v>29</v>
      </c>
      <c r="AE130" s="157">
        <f>VLOOKUP(Master201722[[#This Row],[Elevated Priority]],Epriority,2,)</f>
        <v>0</v>
      </c>
      <c r="AF130" s="151">
        <f>IF(Master201722[[#This Row],[Status]]="Active",Master201722[[#This Row],[Status_Score]],IF(C130="","",Q130+G130+S130+U130+AE130-5))</f>
        <v>67</v>
      </c>
      <c r="AG130" s="151"/>
      <c r="AH130" s="151"/>
      <c r="AI130" s="151"/>
      <c r="AJ130" s="156"/>
    </row>
    <row r="131" spans="1:36" ht="30" x14ac:dyDescent="0.25">
      <c r="A131" s="198">
        <f t="shared" si="14"/>
        <v>125</v>
      </c>
      <c r="B131" s="149" t="s">
        <v>70</v>
      </c>
      <c r="C131" s="149" t="s">
        <v>696</v>
      </c>
      <c r="D131" s="149" t="s">
        <v>702</v>
      </c>
      <c r="E131" s="243"/>
      <c r="F131" s="149" t="s">
        <v>29</v>
      </c>
      <c r="G131" s="149">
        <f t="shared" si="19"/>
        <v>0</v>
      </c>
      <c r="H131" s="162"/>
      <c r="I131" s="162"/>
      <c r="J131" s="162">
        <f>Master201722[[#This Row],[Initial Budget]]-Master201722[[#This Row],[Previously Committed Funds]]</f>
        <v>0</v>
      </c>
      <c r="K131" s="162"/>
      <c r="L131" s="162"/>
      <c r="M131" s="189">
        <f>Master201722[[#This Row],[Design $ (Add/Deduct)]]+Master201722[[#This Row],[Construction $ (Add/Ded)]]</f>
        <v>0</v>
      </c>
      <c r="N131" s="256">
        <v>10000000</v>
      </c>
      <c r="O131" s="244">
        <v>2019</v>
      </c>
      <c r="P131" s="243" t="s">
        <v>46</v>
      </c>
      <c r="Q131" s="150">
        <f t="shared" si="22"/>
        <v>50</v>
      </c>
      <c r="R131" s="235">
        <v>6</v>
      </c>
      <c r="S131" s="148">
        <f t="shared" si="21"/>
        <v>18</v>
      </c>
      <c r="T131" s="235" t="s">
        <v>45</v>
      </c>
      <c r="U131" s="151"/>
      <c r="V131" s="235" t="s">
        <v>34</v>
      </c>
      <c r="W131" s="185">
        <v>0</v>
      </c>
      <c r="X131" s="151">
        <v>0</v>
      </c>
      <c r="Y131" s="151">
        <v>0</v>
      </c>
      <c r="Z131" s="151">
        <v>0</v>
      </c>
      <c r="AA131" s="151">
        <v>0</v>
      </c>
      <c r="AB131" s="151">
        <v>0</v>
      </c>
      <c r="AC131" s="151">
        <v>0</v>
      </c>
      <c r="AD131" s="245" t="s">
        <v>29</v>
      </c>
      <c r="AE131" s="157">
        <f>VLOOKUP(Master201722[[#This Row],[Elevated Priority]],Epriority,2,)</f>
        <v>0</v>
      </c>
      <c r="AF131" s="151">
        <f>IF(Master201722[[#This Row],[Status]]="Active",Master201722[[#This Row],[Status_Score]],IF(C131="","",Q131+G131+S131+U131+AE131-5))</f>
        <v>63</v>
      </c>
      <c r="AG131" s="238"/>
      <c r="AH131" s="238"/>
      <c r="AI131" s="238"/>
      <c r="AJ131" s="156"/>
    </row>
    <row r="132" spans="1:36" ht="45" x14ac:dyDescent="0.25">
      <c r="A132" s="198">
        <f t="shared" si="14"/>
        <v>126</v>
      </c>
      <c r="B132" s="149" t="s">
        <v>65</v>
      </c>
      <c r="C132" s="149" t="s">
        <v>468</v>
      </c>
      <c r="D132" s="149" t="s">
        <v>671</v>
      </c>
      <c r="E132" s="149" t="s">
        <v>469</v>
      </c>
      <c r="F132" s="149" t="s">
        <v>29</v>
      </c>
      <c r="G132" s="149">
        <f t="shared" si="19"/>
        <v>0</v>
      </c>
      <c r="H132" s="162"/>
      <c r="I132" s="162"/>
      <c r="J132" s="162">
        <f>Master201722[[#This Row],[Initial Budget]]-Master201722[[#This Row],[Previously Committed Funds]]</f>
        <v>0</v>
      </c>
      <c r="K132" s="162"/>
      <c r="L132" s="162"/>
      <c r="M132" s="189">
        <f>Master201722[[#This Row],[Design $ (Add/Deduct)]]+Master201722[[#This Row],[Construction $ (Add/Ded)]]</f>
        <v>0</v>
      </c>
      <c r="N132" s="171">
        <v>250000</v>
      </c>
      <c r="O132" s="150">
        <v>2018</v>
      </c>
      <c r="P132" s="149" t="s">
        <v>686</v>
      </c>
      <c r="Q132" s="150">
        <f t="shared" si="22"/>
        <v>60</v>
      </c>
      <c r="R132" s="151">
        <v>4</v>
      </c>
      <c r="S132" s="148">
        <f t="shared" si="21"/>
        <v>12</v>
      </c>
      <c r="T132" s="151" t="s">
        <v>43</v>
      </c>
      <c r="U132" s="151">
        <f t="shared" ref="U132:U176" si="23">VLOOKUP(T132,Urgency,2,FALSE)</f>
        <v>16</v>
      </c>
      <c r="V132" s="151" t="s">
        <v>34</v>
      </c>
      <c r="W132" s="185">
        <v>0</v>
      </c>
      <c r="X132" s="151">
        <v>0</v>
      </c>
      <c r="Y132" s="151">
        <v>0</v>
      </c>
      <c r="Z132" s="151">
        <v>0</v>
      </c>
      <c r="AA132" s="151">
        <v>0</v>
      </c>
      <c r="AB132" s="151">
        <v>0</v>
      </c>
      <c r="AC132" s="151">
        <v>0</v>
      </c>
      <c r="AD132" s="152" t="s">
        <v>29</v>
      </c>
      <c r="AE132" s="157">
        <f>VLOOKUP(Master201722[[#This Row],[Elevated Priority]],Epriority,2,)</f>
        <v>0</v>
      </c>
      <c r="AF132" s="151">
        <f>IF(Master201722[[#This Row],[Status]]="Active",Master201722[[#This Row],[Status_Score]],IF(C132="","",Q132+G132+S132+U132+AE132-5))</f>
        <v>83</v>
      </c>
      <c r="AG132" s="148"/>
      <c r="AH132" s="148"/>
      <c r="AI132" s="148"/>
      <c r="AJ132" s="156"/>
    </row>
    <row r="133" spans="1:36" ht="30" hidden="1" x14ac:dyDescent="0.25">
      <c r="A133" s="198">
        <f t="shared" si="14"/>
        <v>127</v>
      </c>
      <c r="B133" s="149" t="s">
        <v>91</v>
      </c>
      <c r="C133" s="149" t="s">
        <v>492</v>
      </c>
      <c r="D133" s="149" t="s">
        <v>493</v>
      </c>
      <c r="E133" s="149" t="s">
        <v>494</v>
      </c>
      <c r="F133" s="149" t="s">
        <v>29</v>
      </c>
      <c r="G133" s="149">
        <f t="shared" si="19"/>
        <v>0</v>
      </c>
      <c r="H133" s="162"/>
      <c r="I133" s="162"/>
      <c r="J133" s="162">
        <f>Master201722[[#This Row],[Initial Budget]]-Master201722[[#This Row],[Previously Committed Funds]]</f>
        <v>0</v>
      </c>
      <c r="K133" s="162"/>
      <c r="L133" s="162"/>
      <c r="M133" s="189">
        <f>Master201722[[#This Row],[Design $ (Add/Deduct)]]+Master201722[[#This Row],[Construction $ (Add/Ded)]]</f>
        <v>0</v>
      </c>
      <c r="N133" s="171">
        <v>75000</v>
      </c>
      <c r="O133" s="150">
        <v>2018</v>
      </c>
      <c r="P133" s="149" t="s">
        <v>688</v>
      </c>
      <c r="Q133" s="150">
        <f t="shared" si="22"/>
        <v>20</v>
      </c>
      <c r="R133" s="151">
        <v>10</v>
      </c>
      <c r="S133" s="148">
        <f t="shared" si="21"/>
        <v>21</v>
      </c>
      <c r="T133" s="151" t="s">
        <v>45</v>
      </c>
      <c r="U133" s="151">
        <f t="shared" si="23"/>
        <v>32</v>
      </c>
      <c r="V133" s="151" t="s">
        <v>30</v>
      </c>
      <c r="W133" s="151">
        <v>0</v>
      </c>
      <c r="X133" s="151">
        <v>0</v>
      </c>
      <c r="Y133" s="151">
        <v>0</v>
      </c>
      <c r="Z133" s="151">
        <v>0</v>
      </c>
      <c r="AA133" s="151">
        <v>0</v>
      </c>
      <c r="AB133" s="151">
        <v>0</v>
      </c>
      <c r="AC133" s="151">
        <v>0</v>
      </c>
      <c r="AD133" s="152" t="s">
        <v>29</v>
      </c>
      <c r="AE133" s="157">
        <f>VLOOKUP(Master201722[[#This Row],[Elevated Priority]],Epriority,2,)</f>
        <v>0</v>
      </c>
      <c r="AF133" s="151">
        <f>IF(Master201722[[#This Row],[Status]]="Active",Master201722[[#This Row],[Status_Score]],IF(C133="","",Q133+G133+S133+U133+AE133-5))</f>
        <v>68</v>
      </c>
      <c r="AG133" s="151"/>
      <c r="AH133" s="151"/>
      <c r="AI133" s="151"/>
      <c r="AJ133" s="156"/>
    </row>
    <row r="134" spans="1:36" ht="30" x14ac:dyDescent="0.25">
      <c r="A134" s="198">
        <f t="shared" si="14"/>
        <v>128</v>
      </c>
      <c r="B134" s="149" t="s">
        <v>70</v>
      </c>
      <c r="C134" s="149" t="s">
        <v>408</v>
      </c>
      <c r="D134" s="149" t="s">
        <v>409</v>
      </c>
      <c r="E134" s="149" t="s">
        <v>410</v>
      </c>
      <c r="F134" s="149" t="s">
        <v>29</v>
      </c>
      <c r="G134" s="149">
        <f t="shared" si="19"/>
        <v>0</v>
      </c>
      <c r="H134" s="162"/>
      <c r="I134" s="162"/>
      <c r="J134" s="162">
        <f>Master201722[[#This Row],[Initial Budget]]-Master201722[[#This Row],[Previously Committed Funds]]</f>
        <v>0</v>
      </c>
      <c r="K134" s="162"/>
      <c r="L134" s="162"/>
      <c r="M134" s="189">
        <f>Master201722[[#This Row],[Design $ (Add/Deduct)]]+Master201722[[#This Row],[Construction $ (Add/Ded)]]</f>
        <v>0</v>
      </c>
      <c r="N134" s="171">
        <v>750000</v>
      </c>
      <c r="O134" s="150">
        <v>2018</v>
      </c>
      <c r="P134" s="149" t="s">
        <v>686</v>
      </c>
      <c r="Q134" s="150">
        <f t="shared" si="22"/>
        <v>60</v>
      </c>
      <c r="R134" s="151">
        <v>5</v>
      </c>
      <c r="S134" s="148">
        <f t="shared" si="21"/>
        <v>15</v>
      </c>
      <c r="T134" s="151" t="s">
        <v>43</v>
      </c>
      <c r="U134" s="151">
        <f t="shared" si="23"/>
        <v>16</v>
      </c>
      <c r="V134" s="151" t="s">
        <v>34</v>
      </c>
      <c r="W134" s="185">
        <v>0</v>
      </c>
      <c r="X134" s="151">
        <v>0</v>
      </c>
      <c r="Y134" s="151">
        <v>0</v>
      </c>
      <c r="Z134" s="151">
        <v>0</v>
      </c>
      <c r="AA134" s="151">
        <v>0</v>
      </c>
      <c r="AB134" s="151">
        <v>0</v>
      </c>
      <c r="AC134" s="151">
        <v>-1</v>
      </c>
      <c r="AD134" s="152" t="s">
        <v>29</v>
      </c>
      <c r="AE134" s="157">
        <f>VLOOKUP(Master201722[[#This Row],[Elevated Priority]],Epriority,2,)</f>
        <v>0</v>
      </c>
      <c r="AF134" s="151">
        <f>IF(Master201722[[#This Row],[Status]]="Active",Master201722[[#This Row],[Status_Score]],IF(C134="","",Q134+G134+S134+U134+AE134-5))</f>
        <v>86</v>
      </c>
      <c r="AG134" s="238"/>
      <c r="AH134" s="238"/>
      <c r="AI134" s="238"/>
      <c r="AJ134" s="156"/>
    </row>
    <row r="135" spans="1:36" ht="75" hidden="1" x14ac:dyDescent="0.25">
      <c r="A135" s="198">
        <f t="shared" si="14"/>
        <v>129</v>
      </c>
      <c r="B135" s="204" t="s">
        <v>67</v>
      </c>
      <c r="C135" s="164" t="s">
        <v>788</v>
      </c>
      <c r="D135" s="164" t="s">
        <v>789</v>
      </c>
      <c r="E135" s="164" t="s">
        <v>790</v>
      </c>
      <c r="F135" s="149" t="s">
        <v>29</v>
      </c>
      <c r="G135" s="149">
        <f t="shared" si="19"/>
        <v>0</v>
      </c>
      <c r="H135" s="162"/>
      <c r="I135" s="162"/>
      <c r="J135" s="162">
        <f>Master201722[[#This Row],[Initial Budget]]-Master201722[[#This Row],[Previously Committed Funds]]</f>
        <v>0</v>
      </c>
      <c r="K135" s="162"/>
      <c r="L135" s="162"/>
      <c r="M135" s="189">
        <f>Master201722[[#This Row],[Design $ (Add/Deduct)]]+Master201722[[#This Row],[Construction $ (Add/Ded)]]</f>
        <v>0</v>
      </c>
      <c r="N135" s="171">
        <v>60000</v>
      </c>
      <c r="O135" s="150">
        <v>2020</v>
      </c>
      <c r="P135" s="149" t="s">
        <v>686</v>
      </c>
      <c r="Q135" s="150">
        <f t="shared" si="22"/>
        <v>60</v>
      </c>
      <c r="R135" s="151">
        <v>10</v>
      </c>
      <c r="S135" s="148">
        <f t="shared" si="21"/>
        <v>21</v>
      </c>
      <c r="T135" s="151" t="s">
        <v>41</v>
      </c>
      <c r="U135" s="151">
        <f t="shared" si="23"/>
        <v>4</v>
      </c>
      <c r="V135" s="151" t="s">
        <v>30</v>
      </c>
      <c r="W135" s="151">
        <v>0</v>
      </c>
      <c r="X135" s="151">
        <v>0</v>
      </c>
      <c r="Y135" s="151">
        <v>0</v>
      </c>
      <c r="Z135" s="151">
        <v>0</v>
      </c>
      <c r="AA135" s="151">
        <v>0</v>
      </c>
      <c r="AB135" s="151">
        <v>0</v>
      </c>
      <c r="AC135" s="151">
        <v>0</v>
      </c>
      <c r="AD135" s="152" t="s">
        <v>29</v>
      </c>
      <c r="AE135" s="157">
        <f>VLOOKUP(Master201722[[#This Row],[Elevated Priority]],Epriority,2,)</f>
        <v>0</v>
      </c>
      <c r="AF135" s="151">
        <f>IF(Master201722[[#This Row],[Status]]="Active",Master201722[[#This Row],[Status_Score]],IF(C135="","",Q135+G135+S135+U135+AE135-5))</f>
        <v>80</v>
      </c>
      <c r="AG135" s="148"/>
      <c r="AH135" s="148"/>
      <c r="AI135" s="148"/>
      <c r="AJ135" s="156"/>
    </row>
    <row r="136" spans="1:36" ht="30" hidden="1" x14ac:dyDescent="0.25">
      <c r="A136" s="198">
        <f t="shared" si="14"/>
        <v>130</v>
      </c>
      <c r="B136" s="149" t="s">
        <v>79</v>
      </c>
      <c r="C136" s="149" t="s">
        <v>510</v>
      </c>
      <c r="D136" s="149" t="s">
        <v>511</v>
      </c>
      <c r="E136" s="149" t="s">
        <v>512</v>
      </c>
      <c r="F136" s="149" t="s">
        <v>29</v>
      </c>
      <c r="G136" s="149">
        <f t="shared" si="19"/>
        <v>0</v>
      </c>
      <c r="H136" s="162"/>
      <c r="I136" s="162"/>
      <c r="J136" s="162">
        <f>Master201722[[#This Row],[Initial Budget]]-Master201722[[#This Row],[Previously Committed Funds]]</f>
        <v>0</v>
      </c>
      <c r="K136" s="162"/>
      <c r="L136" s="162"/>
      <c r="M136" s="189">
        <f>Master201722[[#This Row],[Design $ (Add/Deduct)]]+Master201722[[#This Row],[Construction $ (Add/Ded)]]</f>
        <v>0</v>
      </c>
      <c r="N136" s="171">
        <v>15000</v>
      </c>
      <c r="O136" s="150">
        <v>2018</v>
      </c>
      <c r="P136" s="149" t="s">
        <v>688</v>
      </c>
      <c r="Q136" s="150">
        <f t="shared" si="22"/>
        <v>20</v>
      </c>
      <c r="R136" s="151">
        <v>16</v>
      </c>
      <c r="S136" s="148">
        <f t="shared" si="21"/>
        <v>24</v>
      </c>
      <c r="T136" s="151" t="s">
        <v>45</v>
      </c>
      <c r="U136" s="151">
        <f t="shared" si="23"/>
        <v>32</v>
      </c>
      <c r="V136" s="151" t="s">
        <v>30</v>
      </c>
      <c r="W136" s="151">
        <v>0</v>
      </c>
      <c r="X136" s="151">
        <v>0</v>
      </c>
      <c r="Y136" s="151">
        <v>0</v>
      </c>
      <c r="Z136" s="151">
        <v>0</v>
      </c>
      <c r="AA136" s="151">
        <v>0</v>
      </c>
      <c r="AB136" s="151">
        <v>0</v>
      </c>
      <c r="AC136" s="151">
        <v>0</v>
      </c>
      <c r="AD136" s="152" t="s">
        <v>29</v>
      </c>
      <c r="AE136" s="157">
        <f>VLOOKUP(Master201722[[#This Row],[Elevated Priority]],Epriority,2,)</f>
        <v>0</v>
      </c>
      <c r="AF136" s="151">
        <f>IF(Master201722[[#This Row],[Status]]="Active",Master201722[[#This Row],[Status_Score]],IF(C136="","",Q136+G136+S136+U136+AE136-5))</f>
        <v>71</v>
      </c>
      <c r="AG136" s="148"/>
      <c r="AH136" s="148"/>
      <c r="AI136" s="148"/>
      <c r="AJ136" s="156"/>
    </row>
    <row r="137" spans="1:36" hidden="1" x14ac:dyDescent="0.25">
      <c r="A137" s="198">
        <f t="shared" si="14"/>
        <v>131</v>
      </c>
      <c r="B137" s="149" t="s">
        <v>94</v>
      </c>
      <c r="C137" s="147" t="s">
        <v>319</v>
      </c>
      <c r="D137" s="147" t="s">
        <v>320</v>
      </c>
      <c r="E137" s="168" t="s">
        <v>321</v>
      </c>
      <c r="F137" s="149" t="s">
        <v>29</v>
      </c>
      <c r="G137" s="149">
        <f t="shared" si="19"/>
        <v>0</v>
      </c>
      <c r="H137" s="162"/>
      <c r="I137" s="162"/>
      <c r="J137" s="162">
        <f>Master201722[[#This Row],[Initial Budget]]-Master201722[[#This Row],[Previously Committed Funds]]</f>
        <v>0</v>
      </c>
      <c r="K137" s="162"/>
      <c r="L137" s="162"/>
      <c r="M137" s="189">
        <f>Master201722[[#This Row],[Design $ (Add/Deduct)]]+Master201722[[#This Row],[Construction $ (Add/Ded)]]</f>
        <v>0</v>
      </c>
      <c r="N137" s="171">
        <v>50000</v>
      </c>
      <c r="O137" s="150">
        <v>2018</v>
      </c>
      <c r="P137" s="149" t="s">
        <v>686</v>
      </c>
      <c r="Q137" s="150">
        <f t="shared" si="22"/>
        <v>60</v>
      </c>
      <c r="R137" s="151">
        <v>20</v>
      </c>
      <c r="S137" s="148">
        <f t="shared" si="21"/>
        <v>26</v>
      </c>
      <c r="T137" s="151" t="s">
        <v>33</v>
      </c>
      <c r="U137" s="151">
        <f t="shared" si="23"/>
        <v>1</v>
      </c>
      <c r="V137" s="151" t="s">
        <v>30</v>
      </c>
      <c r="W137" s="151">
        <v>0</v>
      </c>
      <c r="X137" s="151">
        <v>0</v>
      </c>
      <c r="Y137" s="151">
        <v>0</v>
      </c>
      <c r="Z137" s="151">
        <v>0</v>
      </c>
      <c r="AA137" s="151">
        <v>0</v>
      </c>
      <c r="AB137" s="151">
        <v>0</v>
      </c>
      <c r="AC137" s="151">
        <v>0</v>
      </c>
      <c r="AD137" s="152" t="s">
        <v>29</v>
      </c>
      <c r="AE137" s="157">
        <f>VLOOKUP(Master201722[[#This Row],[Elevated Priority]],Epriority,2,)</f>
        <v>0</v>
      </c>
      <c r="AF137" s="151">
        <f>IF(Master201722[[#This Row],[Status]]="Active",Master201722[[#This Row],[Status_Score]],IF(C137="","",Q137+G137+S137+U137+AE137-5))</f>
        <v>82</v>
      </c>
      <c r="AG137" s="148"/>
      <c r="AH137" s="148"/>
      <c r="AI137" s="148"/>
      <c r="AJ137" s="156"/>
    </row>
    <row r="138" spans="1:36" ht="30" x14ac:dyDescent="0.25">
      <c r="A138" s="198">
        <f t="shared" si="14"/>
        <v>132</v>
      </c>
      <c r="B138" s="149" t="s">
        <v>70</v>
      </c>
      <c r="C138" s="149" t="s">
        <v>390</v>
      </c>
      <c r="D138" s="149" t="s">
        <v>391</v>
      </c>
      <c r="E138" s="236" t="s">
        <v>392</v>
      </c>
      <c r="F138" s="149" t="s">
        <v>29</v>
      </c>
      <c r="G138" s="149">
        <f t="shared" si="19"/>
        <v>0</v>
      </c>
      <c r="H138" s="162"/>
      <c r="I138" s="162"/>
      <c r="J138" s="162">
        <f>Master201722[[#This Row],[Initial Budget]]-Master201722[[#This Row],[Previously Committed Funds]]</f>
        <v>0</v>
      </c>
      <c r="K138" s="162"/>
      <c r="L138" s="162"/>
      <c r="M138" s="189">
        <f>Master201722[[#This Row],[Design $ (Add/Deduct)]]+Master201722[[#This Row],[Construction $ (Add/Ded)]]</f>
        <v>0</v>
      </c>
      <c r="N138" s="171">
        <v>150000</v>
      </c>
      <c r="O138" s="237">
        <v>2018</v>
      </c>
      <c r="P138" s="236" t="s">
        <v>686</v>
      </c>
      <c r="Q138" s="150">
        <f t="shared" si="22"/>
        <v>60</v>
      </c>
      <c r="R138" s="238">
        <v>5</v>
      </c>
      <c r="S138" s="148">
        <f t="shared" si="21"/>
        <v>15</v>
      </c>
      <c r="T138" s="238" t="s">
        <v>43</v>
      </c>
      <c r="U138" s="151">
        <f t="shared" si="23"/>
        <v>16</v>
      </c>
      <c r="V138" s="238" t="s">
        <v>34</v>
      </c>
      <c r="W138" s="185">
        <v>0</v>
      </c>
      <c r="X138" s="151">
        <v>0</v>
      </c>
      <c r="Y138" s="151">
        <v>0</v>
      </c>
      <c r="Z138" s="151">
        <v>0</v>
      </c>
      <c r="AA138" s="151">
        <v>0</v>
      </c>
      <c r="AB138" s="151">
        <v>0</v>
      </c>
      <c r="AC138" s="151">
        <v>0</v>
      </c>
      <c r="AD138" s="239" t="s">
        <v>29</v>
      </c>
      <c r="AE138" s="157">
        <f>VLOOKUP(Master201722[[#This Row],[Elevated Priority]],Epriority,2,)</f>
        <v>0</v>
      </c>
      <c r="AF138" s="151">
        <f>IF(Master201722[[#This Row],[Status]]="Active",Master201722[[#This Row],[Status_Score]],IF(C138="","",Q138+G138+S138+U138+AE138-5))</f>
        <v>86</v>
      </c>
      <c r="AG138" s="151"/>
      <c r="AH138" s="151"/>
      <c r="AI138" s="151"/>
      <c r="AJ138" s="156"/>
    </row>
    <row r="139" spans="1:36" ht="30" x14ac:dyDescent="0.25">
      <c r="A139" s="198">
        <f t="shared" si="14"/>
        <v>133</v>
      </c>
      <c r="B139" s="149" t="s">
        <v>65</v>
      </c>
      <c r="C139" s="149" t="s">
        <v>910</v>
      </c>
      <c r="D139" s="149" t="s">
        <v>919</v>
      </c>
      <c r="E139" s="149" t="s">
        <v>920</v>
      </c>
      <c r="F139" s="149" t="s">
        <v>29</v>
      </c>
      <c r="G139" s="149">
        <f t="shared" si="19"/>
        <v>0</v>
      </c>
      <c r="H139" s="162"/>
      <c r="I139" s="162"/>
      <c r="J139" s="162">
        <f>Master201722[[#This Row],[Initial Budget]]-Master201722[[#This Row],[Previously Committed Funds]]</f>
        <v>0</v>
      </c>
      <c r="K139" s="162"/>
      <c r="L139" s="162"/>
      <c r="M139" s="189">
        <f>Master201722[[#This Row],[Design $ (Add/Deduct)]]+Master201722[[#This Row],[Construction $ (Add/Ded)]]</f>
        <v>0</v>
      </c>
      <c r="N139" s="171">
        <v>5000000</v>
      </c>
      <c r="O139" s="150">
        <v>2018</v>
      </c>
      <c r="P139" s="149" t="s">
        <v>46</v>
      </c>
      <c r="Q139" s="150">
        <f t="shared" si="22"/>
        <v>50</v>
      </c>
      <c r="R139" s="151">
        <v>6</v>
      </c>
      <c r="S139" s="148">
        <f t="shared" si="21"/>
        <v>18</v>
      </c>
      <c r="T139" s="151" t="s">
        <v>43</v>
      </c>
      <c r="U139" s="151">
        <f t="shared" si="23"/>
        <v>16</v>
      </c>
      <c r="V139" s="151" t="s">
        <v>34</v>
      </c>
      <c r="W139" s="185">
        <v>-3</v>
      </c>
      <c r="X139" s="151">
        <v>0</v>
      </c>
      <c r="Y139" s="151">
        <v>0</v>
      </c>
      <c r="Z139" s="151">
        <v>-3</v>
      </c>
      <c r="AA139" s="151">
        <v>-2</v>
      </c>
      <c r="AB139" s="151">
        <v>-5</v>
      </c>
      <c r="AC139" s="151">
        <v>0</v>
      </c>
      <c r="AD139" s="152" t="s">
        <v>29</v>
      </c>
      <c r="AE139" s="157">
        <f>VLOOKUP(Master201722[[#This Row],[Elevated Priority]],Epriority,2,)</f>
        <v>0</v>
      </c>
      <c r="AF139" s="151">
        <f>IF(Master201722[[#This Row],[Status]]="Active",Master201722[[#This Row],[Status_Score]],IF(C139="","",Q139+G139+S139+U139+AE139-5))</f>
        <v>79</v>
      </c>
      <c r="AG139" s="148"/>
      <c r="AH139" s="148"/>
      <c r="AI139" s="148"/>
      <c r="AJ139" s="156"/>
    </row>
    <row r="140" spans="1:36" ht="75" x14ac:dyDescent="0.25">
      <c r="A140" s="198">
        <f t="shared" si="14"/>
        <v>134</v>
      </c>
      <c r="B140" s="149" t="s">
        <v>67</v>
      </c>
      <c r="C140" s="149" t="s">
        <v>419</v>
      </c>
      <c r="D140" s="149" t="s">
        <v>420</v>
      </c>
      <c r="E140" s="149" t="s">
        <v>421</v>
      </c>
      <c r="F140" s="149" t="s">
        <v>29</v>
      </c>
      <c r="G140" s="149">
        <f t="shared" si="19"/>
        <v>0</v>
      </c>
      <c r="H140" s="162"/>
      <c r="I140" s="162"/>
      <c r="J140" s="162">
        <f>Master201722[[#This Row],[Initial Budget]]-Master201722[[#This Row],[Previously Committed Funds]]</f>
        <v>0</v>
      </c>
      <c r="K140" s="162"/>
      <c r="L140" s="162"/>
      <c r="M140" s="189">
        <f>Master201722[[#This Row],[Design $ (Add/Deduct)]]+Master201722[[#This Row],[Construction $ (Add/Ded)]]</f>
        <v>0</v>
      </c>
      <c r="N140" s="171">
        <v>100000</v>
      </c>
      <c r="O140" s="150">
        <v>2018</v>
      </c>
      <c r="P140" s="149" t="s">
        <v>46</v>
      </c>
      <c r="Q140" s="150">
        <f t="shared" si="22"/>
        <v>50</v>
      </c>
      <c r="R140" s="151">
        <v>2</v>
      </c>
      <c r="S140" s="148">
        <f t="shared" si="21"/>
        <v>6</v>
      </c>
      <c r="T140" s="151" t="s">
        <v>43</v>
      </c>
      <c r="U140" s="151">
        <f t="shared" si="23"/>
        <v>16</v>
      </c>
      <c r="V140" s="151" t="s">
        <v>34</v>
      </c>
      <c r="W140" s="185">
        <v>0</v>
      </c>
      <c r="X140" s="151">
        <v>0</v>
      </c>
      <c r="Y140" s="151">
        <v>0</v>
      </c>
      <c r="Z140" s="151">
        <v>0</v>
      </c>
      <c r="AA140" s="151">
        <v>0</v>
      </c>
      <c r="AB140" s="151">
        <v>0</v>
      </c>
      <c r="AC140" s="151">
        <v>0</v>
      </c>
      <c r="AD140" s="152" t="s">
        <v>29</v>
      </c>
      <c r="AE140" s="157">
        <f>VLOOKUP(Master201722[[#This Row],[Elevated Priority]],Epriority,2,)</f>
        <v>0</v>
      </c>
      <c r="AF140" s="151">
        <f>IF(Master201722[[#This Row],[Status]]="Active",Master201722[[#This Row],[Status_Score]],IF(C140="","",Q140+G140+S140+U140+AE140-5))</f>
        <v>67</v>
      </c>
      <c r="AG140" s="235"/>
      <c r="AH140" s="235"/>
      <c r="AI140" s="235"/>
      <c r="AJ140" s="156"/>
    </row>
    <row r="141" spans="1:36" ht="30" hidden="1" x14ac:dyDescent="0.25">
      <c r="A141" s="198">
        <f t="shared" si="14"/>
        <v>135</v>
      </c>
      <c r="B141" s="149" t="s">
        <v>94</v>
      </c>
      <c r="C141" s="149" t="s">
        <v>411</v>
      </c>
      <c r="D141" s="149" t="s">
        <v>412</v>
      </c>
      <c r="E141" s="149" t="s">
        <v>413</v>
      </c>
      <c r="F141" s="149" t="s">
        <v>29</v>
      </c>
      <c r="G141" s="149">
        <f t="shared" si="19"/>
        <v>0</v>
      </c>
      <c r="H141" s="162"/>
      <c r="I141" s="162"/>
      <c r="J141" s="162">
        <f>Master201722[[#This Row],[Initial Budget]]-Master201722[[#This Row],[Previously Committed Funds]]</f>
        <v>0</v>
      </c>
      <c r="K141" s="162"/>
      <c r="L141" s="162"/>
      <c r="M141" s="189">
        <f>Master201722[[#This Row],[Design $ (Add/Deduct)]]+Master201722[[#This Row],[Construction $ (Add/Ded)]]</f>
        <v>0</v>
      </c>
      <c r="N141" s="171">
        <v>150000</v>
      </c>
      <c r="O141" s="150">
        <v>2018</v>
      </c>
      <c r="P141" s="149" t="s">
        <v>686</v>
      </c>
      <c r="Q141" s="150">
        <f t="shared" si="22"/>
        <v>60</v>
      </c>
      <c r="R141" s="151">
        <v>21</v>
      </c>
      <c r="S141" s="148">
        <f t="shared" si="21"/>
        <v>27</v>
      </c>
      <c r="T141" s="151" t="s">
        <v>41</v>
      </c>
      <c r="U141" s="151">
        <f t="shared" si="23"/>
        <v>4</v>
      </c>
      <c r="V141" s="151" t="s">
        <v>30</v>
      </c>
      <c r="W141" s="151">
        <v>0</v>
      </c>
      <c r="X141" s="151">
        <v>0</v>
      </c>
      <c r="Y141" s="151">
        <v>0</v>
      </c>
      <c r="Z141" s="151">
        <v>0</v>
      </c>
      <c r="AA141" s="151">
        <v>0</v>
      </c>
      <c r="AB141" s="151">
        <v>0</v>
      </c>
      <c r="AC141" s="151">
        <v>0</v>
      </c>
      <c r="AD141" s="152" t="s">
        <v>29</v>
      </c>
      <c r="AE141" s="157">
        <f>VLOOKUP(Master201722[[#This Row],[Elevated Priority]],Epriority,2,)</f>
        <v>0</v>
      </c>
      <c r="AF141" s="151">
        <f>IF(Master201722[[#This Row],[Status]]="Active",Master201722[[#This Row],[Status_Score]],IF(C141="","",Q141+G141+S141+U141+AE141-5))</f>
        <v>86</v>
      </c>
      <c r="AG141" s="148"/>
      <c r="AH141" s="148"/>
      <c r="AI141" s="148"/>
      <c r="AJ141" s="156"/>
    </row>
    <row r="142" spans="1:36" ht="75" x14ac:dyDescent="0.25">
      <c r="A142" s="198">
        <f t="shared" si="14"/>
        <v>136</v>
      </c>
      <c r="B142" s="149" t="s">
        <v>67</v>
      </c>
      <c r="C142" s="149" t="s">
        <v>531</v>
      </c>
      <c r="D142" s="149" t="s">
        <v>532</v>
      </c>
      <c r="E142" s="149" t="s">
        <v>533</v>
      </c>
      <c r="F142" s="149" t="s">
        <v>29</v>
      </c>
      <c r="G142" s="149">
        <f t="shared" si="19"/>
        <v>0</v>
      </c>
      <c r="H142" s="162"/>
      <c r="I142" s="162"/>
      <c r="J142" s="162">
        <f>Master201722[[#This Row],[Initial Budget]]-Master201722[[#This Row],[Previously Committed Funds]]</f>
        <v>0</v>
      </c>
      <c r="K142" s="162"/>
      <c r="L142" s="162"/>
      <c r="M142" s="189">
        <f>Master201722[[#This Row],[Design $ (Add/Deduct)]]+Master201722[[#This Row],[Construction $ (Add/Ded)]]</f>
        <v>0</v>
      </c>
      <c r="N142" s="171">
        <v>2000000</v>
      </c>
      <c r="O142" s="150">
        <v>2018</v>
      </c>
      <c r="P142" s="149" t="s">
        <v>46</v>
      </c>
      <c r="Q142" s="150">
        <f t="shared" si="22"/>
        <v>50</v>
      </c>
      <c r="R142" s="151">
        <v>2</v>
      </c>
      <c r="S142" s="148">
        <f t="shared" si="21"/>
        <v>6</v>
      </c>
      <c r="T142" s="151" t="s">
        <v>43</v>
      </c>
      <c r="U142" s="151">
        <f t="shared" si="23"/>
        <v>16</v>
      </c>
      <c r="V142" s="151" t="s">
        <v>34</v>
      </c>
      <c r="W142" s="185">
        <v>0</v>
      </c>
      <c r="X142" s="151">
        <v>0</v>
      </c>
      <c r="Y142" s="151">
        <v>0</v>
      </c>
      <c r="Z142" s="151">
        <v>0</v>
      </c>
      <c r="AA142" s="151">
        <v>0</v>
      </c>
      <c r="AB142" s="151">
        <v>0</v>
      </c>
      <c r="AC142" s="151">
        <v>0</v>
      </c>
      <c r="AD142" s="152" t="s">
        <v>29</v>
      </c>
      <c r="AE142" s="157">
        <f>VLOOKUP(Master201722[[#This Row],[Elevated Priority]],Epriority,2,)</f>
        <v>0</v>
      </c>
      <c r="AF142" s="151">
        <f>IF(Master201722[[#This Row],[Status]]="Active",Master201722[[#This Row],[Status_Score]],IF(C142="","",Q142+G142+S142+U142+AE142-5))</f>
        <v>67</v>
      </c>
      <c r="AG142" s="151"/>
      <c r="AH142" s="151"/>
      <c r="AI142" s="151"/>
      <c r="AJ142" s="156"/>
    </row>
    <row r="143" spans="1:36" hidden="1" x14ac:dyDescent="0.25">
      <c r="A143" s="198">
        <f t="shared" si="14"/>
        <v>137</v>
      </c>
      <c r="B143" s="149" t="s">
        <v>67</v>
      </c>
      <c r="C143" s="149" t="s">
        <v>437</v>
      </c>
      <c r="D143" s="149"/>
      <c r="E143" s="149"/>
      <c r="F143" s="149" t="s">
        <v>29</v>
      </c>
      <c r="G143" s="149">
        <f t="shared" ref="G143:G174" si="24">VLOOKUP(F143,Status_Score,2,FALSE)</f>
        <v>0</v>
      </c>
      <c r="H143" s="162"/>
      <c r="I143" s="162"/>
      <c r="J143" s="162">
        <f>Master201722[[#This Row],[Initial Budget]]-Master201722[[#This Row],[Previously Committed Funds]]</f>
        <v>0</v>
      </c>
      <c r="K143" s="162"/>
      <c r="L143" s="162"/>
      <c r="M143" s="189">
        <f>Master201722[[#This Row],[Design $ (Add/Deduct)]]+Master201722[[#This Row],[Construction $ (Add/Ded)]]</f>
        <v>0</v>
      </c>
      <c r="N143" s="171">
        <v>40000</v>
      </c>
      <c r="O143" s="150">
        <v>2018</v>
      </c>
      <c r="P143" s="149" t="s">
        <v>46</v>
      </c>
      <c r="Q143" s="150">
        <f t="shared" si="22"/>
        <v>50</v>
      </c>
      <c r="R143" s="151">
        <v>10</v>
      </c>
      <c r="S143" s="148">
        <f t="shared" si="21"/>
        <v>21</v>
      </c>
      <c r="T143" s="151" t="s">
        <v>29</v>
      </c>
      <c r="U143" s="151">
        <f t="shared" si="23"/>
        <v>0</v>
      </c>
      <c r="V143" s="151" t="s">
        <v>30</v>
      </c>
      <c r="W143" s="151">
        <v>0</v>
      </c>
      <c r="X143" s="151">
        <v>0</v>
      </c>
      <c r="Y143" s="151">
        <v>0</v>
      </c>
      <c r="Z143" s="151">
        <v>0</v>
      </c>
      <c r="AA143" s="151">
        <v>0</v>
      </c>
      <c r="AB143" s="151">
        <v>0</v>
      </c>
      <c r="AC143" s="151">
        <v>0</v>
      </c>
      <c r="AD143" s="152" t="s">
        <v>29</v>
      </c>
      <c r="AE143" s="157">
        <f>VLOOKUP(Master201722[[#This Row],[Elevated Priority]],Epriority,2,)</f>
        <v>0</v>
      </c>
      <c r="AF143" s="151">
        <f>IF(Master201722[[#This Row],[Status]]="Active",Master201722[[#This Row],[Status_Score]],IF(C143="","",Q143+G143+S143+U143+AE143-5))</f>
        <v>66</v>
      </c>
      <c r="AG143" s="148"/>
      <c r="AH143" s="148"/>
      <c r="AI143" s="148"/>
      <c r="AJ143" s="156"/>
    </row>
    <row r="144" spans="1:36" ht="30" x14ac:dyDescent="0.25">
      <c r="A144" s="198">
        <f t="shared" ref="A144:A205" si="25">A143+1</f>
        <v>138</v>
      </c>
      <c r="B144" s="149" t="s">
        <v>67</v>
      </c>
      <c r="C144" s="149" t="s">
        <v>621</v>
      </c>
      <c r="D144" s="149" t="s">
        <v>622</v>
      </c>
      <c r="E144" s="149" t="s">
        <v>623</v>
      </c>
      <c r="F144" s="149" t="s">
        <v>29</v>
      </c>
      <c r="G144" s="240">
        <f t="shared" si="24"/>
        <v>0</v>
      </c>
      <c r="H144" s="162"/>
      <c r="I144" s="162"/>
      <c r="J144" s="162">
        <f>Master201722[[#This Row],[Initial Budget]]-Master201722[[#This Row],[Previously Committed Funds]]</f>
        <v>0</v>
      </c>
      <c r="K144" s="162"/>
      <c r="L144" s="162"/>
      <c r="M144" s="189">
        <f>Master201722[[#This Row],[Design $ (Add/Deduct)]]+Master201722[[#This Row],[Construction $ (Add/Ded)]]</f>
        <v>0</v>
      </c>
      <c r="N144" s="171">
        <v>400000</v>
      </c>
      <c r="O144" s="150">
        <v>2019</v>
      </c>
      <c r="P144" s="149" t="s">
        <v>46</v>
      </c>
      <c r="Q144" s="150">
        <f t="shared" si="22"/>
        <v>50</v>
      </c>
      <c r="R144" s="237">
        <v>7</v>
      </c>
      <c r="S144" s="148">
        <f t="shared" si="21"/>
        <v>20</v>
      </c>
      <c r="T144" s="237" t="s">
        <v>41</v>
      </c>
      <c r="U144" s="151">
        <f t="shared" si="23"/>
        <v>4</v>
      </c>
      <c r="V144" s="237" t="s">
        <v>34</v>
      </c>
      <c r="W144" s="185">
        <v>0</v>
      </c>
      <c r="X144" s="151">
        <v>0</v>
      </c>
      <c r="Y144" s="151">
        <v>0</v>
      </c>
      <c r="Z144" s="151">
        <v>0</v>
      </c>
      <c r="AA144" s="151">
        <v>0</v>
      </c>
      <c r="AB144" s="151">
        <v>0</v>
      </c>
      <c r="AC144" s="151">
        <v>0</v>
      </c>
      <c r="AD144" s="237" t="s">
        <v>29</v>
      </c>
      <c r="AE144" s="157">
        <f>VLOOKUP(Master201722[[#This Row],[Elevated Priority]],Epriority,2,)</f>
        <v>0</v>
      </c>
      <c r="AF144" s="151">
        <f>IF(Master201722[[#This Row],[Status]]="Active",Master201722[[#This Row],[Status_Score]],IF(C144="","",Q144+G144+S144+U144+AE144-5))</f>
        <v>69</v>
      </c>
      <c r="AG144" s="238"/>
      <c r="AH144" s="238"/>
      <c r="AI144" s="238"/>
      <c r="AJ144" s="156"/>
    </row>
    <row r="145" spans="1:36" ht="60" x14ac:dyDescent="0.25">
      <c r="A145" s="198">
        <f t="shared" si="25"/>
        <v>139</v>
      </c>
      <c r="B145" s="243" t="s">
        <v>65</v>
      </c>
      <c r="C145" s="243" t="s">
        <v>567</v>
      </c>
      <c r="D145" s="243" t="s">
        <v>911</v>
      </c>
      <c r="E145" s="243" t="s">
        <v>569</v>
      </c>
      <c r="F145" s="149" t="s">
        <v>29</v>
      </c>
      <c r="G145" s="149">
        <f t="shared" si="24"/>
        <v>0</v>
      </c>
      <c r="H145" s="162"/>
      <c r="I145" s="162"/>
      <c r="J145" s="162">
        <f>Master201722[[#This Row],[Initial Budget]]-Master201722[[#This Row],[Previously Committed Funds]]</f>
        <v>0</v>
      </c>
      <c r="K145" s="162"/>
      <c r="L145" s="162"/>
      <c r="M145" s="189">
        <f>Master201722[[#This Row],[Design $ (Add/Deduct)]]+Master201722[[#This Row],[Construction $ (Add/Ded)]]</f>
        <v>0</v>
      </c>
      <c r="N145" s="246">
        <v>5000000</v>
      </c>
      <c r="O145" s="244">
        <v>2018</v>
      </c>
      <c r="P145" s="243" t="s">
        <v>46</v>
      </c>
      <c r="Q145" s="150">
        <f t="shared" si="22"/>
        <v>50</v>
      </c>
      <c r="R145" s="235">
        <v>5</v>
      </c>
      <c r="S145" s="148">
        <f t="shared" si="21"/>
        <v>15</v>
      </c>
      <c r="T145" s="235" t="s">
        <v>45</v>
      </c>
      <c r="U145" s="151">
        <f t="shared" si="23"/>
        <v>32</v>
      </c>
      <c r="V145" s="235" t="s">
        <v>34</v>
      </c>
      <c r="W145" s="185">
        <v>-9</v>
      </c>
      <c r="X145" s="151">
        <v>0</v>
      </c>
      <c r="Y145" s="151">
        <v>0</v>
      </c>
      <c r="Z145" s="151">
        <v>-3</v>
      </c>
      <c r="AA145" s="151">
        <v>-2</v>
      </c>
      <c r="AB145" s="151">
        <v>-7</v>
      </c>
      <c r="AC145" s="151">
        <v>0</v>
      </c>
      <c r="AD145" s="245" t="s">
        <v>29</v>
      </c>
      <c r="AE145" s="157">
        <f>VLOOKUP(Master201722[[#This Row],[Elevated Priority]],Epriority,2,)</f>
        <v>0</v>
      </c>
      <c r="AF145" s="151">
        <f>IF(Master201722[[#This Row],[Status]]="Active",Master201722[[#This Row],[Status_Score]],IF(C145="","",Q145+G145+S145+U145+AE145-5))</f>
        <v>92</v>
      </c>
      <c r="AG145" s="148"/>
      <c r="AH145" s="148"/>
      <c r="AI145" s="148"/>
      <c r="AJ145" s="156"/>
    </row>
    <row r="146" spans="1:36" ht="30" x14ac:dyDescent="0.25">
      <c r="A146" s="198">
        <f t="shared" si="25"/>
        <v>140</v>
      </c>
      <c r="B146" s="149" t="s">
        <v>79</v>
      </c>
      <c r="C146" s="149" t="s">
        <v>513</v>
      </c>
      <c r="D146" s="149" t="s">
        <v>514</v>
      </c>
      <c r="E146" s="149" t="s">
        <v>515</v>
      </c>
      <c r="F146" s="149" t="s">
        <v>29</v>
      </c>
      <c r="G146" s="149">
        <f t="shared" si="24"/>
        <v>0</v>
      </c>
      <c r="H146" s="162"/>
      <c r="I146" s="162"/>
      <c r="J146" s="162">
        <f>Master201722[[#This Row],[Initial Budget]]-Master201722[[#This Row],[Previously Committed Funds]]</f>
        <v>0</v>
      </c>
      <c r="K146" s="162"/>
      <c r="L146" s="162"/>
      <c r="M146" s="189">
        <f>Master201722[[#This Row],[Design $ (Add/Deduct)]]+Master201722[[#This Row],[Construction $ (Add/Ded)]]</f>
        <v>0</v>
      </c>
      <c r="N146" s="171">
        <v>50000</v>
      </c>
      <c r="O146" s="150">
        <v>2018</v>
      </c>
      <c r="P146" s="149" t="s">
        <v>686</v>
      </c>
      <c r="Q146" s="150">
        <f t="shared" si="22"/>
        <v>60</v>
      </c>
      <c r="R146" s="151">
        <v>10</v>
      </c>
      <c r="S146" s="148">
        <f t="shared" si="21"/>
        <v>21</v>
      </c>
      <c r="T146" s="151" t="s">
        <v>43</v>
      </c>
      <c r="U146" s="151">
        <f t="shared" si="23"/>
        <v>16</v>
      </c>
      <c r="V146" s="151" t="s">
        <v>34</v>
      </c>
      <c r="W146" s="185">
        <v>0</v>
      </c>
      <c r="X146" s="151">
        <v>0</v>
      </c>
      <c r="Y146" s="151">
        <v>0</v>
      </c>
      <c r="Z146" s="151">
        <v>0</v>
      </c>
      <c r="AA146" s="151">
        <v>0</v>
      </c>
      <c r="AB146" s="151">
        <v>0</v>
      </c>
      <c r="AC146" s="151">
        <v>0</v>
      </c>
      <c r="AD146" s="152" t="s">
        <v>29</v>
      </c>
      <c r="AE146" s="157">
        <f>VLOOKUP(Master201722[[#This Row],[Elevated Priority]],Epriority,2,)</f>
        <v>0</v>
      </c>
      <c r="AF146" s="151">
        <f>IF(Master201722[[#This Row],[Status]]="Active",Master201722[[#This Row],[Status_Score]],IF(C146="","",Q146+G146+S146+U146+AE146-5))</f>
        <v>92</v>
      </c>
      <c r="AG146" s="235"/>
      <c r="AH146" s="235"/>
      <c r="AI146" s="235"/>
      <c r="AJ146" s="156"/>
    </row>
    <row r="147" spans="1:36" ht="30" hidden="1" x14ac:dyDescent="0.25">
      <c r="A147" s="198">
        <f t="shared" si="25"/>
        <v>141</v>
      </c>
      <c r="B147" s="149" t="s">
        <v>67</v>
      </c>
      <c r="C147" s="149" t="s">
        <v>431</v>
      </c>
      <c r="D147" s="149" t="s">
        <v>432</v>
      </c>
      <c r="E147" s="149" t="s">
        <v>433</v>
      </c>
      <c r="F147" s="149" t="s">
        <v>29</v>
      </c>
      <c r="G147" s="149">
        <f t="shared" si="24"/>
        <v>0</v>
      </c>
      <c r="H147" s="162"/>
      <c r="I147" s="162"/>
      <c r="J147" s="162">
        <f>Master201722[[#This Row],[Initial Budget]]-Master201722[[#This Row],[Previously Committed Funds]]</f>
        <v>0</v>
      </c>
      <c r="K147" s="162"/>
      <c r="L147" s="162"/>
      <c r="M147" s="189">
        <f>Master201722[[#This Row],[Design $ (Add/Deduct)]]+Master201722[[#This Row],[Construction $ (Add/Ded)]]</f>
        <v>0</v>
      </c>
      <c r="N147" s="171">
        <v>25000</v>
      </c>
      <c r="O147" s="150">
        <v>2018</v>
      </c>
      <c r="P147" s="149" t="s">
        <v>46</v>
      </c>
      <c r="Q147" s="150">
        <f t="shared" si="22"/>
        <v>50</v>
      </c>
      <c r="R147" s="151">
        <v>2</v>
      </c>
      <c r="S147" s="148">
        <f t="shared" si="21"/>
        <v>6</v>
      </c>
      <c r="T147" s="151" t="s">
        <v>43</v>
      </c>
      <c r="U147" s="151">
        <f t="shared" si="23"/>
        <v>16</v>
      </c>
      <c r="V147" s="151" t="s">
        <v>30</v>
      </c>
      <c r="W147" s="151">
        <v>0</v>
      </c>
      <c r="X147" s="151">
        <v>0</v>
      </c>
      <c r="Y147" s="151">
        <v>0</v>
      </c>
      <c r="Z147" s="151">
        <v>0</v>
      </c>
      <c r="AA147" s="151">
        <v>0</v>
      </c>
      <c r="AB147" s="151">
        <v>0</v>
      </c>
      <c r="AC147" s="151">
        <v>0</v>
      </c>
      <c r="AD147" s="152" t="s">
        <v>29</v>
      </c>
      <c r="AE147" s="157">
        <f>VLOOKUP(Master201722[[#This Row],[Elevated Priority]],Epriority,2,)</f>
        <v>0</v>
      </c>
      <c r="AF147" s="151">
        <f>IF(Master201722[[#This Row],[Status]]="Active",Master201722[[#This Row],[Status_Score]],IF(C147="","",Q147+G147+S147+U147+AE147-5))</f>
        <v>67</v>
      </c>
      <c r="AG147" s="148"/>
      <c r="AH147" s="148"/>
      <c r="AI147" s="148"/>
      <c r="AJ147" s="156"/>
    </row>
    <row r="148" spans="1:36" ht="45" x14ac:dyDescent="0.25">
      <c r="A148" s="198">
        <f t="shared" si="25"/>
        <v>142</v>
      </c>
      <c r="B148" s="149" t="s">
        <v>65</v>
      </c>
      <c r="C148" s="149" t="s">
        <v>842</v>
      </c>
      <c r="D148" s="149" t="s">
        <v>388</v>
      </c>
      <c r="E148" s="149" t="s">
        <v>389</v>
      </c>
      <c r="F148" s="149" t="s">
        <v>29</v>
      </c>
      <c r="G148" s="236">
        <f t="shared" si="24"/>
        <v>0</v>
      </c>
      <c r="H148" s="162"/>
      <c r="I148" s="162"/>
      <c r="J148" s="162">
        <f>Master201722[[#This Row],[Initial Budget]]-Master201722[[#This Row],[Previously Committed Funds]]</f>
        <v>0</v>
      </c>
      <c r="K148" s="162"/>
      <c r="L148" s="162"/>
      <c r="M148" s="189">
        <f>Master201722[[#This Row],[Design $ (Add/Deduct)]]+Master201722[[#This Row],[Construction $ (Add/Ded)]]</f>
        <v>0</v>
      </c>
      <c r="N148" s="171">
        <v>375000</v>
      </c>
      <c r="O148" s="150">
        <v>2018</v>
      </c>
      <c r="P148" s="149" t="s">
        <v>686</v>
      </c>
      <c r="Q148" s="150">
        <f t="shared" si="22"/>
        <v>60</v>
      </c>
      <c r="R148" s="238">
        <v>10</v>
      </c>
      <c r="S148" s="148">
        <f t="shared" si="21"/>
        <v>21</v>
      </c>
      <c r="T148" s="238" t="s">
        <v>43</v>
      </c>
      <c r="U148" s="151">
        <f t="shared" si="23"/>
        <v>16</v>
      </c>
      <c r="V148" s="238" t="s">
        <v>34</v>
      </c>
      <c r="W148" s="185">
        <v>0</v>
      </c>
      <c r="X148" s="151">
        <v>0</v>
      </c>
      <c r="Y148" s="151">
        <v>0</v>
      </c>
      <c r="Z148" s="151">
        <v>0</v>
      </c>
      <c r="AA148" s="151">
        <v>0</v>
      </c>
      <c r="AB148" s="151">
        <v>0</v>
      </c>
      <c r="AC148" s="151">
        <v>0</v>
      </c>
      <c r="AD148" s="239" t="s">
        <v>29</v>
      </c>
      <c r="AE148" s="157">
        <f>VLOOKUP(Master201722[[#This Row],[Elevated Priority]],Epriority,2,)</f>
        <v>0</v>
      </c>
      <c r="AF148" s="151">
        <f>IF(Master201722[[#This Row],[Status]]="Active",Master201722[[#This Row],[Status_Score]],IF(C148="","",Q148+G148+S148+U148+AE148-5))</f>
        <v>92</v>
      </c>
      <c r="AG148" s="151"/>
      <c r="AH148" s="151"/>
      <c r="AI148" s="151"/>
      <c r="AJ148" s="156"/>
    </row>
    <row r="149" spans="1:36" ht="150" x14ac:dyDescent="0.25">
      <c r="A149" s="198">
        <f t="shared" si="25"/>
        <v>143</v>
      </c>
      <c r="B149" s="236" t="s">
        <v>299</v>
      </c>
      <c r="C149" s="236" t="s">
        <v>450</v>
      </c>
      <c r="D149" s="236" t="s">
        <v>451</v>
      </c>
      <c r="E149" s="236" t="s">
        <v>764</v>
      </c>
      <c r="F149" s="149" t="s">
        <v>29</v>
      </c>
      <c r="G149" s="149">
        <f t="shared" si="24"/>
        <v>0</v>
      </c>
      <c r="H149" s="162"/>
      <c r="I149" s="162"/>
      <c r="J149" s="162">
        <f>Master201722[[#This Row],[Initial Budget]]-Master201722[[#This Row],[Previously Committed Funds]]</f>
        <v>0</v>
      </c>
      <c r="K149" s="162"/>
      <c r="L149" s="162"/>
      <c r="M149" s="189">
        <f>Master201722[[#This Row],[Design $ (Add/Deduct)]]+Master201722[[#This Row],[Construction $ (Add/Ded)]]</f>
        <v>0</v>
      </c>
      <c r="N149" s="249">
        <v>50000</v>
      </c>
      <c r="O149" s="237">
        <v>2018</v>
      </c>
      <c r="P149" s="236" t="s">
        <v>686</v>
      </c>
      <c r="Q149" s="150">
        <f t="shared" si="22"/>
        <v>60</v>
      </c>
      <c r="R149" s="239">
        <v>3</v>
      </c>
      <c r="S149" s="148">
        <f t="shared" ref="S149:S180" si="26">VLOOKUP(R149,Department,2,FALSE)</f>
        <v>9</v>
      </c>
      <c r="T149" s="239" t="s">
        <v>45</v>
      </c>
      <c r="U149" s="151">
        <f t="shared" si="23"/>
        <v>32</v>
      </c>
      <c r="V149" s="238" t="s">
        <v>34</v>
      </c>
      <c r="W149" s="185">
        <v>0</v>
      </c>
      <c r="X149" s="151">
        <v>0</v>
      </c>
      <c r="Y149" s="151">
        <v>0</v>
      </c>
      <c r="Z149" s="151">
        <v>0</v>
      </c>
      <c r="AA149" s="151">
        <v>-2</v>
      </c>
      <c r="AB149" s="151">
        <v>0</v>
      </c>
      <c r="AC149" s="151">
        <v>0</v>
      </c>
      <c r="AD149" s="239" t="s">
        <v>29</v>
      </c>
      <c r="AE149" s="157">
        <f>VLOOKUP(Master201722[[#This Row],[Elevated Priority]],Epriority,2,)</f>
        <v>0</v>
      </c>
      <c r="AF149" s="151">
        <f>IF(Master201722[[#This Row],[Status]]="Active",Master201722[[#This Row],[Status_Score]],IF(C149="","",Q149+G149+S149+U149+AE149-5))</f>
        <v>96</v>
      </c>
      <c r="AG149" s="148"/>
      <c r="AH149" s="148"/>
      <c r="AI149" s="148"/>
      <c r="AJ149" s="156"/>
    </row>
    <row r="150" spans="1:36" ht="60" x14ac:dyDescent="0.25">
      <c r="A150" s="198">
        <f t="shared" si="25"/>
        <v>144</v>
      </c>
      <c r="B150" s="262" t="s">
        <v>61</v>
      </c>
      <c r="C150" s="262" t="s">
        <v>498</v>
      </c>
      <c r="D150" s="262" t="s">
        <v>499</v>
      </c>
      <c r="E150" s="262" t="s">
        <v>458</v>
      </c>
      <c r="F150" s="262" t="s">
        <v>29</v>
      </c>
      <c r="G150" s="262">
        <f t="shared" si="24"/>
        <v>0</v>
      </c>
      <c r="H150" s="263"/>
      <c r="I150" s="263"/>
      <c r="J150" s="263">
        <f>Master201722[[#This Row],[Initial Budget]]-Master201722[[#This Row],[Previously Committed Funds]]</f>
        <v>0</v>
      </c>
      <c r="K150" s="263"/>
      <c r="L150" s="263"/>
      <c r="M150" s="268">
        <f>Master201722[[#This Row],[Design $ (Add/Deduct)]]+Master201722[[#This Row],[Construction $ (Add/Ded)]]</f>
        <v>0</v>
      </c>
      <c r="N150" s="266">
        <v>6000000</v>
      </c>
      <c r="O150" s="267">
        <v>2018</v>
      </c>
      <c r="P150" s="262" t="s">
        <v>46</v>
      </c>
      <c r="Q150" s="267">
        <f t="shared" si="22"/>
        <v>50</v>
      </c>
      <c r="R150" s="265">
        <v>2</v>
      </c>
      <c r="S150" s="265">
        <f t="shared" si="26"/>
        <v>6</v>
      </c>
      <c r="T150" s="265" t="s">
        <v>45</v>
      </c>
      <c r="U150" s="265">
        <f t="shared" si="23"/>
        <v>32</v>
      </c>
      <c r="V150" s="265" t="s">
        <v>34</v>
      </c>
      <c r="W150" s="185">
        <v>0</v>
      </c>
      <c r="X150" s="151">
        <v>0</v>
      </c>
      <c r="Y150" s="151">
        <v>-3</v>
      </c>
      <c r="Z150" s="151">
        <v>0</v>
      </c>
      <c r="AA150" s="151">
        <v>-2</v>
      </c>
      <c r="AB150" s="151">
        <v>-3</v>
      </c>
      <c r="AC150" s="151">
        <v>0</v>
      </c>
      <c r="AD150" s="264" t="s">
        <v>29</v>
      </c>
      <c r="AE150" s="267">
        <f>VLOOKUP(Master201722[[#This Row],[Elevated Priority]],Epriority,2,)</f>
        <v>0</v>
      </c>
      <c r="AF150" s="151">
        <f>IF(Master201722[[#This Row],[Status]]="Active",Master201722[[#This Row],[Status_Score]],IF(C150="","",Q150+G150+S150+U150+AE150-5))</f>
        <v>83</v>
      </c>
      <c r="AG150" s="265" t="s">
        <v>717</v>
      </c>
      <c r="AH150" s="265"/>
      <c r="AI150" s="265"/>
      <c r="AJ150" s="262" t="s">
        <v>722</v>
      </c>
    </row>
    <row r="151" spans="1:36" ht="45" x14ac:dyDescent="0.25">
      <c r="A151" s="198">
        <f t="shared" si="25"/>
        <v>145</v>
      </c>
      <c r="B151" s="149" t="s">
        <v>94</v>
      </c>
      <c r="C151" s="149" t="s">
        <v>590</v>
      </c>
      <c r="D151" s="149" t="s">
        <v>591</v>
      </c>
      <c r="E151" s="149"/>
      <c r="F151" s="149" t="s">
        <v>29</v>
      </c>
      <c r="G151" s="149">
        <f t="shared" si="24"/>
        <v>0</v>
      </c>
      <c r="H151" s="162"/>
      <c r="I151" s="162"/>
      <c r="J151" s="162">
        <f>Master201722[[#This Row],[Initial Budget]]-Master201722[[#This Row],[Previously Committed Funds]]</f>
        <v>0</v>
      </c>
      <c r="K151" s="162"/>
      <c r="L151" s="162"/>
      <c r="M151" s="189">
        <f>Master201722[[#This Row],[Design $ (Add/Deduct)]]+Master201722[[#This Row],[Construction $ (Add/Ded)]]</f>
        <v>0</v>
      </c>
      <c r="N151" s="171">
        <v>120000</v>
      </c>
      <c r="O151" s="239">
        <v>2019</v>
      </c>
      <c r="P151" s="149" t="s">
        <v>686</v>
      </c>
      <c r="Q151" s="150">
        <f t="shared" si="22"/>
        <v>60</v>
      </c>
      <c r="R151" s="151">
        <v>17</v>
      </c>
      <c r="S151" s="148">
        <f t="shared" si="26"/>
        <v>25</v>
      </c>
      <c r="T151" s="151" t="s">
        <v>43</v>
      </c>
      <c r="U151" s="151">
        <f t="shared" si="23"/>
        <v>16</v>
      </c>
      <c r="V151" s="151" t="s">
        <v>34</v>
      </c>
      <c r="W151" s="185">
        <v>0</v>
      </c>
      <c r="X151" s="151">
        <v>0</v>
      </c>
      <c r="Y151" s="151">
        <v>0</v>
      </c>
      <c r="Z151" s="151">
        <v>0</v>
      </c>
      <c r="AA151" s="151">
        <v>0</v>
      </c>
      <c r="AB151" s="151">
        <v>0</v>
      </c>
      <c r="AC151" s="151">
        <v>0</v>
      </c>
      <c r="AD151" s="152" t="s">
        <v>29</v>
      </c>
      <c r="AE151" s="157">
        <f>VLOOKUP(Master201722[[#This Row],[Elevated Priority]],Epriority,2,)</f>
        <v>0</v>
      </c>
      <c r="AF151" s="151">
        <f>IF(Master201722[[#This Row],[Status]]="Active",Master201722[[#This Row],[Status_Score]],IF(C151="","",Q151+G151+S151+U151+AE151-5))</f>
        <v>96</v>
      </c>
      <c r="AG151" s="151"/>
      <c r="AH151" s="151"/>
      <c r="AI151" s="151"/>
      <c r="AJ151" s="156"/>
    </row>
    <row r="152" spans="1:36" ht="30" x14ac:dyDescent="0.25">
      <c r="A152" s="198">
        <f t="shared" si="25"/>
        <v>146</v>
      </c>
      <c r="B152" s="149" t="s">
        <v>67</v>
      </c>
      <c r="C152" s="149" t="s">
        <v>618</v>
      </c>
      <c r="D152" s="149" t="s">
        <v>619</v>
      </c>
      <c r="E152" s="149" t="s">
        <v>620</v>
      </c>
      <c r="F152" s="149" t="s">
        <v>29</v>
      </c>
      <c r="G152" s="240">
        <f t="shared" si="24"/>
        <v>0</v>
      </c>
      <c r="H152" s="162"/>
      <c r="I152" s="162"/>
      <c r="J152" s="162">
        <f>Master201722[[#This Row],[Initial Budget]]-Master201722[[#This Row],[Previously Committed Funds]]</f>
        <v>0</v>
      </c>
      <c r="K152" s="162"/>
      <c r="L152" s="162"/>
      <c r="M152" s="189">
        <f>Master201722[[#This Row],[Design $ (Add/Deduct)]]+Master201722[[#This Row],[Construction $ (Add/Ded)]]</f>
        <v>0</v>
      </c>
      <c r="N152" s="256">
        <v>500000</v>
      </c>
      <c r="O152" s="150">
        <v>2019</v>
      </c>
      <c r="P152" s="149" t="s">
        <v>46</v>
      </c>
      <c r="Q152" s="150">
        <f t="shared" ref="Q152:Q183" si="27">VLOOKUP(P152,Importance,2,FALSE)</f>
        <v>50</v>
      </c>
      <c r="R152" s="237">
        <v>5</v>
      </c>
      <c r="S152" s="148">
        <f t="shared" si="26"/>
        <v>15</v>
      </c>
      <c r="T152" s="237" t="s">
        <v>43</v>
      </c>
      <c r="U152" s="151">
        <f t="shared" si="23"/>
        <v>16</v>
      </c>
      <c r="V152" s="237" t="s">
        <v>34</v>
      </c>
      <c r="W152" s="185">
        <v>0</v>
      </c>
      <c r="X152" s="151">
        <v>0</v>
      </c>
      <c r="Y152" s="151">
        <v>0</v>
      </c>
      <c r="Z152" s="151">
        <v>0</v>
      </c>
      <c r="AA152" s="151">
        <v>0</v>
      </c>
      <c r="AB152" s="151">
        <v>0</v>
      </c>
      <c r="AC152" s="151">
        <v>0</v>
      </c>
      <c r="AD152" s="237" t="s">
        <v>29</v>
      </c>
      <c r="AE152" s="157">
        <f>VLOOKUP(Master201722[[#This Row],[Elevated Priority]],Epriority,2,)</f>
        <v>0</v>
      </c>
      <c r="AF152" s="151">
        <f>IF(Master201722[[#This Row],[Status]]="Active",Master201722[[#This Row],[Status_Score]],IF(C152="","",Q152+G152+S152+U152+AE152-5))</f>
        <v>76</v>
      </c>
      <c r="AG152" s="238"/>
      <c r="AH152" s="238"/>
      <c r="AI152" s="238"/>
      <c r="AJ152" s="156"/>
    </row>
    <row r="153" spans="1:36" hidden="1" x14ac:dyDescent="0.25">
      <c r="A153" s="198">
        <f t="shared" si="25"/>
        <v>147</v>
      </c>
      <c r="B153" s="149" t="s">
        <v>94</v>
      </c>
      <c r="C153" s="149" t="s">
        <v>586</v>
      </c>
      <c r="D153" s="149" t="s">
        <v>587</v>
      </c>
      <c r="E153" s="149"/>
      <c r="F153" s="149" t="s">
        <v>29</v>
      </c>
      <c r="G153" s="149">
        <f t="shared" si="24"/>
        <v>0</v>
      </c>
      <c r="H153" s="162"/>
      <c r="I153" s="162"/>
      <c r="J153" s="162">
        <f>Master201722[[#This Row],[Initial Budget]]-Master201722[[#This Row],[Previously Committed Funds]]</f>
        <v>0</v>
      </c>
      <c r="K153" s="162"/>
      <c r="L153" s="162"/>
      <c r="M153" s="189">
        <f>Master201722[[#This Row],[Design $ (Add/Deduct)]]+Master201722[[#This Row],[Construction $ (Add/Ded)]]</f>
        <v>0</v>
      </c>
      <c r="N153" s="171">
        <v>50000</v>
      </c>
      <c r="O153" s="152">
        <v>2019</v>
      </c>
      <c r="P153" s="149" t="s">
        <v>686</v>
      </c>
      <c r="Q153" s="150">
        <f t="shared" si="27"/>
        <v>60</v>
      </c>
      <c r="R153" s="151">
        <v>15</v>
      </c>
      <c r="S153" s="148">
        <f t="shared" si="26"/>
        <v>24</v>
      </c>
      <c r="T153" s="151" t="s">
        <v>43</v>
      </c>
      <c r="U153" s="151">
        <f t="shared" si="23"/>
        <v>16</v>
      </c>
      <c r="V153" s="151" t="s">
        <v>30</v>
      </c>
      <c r="W153" s="151">
        <v>0</v>
      </c>
      <c r="X153" s="151">
        <v>0</v>
      </c>
      <c r="Y153" s="151">
        <v>0</v>
      </c>
      <c r="Z153" s="151">
        <v>0</v>
      </c>
      <c r="AA153" s="151">
        <v>0</v>
      </c>
      <c r="AB153" s="151">
        <v>0</v>
      </c>
      <c r="AC153" s="151">
        <v>0</v>
      </c>
      <c r="AD153" s="152" t="s">
        <v>29</v>
      </c>
      <c r="AE153" s="157">
        <f>VLOOKUP(Master201722[[#This Row],[Elevated Priority]],Epriority,2,)</f>
        <v>0</v>
      </c>
      <c r="AF153" s="151">
        <f>IF(Master201722[[#This Row],[Status]]="Active",Master201722[[#This Row],[Status_Score]],IF(C153="","",Q153+G153+S153+U153+AE153-5))</f>
        <v>95</v>
      </c>
      <c r="AG153" s="151"/>
      <c r="AH153" s="151"/>
      <c r="AI153" s="151"/>
      <c r="AJ153" s="156"/>
    </row>
    <row r="154" spans="1:36" x14ac:dyDescent="0.25">
      <c r="A154" s="198">
        <f t="shared" si="25"/>
        <v>148</v>
      </c>
      <c r="B154" s="236" t="s">
        <v>94</v>
      </c>
      <c r="C154" s="236" t="s">
        <v>465</v>
      </c>
      <c r="D154" s="236" t="s">
        <v>466</v>
      </c>
      <c r="E154" s="236" t="s">
        <v>467</v>
      </c>
      <c r="F154" s="236" t="s">
        <v>29</v>
      </c>
      <c r="G154" s="236">
        <f t="shared" si="24"/>
        <v>0</v>
      </c>
      <c r="H154" s="249"/>
      <c r="I154" s="249"/>
      <c r="J154" s="249">
        <f>Master201722[[#This Row],[Initial Budget]]-Master201722[[#This Row],[Previously Committed Funds]]</f>
        <v>0</v>
      </c>
      <c r="K154" s="249"/>
      <c r="L154" s="249"/>
      <c r="M154" s="258">
        <f>Master201722[[#This Row],[Design $ (Add/Deduct)]]+Master201722[[#This Row],[Construction $ (Add/Ded)]]</f>
        <v>0</v>
      </c>
      <c r="N154" s="256">
        <v>200000</v>
      </c>
      <c r="O154" s="237">
        <v>2018</v>
      </c>
      <c r="P154" s="236" t="s">
        <v>46</v>
      </c>
      <c r="Q154" s="237">
        <f t="shared" si="27"/>
        <v>50</v>
      </c>
      <c r="R154" s="238">
        <v>30</v>
      </c>
      <c r="S154" s="235">
        <f t="shared" si="26"/>
        <v>31</v>
      </c>
      <c r="T154" s="238" t="s">
        <v>37</v>
      </c>
      <c r="U154" s="238">
        <f t="shared" si="23"/>
        <v>3</v>
      </c>
      <c r="V154" s="238" t="s">
        <v>34</v>
      </c>
      <c r="W154" s="185">
        <v>0</v>
      </c>
      <c r="X154" s="151">
        <v>0</v>
      </c>
      <c r="Y154" s="151">
        <v>0</v>
      </c>
      <c r="Z154" s="151">
        <v>0</v>
      </c>
      <c r="AA154" s="151">
        <v>-2</v>
      </c>
      <c r="AB154" s="151">
        <v>0</v>
      </c>
      <c r="AC154" s="151">
        <v>0</v>
      </c>
      <c r="AD154" s="239" t="s">
        <v>29</v>
      </c>
      <c r="AE154" s="244">
        <f>VLOOKUP(Master201722[[#This Row],[Elevated Priority]],Epriority,2,)</f>
        <v>0</v>
      </c>
      <c r="AF154" s="151">
        <f>IF(Master201722[[#This Row],[Status]]="Active",Master201722[[#This Row],[Status_Score]],IF(C154="","",Q154+G154+S154+U154+AE154-5))</f>
        <v>79</v>
      </c>
      <c r="AG154" s="235"/>
      <c r="AH154" s="235"/>
      <c r="AI154" s="235"/>
      <c r="AJ154" s="243"/>
    </row>
    <row r="155" spans="1:36" ht="30" x14ac:dyDescent="0.25">
      <c r="A155" s="198">
        <f t="shared" si="25"/>
        <v>149</v>
      </c>
      <c r="B155" s="149" t="s">
        <v>94</v>
      </c>
      <c r="C155" s="149" t="s">
        <v>462</v>
      </c>
      <c r="D155" s="149" t="s">
        <v>463</v>
      </c>
      <c r="E155" s="149" t="s">
        <v>464</v>
      </c>
      <c r="F155" s="149" t="s">
        <v>29</v>
      </c>
      <c r="G155" s="149">
        <f t="shared" si="24"/>
        <v>0</v>
      </c>
      <c r="H155" s="162"/>
      <c r="I155" s="162"/>
      <c r="J155" s="162">
        <f>Master201722[[#This Row],[Initial Budget]]-Master201722[[#This Row],[Previously Committed Funds]]</f>
        <v>0</v>
      </c>
      <c r="K155" s="162"/>
      <c r="L155" s="162"/>
      <c r="M155" s="189">
        <f>Master201722[[#This Row],[Design $ (Add/Deduct)]]+Master201722[[#This Row],[Construction $ (Add/Ded)]]</f>
        <v>0</v>
      </c>
      <c r="N155" s="171">
        <v>400000</v>
      </c>
      <c r="O155" s="237">
        <v>2018</v>
      </c>
      <c r="P155" s="149" t="s">
        <v>46</v>
      </c>
      <c r="Q155" s="150">
        <f t="shared" si="27"/>
        <v>50</v>
      </c>
      <c r="R155" s="151">
        <v>33</v>
      </c>
      <c r="S155" s="148">
        <f t="shared" si="26"/>
        <v>33</v>
      </c>
      <c r="T155" s="151" t="s">
        <v>37</v>
      </c>
      <c r="U155" s="151">
        <f t="shared" si="23"/>
        <v>3</v>
      </c>
      <c r="V155" s="151" t="s">
        <v>34</v>
      </c>
      <c r="W155" s="185">
        <v>0</v>
      </c>
      <c r="X155" s="151">
        <v>0</v>
      </c>
      <c r="Y155" s="151">
        <v>0</v>
      </c>
      <c r="Z155" s="151">
        <v>0</v>
      </c>
      <c r="AA155" s="151">
        <v>0</v>
      </c>
      <c r="AB155" s="151">
        <v>0</v>
      </c>
      <c r="AC155" s="151">
        <v>0</v>
      </c>
      <c r="AD155" s="152" t="s">
        <v>29</v>
      </c>
      <c r="AE155" s="157">
        <f>VLOOKUP(Master201722[[#This Row],[Elevated Priority]],Epriority,2,)</f>
        <v>0</v>
      </c>
      <c r="AF155" s="151">
        <f>IF(Master201722[[#This Row],[Status]]="Active",Master201722[[#This Row],[Status_Score]],IF(C155="","",Q155+G155+S155+U155+AE155-5))</f>
        <v>81</v>
      </c>
      <c r="AG155" s="151"/>
      <c r="AH155" s="151"/>
      <c r="AI155" s="151"/>
      <c r="AJ155" s="156" t="s">
        <v>672</v>
      </c>
    </row>
    <row r="156" spans="1:36" ht="30" x14ac:dyDescent="0.25">
      <c r="A156" s="198">
        <f t="shared" si="25"/>
        <v>150</v>
      </c>
      <c r="B156" s="236" t="s">
        <v>94</v>
      </c>
      <c r="C156" s="236" t="s">
        <v>503</v>
      </c>
      <c r="D156" s="236" t="s">
        <v>504</v>
      </c>
      <c r="E156" s="236" t="s">
        <v>505</v>
      </c>
      <c r="F156" s="236" t="s">
        <v>29</v>
      </c>
      <c r="G156" s="236">
        <f t="shared" si="24"/>
        <v>0</v>
      </c>
      <c r="H156" s="249"/>
      <c r="I156" s="249"/>
      <c r="J156" s="249">
        <f>Master201722[[#This Row],[Initial Budget]]-Master201722[[#This Row],[Previously Committed Funds]]</f>
        <v>0</v>
      </c>
      <c r="K156" s="249"/>
      <c r="L156" s="249"/>
      <c r="M156" s="258">
        <f>Master201722[[#This Row],[Design $ (Add/Deduct)]]+Master201722[[#This Row],[Construction $ (Add/Ded)]]</f>
        <v>0</v>
      </c>
      <c r="N156" s="256">
        <v>75000</v>
      </c>
      <c r="O156" s="237">
        <v>2018</v>
      </c>
      <c r="P156" s="236" t="s">
        <v>46</v>
      </c>
      <c r="Q156" s="150">
        <f t="shared" si="27"/>
        <v>50</v>
      </c>
      <c r="R156" s="238">
        <v>31</v>
      </c>
      <c r="S156" s="148">
        <f t="shared" si="26"/>
        <v>32</v>
      </c>
      <c r="T156" s="238" t="s">
        <v>41</v>
      </c>
      <c r="U156" s="151">
        <f t="shared" si="23"/>
        <v>4</v>
      </c>
      <c r="V156" s="238" t="s">
        <v>34</v>
      </c>
      <c r="W156" s="185">
        <v>0</v>
      </c>
      <c r="X156" s="151">
        <v>0</v>
      </c>
      <c r="Y156" s="151">
        <v>0</v>
      </c>
      <c r="Z156" s="151">
        <v>0</v>
      </c>
      <c r="AA156" s="151">
        <v>0</v>
      </c>
      <c r="AB156" s="151">
        <v>0</v>
      </c>
      <c r="AC156" s="151">
        <v>0</v>
      </c>
      <c r="AD156" s="239" t="s">
        <v>29</v>
      </c>
      <c r="AE156" s="157">
        <f>VLOOKUP(Master201722[[#This Row],[Elevated Priority]],Epriority,2,)</f>
        <v>0</v>
      </c>
      <c r="AF156" s="151">
        <f>IF(Master201722[[#This Row],[Status]]="Active",Master201722[[#This Row],[Status_Score]],IF(C156="","",Q156+G156+S156+U156+AE156-5))</f>
        <v>81</v>
      </c>
      <c r="AG156" s="151"/>
      <c r="AH156" s="151"/>
      <c r="AI156" s="151"/>
      <c r="AJ156" s="156" t="s">
        <v>672</v>
      </c>
    </row>
    <row r="157" spans="1:36" ht="30" hidden="1" x14ac:dyDescent="0.25">
      <c r="A157" s="198">
        <f t="shared" si="25"/>
        <v>151</v>
      </c>
      <c r="B157" s="149" t="s">
        <v>94</v>
      </c>
      <c r="C157" s="149" t="s">
        <v>506</v>
      </c>
      <c r="D157" s="149" t="s">
        <v>507</v>
      </c>
      <c r="E157" s="149" t="s">
        <v>909</v>
      </c>
      <c r="F157" s="149" t="s">
        <v>29</v>
      </c>
      <c r="G157" s="149">
        <f t="shared" si="24"/>
        <v>0</v>
      </c>
      <c r="H157" s="162"/>
      <c r="I157" s="162"/>
      <c r="J157" s="162">
        <f>Master201722[[#This Row],[Initial Budget]]-Master201722[[#This Row],[Previously Committed Funds]]</f>
        <v>0</v>
      </c>
      <c r="K157" s="162"/>
      <c r="L157" s="162"/>
      <c r="M157" s="189">
        <f>Master201722[[#This Row],[Design $ (Add/Deduct)]]+Master201722[[#This Row],[Construction $ (Add/Ded)]]</f>
        <v>0</v>
      </c>
      <c r="N157" s="171">
        <v>350000</v>
      </c>
      <c r="O157" s="150">
        <v>2018</v>
      </c>
      <c r="P157" s="149" t="s">
        <v>46</v>
      </c>
      <c r="Q157" s="150">
        <f t="shared" si="27"/>
        <v>50</v>
      </c>
      <c r="R157" s="151">
        <v>23</v>
      </c>
      <c r="S157" s="148">
        <f t="shared" si="26"/>
        <v>28</v>
      </c>
      <c r="T157" s="151" t="s">
        <v>41</v>
      </c>
      <c r="U157" s="151">
        <f t="shared" si="23"/>
        <v>4</v>
      </c>
      <c r="V157" s="151" t="s">
        <v>30</v>
      </c>
      <c r="W157" s="151">
        <v>0</v>
      </c>
      <c r="X157" s="151">
        <v>0</v>
      </c>
      <c r="Y157" s="151">
        <v>0</v>
      </c>
      <c r="Z157" s="151">
        <v>0</v>
      </c>
      <c r="AA157" s="151">
        <v>0</v>
      </c>
      <c r="AB157" s="151">
        <v>0</v>
      </c>
      <c r="AC157" s="151">
        <v>0</v>
      </c>
      <c r="AD157" s="152" t="s">
        <v>29</v>
      </c>
      <c r="AE157" s="157">
        <f>VLOOKUP(Master201722[[#This Row],[Elevated Priority]],Epriority,2,)</f>
        <v>0</v>
      </c>
      <c r="AF157" s="151">
        <f>IF(Master201722[[#This Row],[Status]]="Active",Master201722[[#This Row],[Status_Score]],IF(C157="","",Q157+G157+S157+U157+AE157-5))</f>
        <v>77</v>
      </c>
      <c r="AG157" s="151"/>
      <c r="AH157" s="151"/>
      <c r="AI157" s="151"/>
      <c r="AJ157" s="156"/>
    </row>
    <row r="158" spans="1:36" ht="45" x14ac:dyDescent="0.25">
      <c r="A158" s="198">
        <f t="shared" si="25"/>
        <v>152</v>
      </c>
      <c r="B158" s="149" t="s">
        <v>65</v>
      </c>
      <c r="C158" s="149" t="s">
        <v>509</v>
      </c>
      <c r="D158" s="149" t="s">
        <v>922</v>
      </c>
      <c r="E158" s="149" t="s">
        <v>921</v>
      </c>
      <c r="F158" s="149" t="s">
        <v>29</v>
      </c>
      <c r="G158" s="149">
        <f t="shared" si="24"/>
        <v>0</v>
      </c>
      <c r="H158" s="162"/>
      <c r="I158" s="162"/>
      <c r="J158" s="162">
        <f>Master201722[[#This Row],[Initial Budget]]-Master201722[[#This Row],[Previously Committed Funds]]</f>
        <v>0</v>
      </c>
      <c r="K158" s="162"/>
      <c r="L158" s="162"/>
      <c r="M158" s="189">
        <f>Master201722[[#This Row],[Design $ (Add/Deduct)]]+Master201722[[#This Row],[Construction $ (Add/Ded)]]</f>
        <v>0</v>
      </c>
      <c r="N158" s="171">
        <v>3500000</v>
      </c>
      <c r="O158" s="150">
        <v>2018</v>
      </c>
      <c r="P158" s="149" t="s">
        <v>46</v>
      </c>
      <c r="Q158" s="150">
        <f t="shared" si="27"/>
        <v>50</v>
      </c>
      <c r="R158" s="151">
        <v>7</v>
      </c>
      <c r="S158" s="148">
        <f t="shared" si="26"/>
        <v>20</v>
      </c>
      <c r="T158" s="151" t="s">
        <v>43</v>
      </c>
      <c r="U158" s="151">
        <f t="shared" si="23"/>
        <v>16</v>
      </c>
      <c r="V158" s="151" t="s">
        <v>34</v>
      </c>
      <c r="W158" s="185">
        <v>0</v>
      </c>
      <c r="X158" s="151">
        <v>0</v>
      </c>
      <c r="Y158" s="151">
        <v>0</v>
      </c>
      <c r="Z158" s="151">
        <v>0</v>
      </c>
      <c r="AA158" s="151">
        <v>0</v>
      </c>
      <c r="AB158" s="151">
        <v>0</v>
      </c>
      <c r="AC158" s="151">
        <v>0</v>
      </c>
      <c r="AD158" s="152" t="s">
        <v>29</v>
      </c>
      <c r="AE158" s="157">
        <f>VLOOKUP(Master201722[[#This Row],[Elevated Priority]],Epriority,2,)</f>
        <v>0</v>
      </c>
      <c r="AF158" s="151">
        <f>IF(Master201722[[#This Row],[Status]]="Active",Master201722[[#This Row],[Status_Score]],IF(C158="","",Q158+G158+S158+U158+AE158-5))</f>
        <v>81</v>
      </c>
      <c r="AG158" s="148"/>
      <c r="AH158" s="148"/>
      <c r="AI158" s="148"/>
      <c r="AJ158" s="156"/>
    </row>
    <row r="159" spans="1:36" ht="30" hidden="1" x14ac:dyDescent="0.25">
      <c r="A159" s="198">
        <f t="shared" si="25"/>
        <v>153</v>
      </c>
      <c r="B159" s="149" t="s">
        <v>69</v>
      </c>
      <c r="C159" s="149" t="s">
        <v>552</v>
      </c>
      <c r="D159" s="149" t="s">
        <v>553</v>
      </c>
      <c r="E159" s="149" t="s">
        <v>554</v>
      </c>
      <c r="F159" s="149" t="s">
        <v>29</v>
      </c>
      <c r="G159" s="149">
        <f t="shared" si="24"/>
        <v>0</v>
      </c>
      <c r="H159" s="162"/>
      <c r="I159" s="162"/>
      <c r="J159" s="162">
        <f>Master201722[[#This Row],[Initial Budget]]-Master201722[[#This Row],[Previously Committed Funds]]</f>
        <v>0</v>
      </c>
      <c r="K159" s="162"/>
      <c r="L159" s="162"/>
      <c r="M159" s="189">
        <f>Master201722[[#This Row],[Design $ (Add/Deduct)]]+Master201722[[#This Row],[Construction $ (Add/Ded)]]</f>
        <v>0</v>
      </c>
      <c r="N159" s="162">
        <v>400000</v>
      </c>
      <c r="O159" s="150">
        <v>2018</v>
      </c>
      <c r="P159" s="149" t="s">
        <v>688</v>
      </c>
      <c r="Q159" s="150">
        <f t="shared" si="27"/>
        <v>20</v>
      </c>
      <c r="R159" s="152">
        <v>3</v>
      </c>
      <c r="S159" s="148">
        <f t="shared" si="26"/>
        <v>9</v>
      </c>
      <c r="T159" s="152" t="s">
        <v>47</v>
      </c>
      <c r="U159" s="151">
        <f t="shared" si="23"/>
        <v>64</v>
      </c>
      <c r="V159" s="151" t="s">
        <v>30</v>
      </c>
      <c r="W159" s="151">
        <v>0</v>
      </c>
      <c r="X159" s="151">
        <v>0</v>
      </c>
      <c r="Y159" s="151">
        <v>0</v>
      </c>
      <c r="Z159" s="151">
        <v>0</v>
      </c>
      <c r="AA159" s="151">
        <v>0</v>
      </c>
      <c r="AB159" s="151">
        <v>0</v>
      </c>
      <c r="AC159" s="151">
        <v>0</v>
      </c>
      <c r="AD159" s="152" t="s">
        <v>29</v>
      </c>
      <c r="AE159" s="157">
        <f>VLOOKUP(Master201722[[#This Row],[Elevated Priority]],Epriority,2,)</f>
        <v>0</v>
      </c>
      <c r="AF159" s="151">
        <f>IF(Master201722[[#This Row],[Status]]="Active",Master201722[[#This Row],[Status_Score]],IF(C159="","",Q159+G159+S159+U159+AE159-5))</f>
        <v>88</v>
      </c>
      <c r="AG159" s="148"/>
      <c r="AH159" s="148"/>
      <c r="AI159" s="148"/>
      <c r="AJ159" s="156"/>
    </row>
    <row r="160" spans="1:36" ht="30" x14ac:dyDescent="0.25">
      <c r="A160" s="198">
        <f t="shared" si="25"/>
        <v>154</v>
      </c>
      <c r="B160" s="243" t="s">
        <v>159</v>
      </c>
      <c r="C160" s="243" t="s">
        <v>575</v>
      </c>
      <c r="D160" s="243" t="s">
        <v>576</v>
      </c>
      <c r="E160" s="243" t="s">
        <v>577</v>
      </c>
      <c r="F160" s="149" t="s">
        <v>29</v>
      </c>
      <c r="G160" s="149">
        <f t="shared" si="24"/>
        <v>0</v>
      </c>
      <c r="H160" s="162"/>
      <c r="I160" s="162"/>
      <c r="J160" s="162">
        <f>Master201722[[#This Row],[Initial Budget]]-Master201722[[#This Row],[Previously Committed Funds]]</f>
        <v>0</v>
      </c>
      <c r="K160" s="162"/>
      <c r="L160" s="162"/>
      <c r="M160" s="189">
        <f>Master201722[[#This Row],[Design $ (Add/Deduct)]]+Master201722[[#This Row],[Construction $ (Add/Ded)]]</f>
        <v>0</v>
      </c>
      <c r="N160" s="171">
        <v>350000</v>
      </c>
      <c r="O160" s="244">
        <v>2018</v>
      </c>
      <c r="P160" s="243" t="s">
        <v>830</v>
      </c>
      <c r="Q160" s="150">
        <f t="shared" si="27"/>
        <v>10</v>
      </c>
      <c r="R160" s="235">
        <v>8</v>
      </c>
      <c r="S160" s="148">
        <f t="shared" si="26"/>
        <v>20</v>
      </c>
      <c r="T160" s="235" t="s">
        <v>47</v>
      </c>
      <c r="U160" s="151">
        <f t="shared" si="23"/>
        <v>64</v>
      </c>
      <c r="V160" s="235" t="s">
        <v>34</v>
      </c>
      <c r="W160" s="185">
        <v>0</v>
      </c>
      <c r="X160" s="151">
        <v>0</v>
      </c>
      <c r="Y160" s="151">
        <v>0</v>
      </c>
      <c r="Z160" s="151">
        <v>0</v>
      </c>
      <c r="AA160" s="151">
        <v>-2</v>
      </c>
      <c r="AB160" s="151">
        <v>0</v>
      </c>
      <c r="AC160" s="151">
        <v>0</v>
      </c>
      <c r="AD160" s="245" t="s">
        <v>29</v>
      </c>
      <c r="AE160" s="157">
        <f>VLOOKUP(Master201722[[#This Row],[Elevated Priority]],Epriority,2,)</f>
        <v>0</v>
      </c>
      <c r="AF160" s="151">
        <f>IF(Master201722[[#This Row],[Status]]="Active",Master201722[[#This Row],[Status_Score]],IF(C160="","",Q160+G160+S160+U160+AE160-5))</f>
        <v>89</v>
      </c>
      <c r="AG160" s="235"/>
      <c r="AH160" s="235"/>
      <c r="AI160" s="235"/>
      <c r="AJ160" s="156"/>
    </row>
    <row r="161" spans="1:36" ht="30" hidden="1" x14ac:dyDescent="0.25">
      <c r="A161" s="198">
        <f t="shared" si="25"/>
        <v>155</v>
      </c>
      <c r="B161" s="149" t="s">
        <v>94</v>
      </c>
      <c r="C161" s="149" t="s">
        <v>522</v>
      </c>
      <c r="D161" s="149" t="s">
        <v>523</v>
      </c>
      <c r="E161" s="149" t="s">
        <v>524</v>
      </c>
      <c r="F161" s="149" t="s">
        <v>29</v>
      </c>
      <c r="G161" s="149">
        <f t="shared" si="24"/>
        <v>0</v>
      </c>
      <c r="H161" s="162"/>
      <c r="I161" s="162"/>
      <c r="J161" s="162">
        <f>Master201722[[#This Row],[Initial Budget]]-Master201722[[#This Row],[Previously Committed Funds]]</f>
        <v>0</v>
      </c>
      <c r="K161" s="162"/>
      <c r="L161" s="162"/>
      <c r="M161" s="189">
        <f>Master201722[[#This Row],[Design $ (Add/Deduct)]]+Master201722[[#This Row],[Construction $ (Add/Ded)]]</f>
        <v>0</v>
      </c>
      <c r="N161" s="171">
        <v>100000</v>
      </c>
      <c r="O161" s="150">
        <v>2018</v>
      </c>
      <c r="P161" s="149" t="s">
        <v>46</v>
      </c>
      <c r="Q161" s="150">
        <f t="shared" si="27"/>
        <v>50</v>
      </c>
      <c r="R161" s="151">
        <v>32</v>
      </c>
      <c r="S161" s="148">
        <f t="shared" si="26"/>
        <v>32</v>
      </c>
      <c r="T161" s="151" t="s">
        <v>41</v>
      </c>
      <c r="U161" s="151">
        <f t="shared" si="23"/>
        <v>4</v>
      </c>
      <c r="V161" s="151" t="s">
        <v>30</v>
      </c>
      <c r="W161" s="151">
        <v>0</v>
      </c>
      <c r="X161" s="151">
        <v>0</v>
      </c>
      <c r="Y161" s="151">
        <v>0</v>
      </c>
      <c r="Z161" s="151">
        <v>0</v>
      </c>
      <c r="AA161" s="151">
        <v>0</v>
      </c>
      <c r="AB161" s="151">
        <v>0</v>
      </c>
      <c r="AC161" s="151">
        <v>0</v>
      </c>
      <c r="AD161" s="152" t="s">
        <v>29</v>
      </c>
      <c r="AE161" s="157">
        <f>VLOOKUP(Master201722[[#This Row],[Elevated Priority]],Epriority,2,)</f>
        <v>0</v>
      </c>
      <c r="AF161" s="151">
        <f>IF(Master201722[[#This Row],[Status]]="Active",Master201722[[#This Row],[Status_Score]],IF(C161="","",Q161+G161+S161+U161+AE161-5))</f>
        <v>81</v>
      </c>
      <c r="AG161" s="151"/>
      <c r="AH161" s="151"/>
      <c r="AI161" s="151"/>
      <c r="AJ161" s="156"/>
    </row>
    <row r="162" spans="1:36" ht="60" x14ac:dyDescent="0.25">
      <c r="A162" s="198">
        <f t="shared" si="25"/>
        <v>156</v>
      </c>
      <c r="B162" s="242" t="s">
        <v>70</v>
      </c>
      <c r="C162" s="242" t="s">
        <v>486</v>
      </c>
      <c r="D162" s="242" t="s">
        <v>487</v>
      </c>
      <c r="E162" s="242" t="s">
        <v>488</v>
      </c>
      <c r="F162" s="242" t="s">
        <v>29</v>
      </c>
      <c r="G162" s="242">
        <f t="shared" si="24"/>
        <v>0</v>
      </c>
      <c r="H162" s="257"/>
      <c r="I162" s="257"/>
      <c r="J162" s="257">
        <f>Master201722[[#This Row],[Initial Budget]]-Master201722[[#This Row],[Previously Committed Funds]]</f>
        <v>0</v>
      </c>
      <c r="K162" s="257"/>
      <c r="L162" s="257"/>
      <c r="M162" s="259">
        <f>Master201722[[#This Row],[Design $ (Add/Deduct)]]+Master201722[[#This Row],[Construction $ (Add/Ded)]]</f>
        <v>0</v>
      </c>
      <c r="N162" s="125">
        <v>1000000</v>
      </c>
      <c r="O162" s="36">
        <v>2018</v>
      </c>
      <c r="P162" s="242" t="s">
        <v>686</v>
      </c>
      <c r="Q162" s="150">
        <f t="shared" si="27"/>
        <v>60</v>
      </c>
      <c r="R162" s="103">
        <v>6</v>
      </c>
      <c r="S162" s="148">
        <f t="shared" si="26"/>
        <v>18</v>
      </c>
      <c r="T162" s="103" t="s">
        <v>45</v>
      </c>
      <c r="U162" s="151">
        <f t="shared" si="23"/>
        <v>32</v>
      </c>
      <c r="V162" s="103" t="s">
        <v>34</v>
      </c>
      <c r="W162" s="185">
        <v>0</v>
      </c>
      <c r="X162" s="151">
        <v>0</v>
      </c>
      <c r="Y162" s="151">
        <v>0</v>
      </c>
      <c r="Z162" s="151">
        <v>0</v>
      </c>
      <c r="AA162" s="151">
        <v>0</v>
      </c>
      <c r="AB162" s="151">
        <v>0</v>
      </c>
      <c r="AC162" s="151">
        <v>-2</v>
      </c>
      <c r="AD162" s="34" t="s">
        <v>29</v>
      </c>
      <c r="AE162" s="157">
        <f>VLOOKUP(Master201722[[#This Row],[Elevated Priority]],Epriority,2,)</f>
        <v>0</v>
      </c>
      <c r="AF162" s="151">
        <f>IF(Master201722[[#This Row],[Status]]="Active",Master201722[[#This Row],[Status_Score]],IF(C162="","",Q162+G162+S162+U162+AE162-5))</f>
        <v>105</v>
      </c>
      <c r="AG162" s="151"/>
      <c r="AH162" s="151"/>
      <c r="AI162" s="151"/>
      <c r="AJ162" s="156"/>
    </row>
    <row r="163" spans="1:36" ht="60" x14ac:dyDescent="0.25">
      <c r="A163" s="198">
        <f t="shared" si="25"/>
        <v>157</v>
      </c>
      <c r="B163" s="149" t="s">
        <v>71</v>
      </c>
      <c r="C163" s="149" t="s">
        <v>562</v>
      </c>
      <c r="D163" s="149" t="s">
        <v>563</v>
      </c>
      <c r="E163" s="149" t="s">
        <v>564</v>
      </c>
      <c r="F163" s="149" t="s">
        <v>29</v>
      </c>
      <c r="G163" s="149">
        <f t="shared" si="24"/>
        <v>0</v>
      </c>
      <c r="H163" s="162"/>
      <c r="I163" s="162"/>
      <c r="J163" s="162">
        <f>Master201722[[#This Row],[Initial Budget]]-Master201722[[#This Row],[Previously Committed Funds]]</f>
        <v>0</v>
      </c>
      <c r="K163" s="162"/>
      <c r="L163" s="162"/>
      <c r="M163" s="189">
        <f>Master201722[[#This Row],[Design $ (Add/Deduct)]]+Master201722[[#This Row],[Construction $ (Add/Ded)]]</f>
        <v>0</v>
      </c>
      <c r="N163" s="171">
        <v>850000</v>
      </c>
      <c r="O163" s="150">
        <v>2018</v>
      </c>
      <c r="P163" s="149" t="s">
        <v>46</v>
      </c>
      <c r="Q163" s="150">
        <f t="shared" si="27"/>
        <v>50</v>
      </c>
      <c r="R163" s="151">
        <v>4</v>
      </c>
      <c r="S163" s="148">
        <f t="shared" si="26"/>
        <v>12</v>
      </c>
      <c r="T163" s="151" t="s">
        <v>45</v>
      </c>
      <c r="U163" s="151">
        <f t="shared" si="23"/>
        <v>32</v>
      </c>
      <c r="V163" s="151" t="s">
        <v>34</v>
      </c>
      <c r="W163" s="185">
        <v>0</v>
      </c>
      <c r="X163" s="151">
        <v>0</v>
      </c>
      <c r="Y163" s="151">
        <v>0</v>
      </c>
      <c r="Z163" s="151">
        <v>0</v>
      </c>
      <c r="AA163" s="151">
        <v>-2</v>
      </c>
      <c r="AB163" s="151">
        <v>0</v>
      </c>
      <c r="AC163" s="151">
        <v>-1</v>
      </c>
      <c r="AD163" s="152" t="s">
        <v>29</v>
      </c>
      <c r="AE163" s="157">
        <f>VLOOKUP(Master201722[[#This Row],[Elevated Priority]],Epriority,2,)</f>
        <v>0</v>
      </c>
      <c r="AF163" s="151">
        <f>IF(Master201722[[#This Row],[Status]]="Active",Master201722[[#This Row],[Status_Score]],IF(C163="","",Q163+G163+S163+U163+AE163-5))</f>
        <v>89</v>
      </c>
      <c r="AG163" s="148"/>
      <c r="AH163" s="148"/>
      <c r="AI163" s="148"/>
      <c r="AJ163" s="156"/>
    </row>
    <row r="164" spans="1:36" ht="135" x14ac:dyDescent="0.25">
      <c r="A164" s="198">
        <f t="shared" si="25"/>
        <v>158</v>
      </c>
      <c r="B164" s="156" t="s">
        <v>61</v>
      </c>
      <c r="C164" s="156" t="s">
        <v>912</v>
      </c>
      <c r="D164" s="156" t="s">
        <v>913</v>
      </c>
      <c r="E164" s="156" t="s">
        <v>914</v>
      </c>
      <c r="F164" s="149" t="s">
        <v>29</v>
      </c>
      <c r="G164" s="149">
        <f t="shared" si="24"/>
        <v>0</v>
      </c>
      <c r="H164" s="162"/>
      <c r="I164" s="162"/>
      <c r="J164" s="162">
        <f>Master201722[[#This Row],[Initial Budget]]-Master201722[[#This Row],[Previously Committed Funds]]</f>
        <v>0</v>
      </c>
      <c r="K164" s="162"/>
      <c r="L164" s="162"/>
      <c r="M164" s="189">
        <f>Master201722[[#This Row],[Design $ (Add/Deduct)]]+Master201722[[#This Row],[Construction $ (Add/Ded)]]</f>
        <v>0</v>
      </c>
      <c r="N164" s="246">
        <v>30000000</v>
      </c>
      <c r="O164" s="157">
        <v>2018</v>
      </c>
      <c r="P164" s="156" t="s">
        <v>46</v>
      </c>
      <c r="Q164" s="150">
        <f t="shared" si="27"/>
        <v>50</v>
      </c>
      <c r="R164" s="148">
        <v>6</v>
      </c>
      <c r="S164" s="148">
        <f t="shared" si="26"/>
        <v>18</v>
      </c>
      <c r="T164" s="148" t="s">
        <v>45</v>
      </c>
      <c r="U164" s="151">
        <f t="shared" si="23"/>
        <v>32</v>
      </c>
      <c r="V164" s="148" t="s">
        <v>34</v>
      </c>
      <c r="W164" s="185">
        <v>-3</v>
      </c>
      <c r="X164" s="151">
        <v>0</v>
      </c>
      <c r="Y164" s="151">
        <v>0</v>
      </c>
      <c r="Z164" s="151">
        <v>0</v>
      </c>
      <c r="AA164" s="151">
        <v>-2</v>
      </c>
      <c r="AB164" s="151">
        <v>-3</v>
      </c>
      <c r="AC164" s="151">
        <v>0</v>
      </c>
      <c r="AD164" s="158" t="s">
        <v>29</v>
      </c>
      <c r="AE164" s="157">
        <f>VLOOKUP(Master201722[[#This Row],[Elevated Priority]],Epriority,2,)</f>
        <v>0</v>
      </c>
      <c r="AF164" s="151">
        <f>IF(Master201722[[#This Row],[Status]]="Active",Master201722[[#This Row],[Status_Score]],IF(C164="","",Q164+G164+S164+U164+AE164-5))</f>
        <v>95</v>
      </c>
      <c r="AG164" s="148"/>
      <c r="AH164" s="148"/>
      <c r="AI164" s="148"/>
      <c r="AJ164" s="156"/>
    </row>
    <row r="165" spans="1:36" ht="45" x14ac:dyDescent="0.25">
      <c r="A165" s="198">
        <f t="shared" si="25"/>
        <v>159</v>
      </c>
      <c r="B165" s="241" t="s">
        <v>94</v>
      </c>
      <c r="C165" s="173" t="s">
        <v>535</v>
      </c>
      <c r="D165" s="149" t="s">
        <v>536</v>
      </c>
      <c r="E165" s="149" t="s">
        <v>537</v>
      </c>
      <c r="F165" s="241" t="s">
        <v>29</v>
      </c>
      <c r="G165" s="241">
        <f t="shared" si="24"/>
        <v>0</v>
      </c>
      <c r="H165" s="250"/>
      <c r="I165" s="250"/>
      <c r="J165" s="250">
        <f>Master201722[[#This Row],[Initial Budget]]-Master201722[[#This Row],[Previously Committed Funds]]</f>
        <v>0</v>
      </c>
      <c r="K165" s="250"/>
      <c r="L165" s="250"/>
      <c r="M165" s="269">
        <f>Master201722[[#This Row],[Design $ (Add/Deduct)]]+Master201722[[#This Row],[Construction $ (Add/Ded)]]</f>
        <v>0</v>
      </c>
      <c r="N165" s="171">
        <v>500000</v>
      </c>
      <c r="O165" s="150">
        <v>2018</v>
      </c>
      <c r="P165" s="149" t="s">
        <v>46</v>
      </c>
      <c r="Q165" s="150">
        <f t="shared" si="27"/>
        <v>50</v>
      </c>
      <c r="R165" s="151">
        <v>24</v>
      </c>
      <c r="S165" s="148">
        <f t="shared" si="26"/>
        <v>28</v>
      </c>
      <c r="T165" s="151" t="s">
        <v>43</v>
      </c>
      <c r="U165" s="151">
        <f t="shared" si="23"/>
        <v>16</v>
      </c>
      <c r="V165" s="151" t="s">
        <v>34</v>
      </c>
      <c r="W165" s="185">
        <v>-1</v>
      </c>
      <c r="X165" s="151">
        <v>0</v>
      </c>
      <c r="Y165" s="151">
        <v>0</v>
      </c>
      <c r="Z165" s="151">
        <v>0</v>
      </c>
      <c r="AA165" s="151">
        <v>0</v>
      </c>
      <c r="AB165" s="151">
        <v>0</v>
      </c>
      <c r="AC165" s="151">
        <v>0</v>
      </c>
      <c r="AD165" s="152" t="s">
        <v>29</v>
      </c>
      <c r="AE165" s="157">
        <f>VLOOKUP(Master201722[[#This Row],[Elevated Priority]],Epriority,2,)</f>
        <v>0</v>
      </c>
      <c r="AF165" s="151">
        <f>IF(Master201722[[#This Row],[Status]]="Active",Master201722[[#This Row],[Status_Score]],IF(C165="","",Q165+G165+S165+U165+AE165-5))</f>
        <v>89</v>
      </c>
      <c r="AG165" s="235"/>
      <c r="AH165" s="235"/>
      <c r="AI165" s="235"/>
      <c r="AJ165" s="156"/>
    </row>
    <row r="166" spans="1:36" ht="30" x14ac:dyDescent="0.25">
      <c r="A166" s="198">
        <f t="shared" si="25"/>
        <v>160</v>
      </c>
      <c r="B166" s="149" t="s">
        <v>65</v>
      </c>
      <c r="C166" s="149" t="s">
        <v>550</v>
      </c>
      <c r="D166" s="149" t="s">
        <v>551</v>
      </c>
      <c r="E166" s="149"/>
      <c r="F166" s="149" t="s">
        <v>29</v>
      </c>
      <c r="G166" s="149">
        <f t="shared" si="24"/>
        <v>0</v>
      </c>
      <c r="H166" s="162"/>
      <c r="I166" s="162"/>
      <c r="J166" s="162">
        <f>Master201722[[#This Row],[Initial Budget]]-Master201722[[#This Row],[Previously Committed Funds]]</f>
        <v>0</v>
      </c>
      <c r="K166" s="162"/>
      <c r="L166" s="162"/>
      <c r="M166" s="189">
        <f>Master201722[[#This Row],[Design $ (Add/Deduct)]]+Master201722[[#This Row],[Construction $ (Add/Ded)]]</f>
        <v>0</v>
      </c>
      <c r="N166" s="171">
        <v>2000000</v>
      </c>
      <c r="O166" s="150">
        <v>2018</v>
      </c>
      <c r="P166" s="149" t="s">
        <v>46</v>
      </c>
      <c r="Q166" s="150">
        <f t="shared" si="27"/>
        <v>50</v>
      </c>
      <c r="R166" s="151">
        <v>10</v>
      </c>
      <c r="S166" s="148">
        <f t="shared" si="26"/>
        <v>21</v>
      </c>
      <c r="T166" s="151" t="s">
        <v>45</v>
      </c>
      <c r="U166" s="151">
        <f t="shared" si="23"/>
        <v>32</v>
      </c>
      <c r="V166" s="151" t="s">
        <v>34</v>
      </c>
      <c r="W166" s="185">
        <v>-3</v>
      </c>
      <c r="X166" s="151">
        <v>0</v>
      </c>
      <c r="Y166" s="151">
        <v>0</v>
      </c>
      <c r="Z166" s="151">
        <v>-3</v>
      </c>
      <c r="AA166" s="151">
        <v>-2</v>
      </c>
      <c r="AB166" s="151">
        <v>-1</v>
      </c>
      <c r="AC166" s="151">
        <v>0</v>
      </c>
      <c r="AD166" s="152" t="s">
        <v>29</v>
      </c>
      <c r="AE166" s="157">
        <f>VLOOKUP(Master201722[[#This Row],[Elevated Priority]],Epriority,2,)</f>
        <v>0</v>
      </c>
      <c r="AF166" s="151">
        <f>IF(Master201722[[#This Row],[Status]]="Active",Master201722[[#This Row],[Status_Score]],IF(C166="","",Q166+G166+S166+U166+AE166-5))</f>
        <v>98</v>
      </c>
      <c r="AG166" s="148"/>
      <c r="AH166" s="148"/>
      <c r="AI166" s="148"/>
      <c r="AJ166" s="156"/>
    </row>
    <row r="167" spans="1:36" ht="45" x14ac:dyDescent="0.25">
      <c r="A167" s="198">
        <f t="shared" si="25"/>
        <v>161</v>
      </c>
      <c r="B167" s="236" t="s">
        <v>67</v>
      </c>
      <c r="C167" s="236" t="s">
        <v>615</v>
      </c>
      <c r="D167" s="236" t="s">
        <v>917</v>
      </c>
      <c r="E167" s="236" t="s">
        <v>617</v>
      </c>
      <c r="F167" s="149" t="s">
        <v>29</v>
      </c>
      <c r="G167" s="256">
        <f t="shared" si="24"/>
        <v>0</v>
      </c>
      <c r="H167" s="256"/>
      <c r="I167" s="256"/>
      <c r="J167" s="256">
        <f>Master201722[[#This Row],[Initial Budget]]-Master201722[[#This Row],[Previously Committed Funds]]</f>
        <v>0</v>
      </c>
      <c r="K167" s="256"/>
      <c r="L167" s="256"/>
      <c r="M167" s="192">
        <f>Master201722[[#This Row],[Design $ (Add/Deduct)]]+Master201722[[#This Row],[Construction $ (Add/Ded)]]</f>
        <v>0</v>
      </c>
      <c r="N167" s="256">
        <v>1500000</v>
      </c>
      <c r="O167" s="237">
        <v>2019</v>
      </c>
      <c r="P167" s="236" t="s">
        <v>46</v>
      </c>
      <c r="Q167" s="150">
        <f t="shared" si="27"/>
        <v>50</v>
      </c>
      <c r="R167" s="237">
        <v>9</v>
      </c>
      <c r="S167" s="148">
        <f t="shared" si="26"/>
        <v>21</v>
      </c>
      <c r="T167" s="237" t="s">
        <v>45</v>
      </c>
      <c r="U167" s="151">
        <f t="shared" si="23"/>
        <v>32</v>
      </c>
      <c r="V167" s="237" t="s">
        <v>34</v>
      </c>
      <c r="W167" s="185">
        <v>0</v>
      </c>
      <c r="X167" s="151">
        <v>0</v>
      </c>
      <c r="Y167" s="151">
        <v>0</v>
      </c>
      <c r="Z167" s="151">
        <v>0</v>
      </c>
      <c r="AA167" s="151">
        <v>0</v>
      </c>
      <c r="AB167" s="151">
        <v>0</v>
      </c>
      <c r="AC167" s="151">
        <v>0</v>
      </c>
      <c r="AD167" s="237" t="s">
        <v>29</v>
      </c>
      <c r="AE167" s="157">
        <f>VLOOKUP(Master201722[[#This Row],[Elevated Priority]],Epriority,2,)</f>
        <v>0</v>
      </c>
      <c r="AF167" s="151">
        <f>IF(Master201722[[#This Row],[Status]]="Active",Master201722[[#This Row],[Status_Score]],IF(C167="","",Q167+G167+S167+U167+AE167-5))</f>
        <v>98</v>
      </c>
      <c r="AG167" s="238"/>
      <c r="AH167" s="238"/>
      <c r="AI167" s="238"/>
      <c r="AJ167" s="156"/>
    </row>
    <row r="168" spans="1:36" ht="75" x14ac:dyDescent="0.25">
      <c r="A168" s="198">
        <f t="shared" si="25"/>
        <v>162</v>
      </c>
      <c r="B168" s="149" t="s">
        <v>61</v>
      </c>
      <c r="C168" s="149" t="s">
        <v>519</v>
      </c>
      <c r="D168" s="149" t="s">
        <v>520</v>
      </c>
      <c r="E168" s="149" t="s">
        <v>521</v>
      </c>
      <c r="F168" s="149" t="s">
        <v>29</v>
      </c>
      <c r="G168" s="149">
        <f t="shared" si="24"/>
        <v>0</v>
      </c>
      <c r="H168" s="162"/>
      <c r="I168" s="162"/>
      <c r="J168" s="162">
        <f>Master201722[[#This Row],[Initial Budget]]-Master201722[[#This Row],[Previously Committed Funds]]</f>
        <v>0</v>
      </c>
      <c r="K168" s="162"/>
      <c r="L168" s="162"/>
      <c r="M168" s="189">
        <f>Master201722[[#This Row],[Design $ (Add/Deduct)]]+Master201722[[#This Row],[Construction $ (Add/Ded)]]</f>
        <v>0</v>
      </c>
      <c r="N168" s="171">
        <v>22000000</v>
      </c>
      <c r="O168" s="150">
        <v>2018</v>
      </c>
      <c r="P168" s="149" t="s">
        <v>46</v>
      </c>
      <c r="Q168" s="150">
        <f t="shared" si="27"/>
        <v>50</v>
      </c>
      <c r="R168" s="151">
        <v>3</v>
      </c>
      <c r="S168" s="148">
        <f t="shared" si="26"/>
        <v>9</v>
      </c>
      <c r="T168" s="151" t="s">
        <v>47</v>
      </c>
      <c r="U168" s="151">
        <f t="shared" si="23"/>
        <v>64</v>
      </c>
      <c r="V168" s="151" t="s">
        <v>34</v>
      </c>
      <c r="W168" s="185">
        <v>-7</v>
      </c>
      <c r="X168" s="151">
        <v>0</v>
      </c>
      <c r="Y168" s="151">
        <v>0</v>
      </c>
      <c r="Z168" s="151">
        <v>0</v>
      </c>
      <c r="AA168" s="151">
        <v>0</v>
      </c>
      <c r="AB168" s="151">
        <v>-3</v>
      </c>
      <c r="AC168" s="151">
        <v>0</v>
      </c>
      <c r="AD168" s="152" t="s">
        <v>29</v>
      </c>
      <c r="AE168" s="157">
        <f>VLOOKUP(Master201722[[#This Row],[Elevated Priority]],Epriority,2,)</f>
        <v>0</v>
      </c>
      <c r="AF168" s="151">
        <f>IF(Master201722[[#This Row],[Status]]="Active",Master201722[[#This Row],[Status_Score]],IF(C168="","",Q168+G168+S168+U168+AE168-5))</f>
        <v>118</v>
      </c>
      <c r="AG168" s="148"/>
      <c r="AH168" s="148"/>
      <c r="AI168" s="148"/>
      <c r="AJ168" s="156"/>
    </row>
    <row r="169" spans="1:36" ht="165" x14ac:dyDescent="0.25">
      <c r="A169" s="198">
        <f t="shared" si="25"/>
        <v>163</v>
      </c>
      <c r="B169" s="149" t="s">
        <v>143</v>
      </c>
      <c r="C169" s="149" t="s">
        <v>372</v>
      </c>
      <c r="D169" s="149" t="s">
        <v>765</v>
      </c>
      <c r="E169" s="149" t="s">
        <v>766</v>
      </c>
      <c r="F169" s="149" t="s">
        <v>29</v>
      </c>
      <c r="G169" s="149">
        <f t="shared" si="24"/>
        <v>0</v>
      </c>
      <c r="H169" s="162"/>
      <c r="I169" s="162"/>
      <c r="J169" s="162">
        <f>Master201722[[#This Row],[Initial Budget]]-Master201722[[#This Row],[Previously Committed Funds]]</f>
        <v>0</v>
      </c>
      <c r="K169" s="162"/>
      <c r="L169" s="162"/>
      <c r="M169" s="189">
        <f>Master201722[[#This Row],[Design $ (Add/Deduct)]]+Master201722[[#This Row],[Construction $ (Add/Ded)]]</f>
        <v>0</v>
      </c>
      <c r="N169" s="249">
        <v>15000000</v>
      </c>
      <c r="O169" s="150">
        <v>2018</v>
      </c>
      <c r="P169" s="149" t="s">
        <v>46</v>
      </c>
      <c r="Q169" s="150">
        <f t="shared" si="27"/>
        <v>50</v>
      </c>
      <c r="R169" s="239">
        <v>6</v>
      </c>
      <c r="S169" s="148">
        <f t="shared" si="26"/>
        <v>18</v>
      </c>
      <c r="T169" s="239" t="s">
        <v>47</v>
      </c>
      <c r="U169" s="151">
        <f t="shared" si="23"/>
        <v>64</v>
      </c>
      <c r="V169" s="151" t="s">
        <v>34</v>
      </c>
      <c r="W169" s="238">
        <v>0</v>
      </c>
      <c r="X169" s="151">
        <v>0</v>
      </c>
      <c r="Y169" s="151">
        <v>-1</v>
      </c>
      <c r="Z169" s="151">
        <v>0</v>
      </c>
      <c r="AA169" s="151">
        <v>0</v>
      </c>
      <c r="AB169" s="151">
        <v>0</v>
      </c>
      <c r="AC169" s="151">
        <v>0</v>
      </c>
      <c r="AD169" s="152" t="s">
        <v>29</v>
      </c>
      <c r="AE169" s="157">
        <f>VLOOKUP(Master201722[[#This Row],[Elevated Priority]],Epriority,2,)</f>
        <v>0</v>
      </c>
      <c r="AF169" s="151">
        <f>IF(Master201722[[#This Row],[Status]]="Active",Master201722[[#This Row],[Status_Score]],IF(C169="","",Q169+G169+S169+U169+AE169-5))</f>
        <v>127</v>
      </c>
      <c r="AG169" s="148"/>
      <c r="AH169" s="148"/>
      <c r="AI169" s="148"/>
      <c r="AJ169" s="156"/>
    </row>
    <row r="170" spans="1:36" hidden="1" x14ac:dyDescent="0.25">
      <c r="A170" s="198">
        <f t="shared" si="25"/>
        <v>164</v>
      </c>
      <c r="B170" s="156" t="s">
        <v>91</v>
      </c>
      <c r="C170" s="156" t="s">
        <v>565</v>
      </c>
      <c r="E170" s="156"/>
      <c r="F170" s="149" t="s">
        <v>29</v>
      </c>
      <c r="G170" s="149">
        <f t="shared" si="24"/>
        <v>0</v>
      </c>
      <c r="H170" s="162"/>
      <c r="I170" s="162"/>
      <c r="J170" s="162">
        <f>Master201722[[#This Row],[Initial Budget]]-Master201722[[#This Row],[Previously Committed Funds]]</f>
        <v>0</v>
      </c>
      <c r="K170" s="162"/>
      <c r="L170" s="162"/>
      <c r="M170" s="189">
        <f>Master201722[[#This Row],[Design $ (Add/Deduct)]]+Master201722[[#This Row],[Construction $ (Add/Ded)]]</f>
        <v>0</v>
      </c>
      <c r="N170" s="159">
        <v>25000</v>
      </c>
      <c r="O170" s="157">
        <v>2018</v>
      </c>
      <c r="P170" s="156" t="s">
        <v>688</v>
      </c>
      <c r="Q170" s="150">
        <f t="shared" si="27"/>
        <v>20</v>
      </c>
      <c r="R170" s="148">
        <v>10</v>
      </c>
      <c r="S170" s="148">
        <f t="shared" si="26"/>
        <v>21</v>
      </c>
      <c r="T170" s="148" t="s">
        <v>47</v>
      </c>
      <c r="U170" s="151">
        <f t="shared" si="23"/>
        <v>64</v>
      </c>
      <c r="V170" s="148" t="s">
        <v>30</v>
      </c>
      <c r="W170" s="151">
        <v>0</v>
      </c>
      <c r="X170" s="151">
        <v>0</v>
      </c>
      <c r="Y170" s="151">
        <v>0</v>
      </c>
      <c r="Z170" s="151">
        <v>0</v>
      </c>
      <c r="AA170" s="151">
        <v>0</v>
      </c>
      <c r="AB170" s="151">
        <v>0</v>
      </c>
      <c r="AC170" s="151">
        <v>0</v>
      </c>
      <c r="AD170" s="158" t="s">
        <v>29</v>
      </c>
      <c r="AE170" s="157">
        <f>VLOOKUP(Master201722[[#This Row],[Elevated Priority]],Epriority,2,)</f>
        <v>0</v>
      </c>
      <c r="AF170" s="151">
        <f>IF(Master201722[[#This Row],[Status]]="Active",Master201722[[#This Row],[Status_Score]],IF(C170="","",Q170+G170+S170+U170+AE170-5))</f>
        <v>100</v>
      </c>
      <c r="AG170" s="148"/>
      <c r="AH170" s="148"/>
      <c r="AI170" s="148"/>
      <c r="AJ170" s="156"/>
    </row>
    <row r="171" spans="1:36" hidden="1" x14ac:dyDescent="0.25">
      <c r="A171" s="198">
        <f t="shared" si="25"/>
        <v>165</v>
      </c>
      <c r="B171" s="156" t="s">
        <v>91</v>
      </c>
      <c r="C171" s="156" t="s">
        <v>566</v>
      </c>
      <c r="E171" s="156"/>
      <c r="F171" s="149" t="s">
        <v>29</v>
      </c>
      <c r="G171" s="149">
        <f t="shared" si="24"/>
        <v>0</v>
      </c>
      <c r="H171" s="162"/>
      <c r="I171" s="162"/>
      <c r="J171" s="162">
        <f>Master201722[[#This Row],[Initial Budget]]-Master201722[[#This Row],[Previously Committed Funds]]</f>
        <v>0</v>
      </c>
      <c r="K171" s="162"/>
      <c r="L171" s="162"/>
      <c r="M171" s="189">
        <f>Master201722[[#This Row],[Design $ (Add/Deduct)]]+Master201722[[#This Row],[Construction $ (Add/Ded)]]</f>
        <v>0</v>
      </c>
      <c r="N171" s="171">
        <v>400000</v>
      </c>
      <c r="O171" s="157">
        <v>2018</v>
      </c>
      <c r="P171" s="156" t="s">
        <v>688</v>
      </c>
      <c r="Q171" s="150">
        <f t="shared" si="27"/>
        <v>20</v>
      </c>
      <c r="R171" s="148">
        <v>10</v>
      </c>
      <c r="S171" s="148">
        <f t="shared" si="26"/>
        <v>21</v>
      </c>
      <c r="T171" s="148" t="s">
        <v>47</v>
      </c>
      <c r="U171" s="151">
        <f t="shared" si="23"/>
        <v>64</v>
      </c>
      <c r="V171" s="148" t="s">
        <v>30</v>
      </c>
      <c r="W171" s="151">
        <v>0</v>
      </c>
      <c r="X171" s="151">
        <v>0</v>
      </c>
      <c r="Y171" s="151">
        <v>0</v>
      </c>
      <c r="Z171" s="151">
        <v>0</v>
      </c>
      <c r="AA171" s="151">
        <v>0</v>
      </c>
      <c r="AB171" s="151">
        <v>0</v>
      </c>
      <c r="AC171" s="151">
        <v>0</v>
      </c>
      <c r="AD171" s="158" t="s">
        <v>29</v>
      </c>
      <c r="AE171" s="157">
        <f>VLOOKUP(Master201722[[#This Row],[Elevated Priority]],Epriority,2,)</f>
        <v>0</v>
      </c>
      <c r="AF171" s="151">
        <f>IF(Master201722[[#This Row],[Status]]="Active",Master201722[[#This Row],[Status_Score]],IF(C171="","",Q171+G171+S171+U171+AE171-5))</f>
        <v>100</v>
      </c>
      <c r="AG171" s="148"/>
      <c r="AH171" s="148"/>
      <c r="AI171" s="148"/>
      <c r="AJ171" s="156"/>
    </row>
    <row r="172" spans="1:36" ht="30" hidden="1" x14ac:dyDescent="0.25">
      <c r="A172" s="198">
        <f t="shared" si="25"/>
        <v>166</v>
      </c>
      <c r="B172" s="149" t="s">
        <v>65</v>
      </c>
      <c r="C172" s="149" t="s">
        <v>556</v>
      </c>
      <c r="D172" s="149" t="s">
        <v>557</v>
      </c>
      <c r="E172" s="149" t="s">
        <v>558</v>
      </c>
      <c r="F172" s="149" t="s">
        <v>29</v>
      </c>
      <c r="G172" s="149">
        <f t="shared" si="24"/>
        <v>0</v>
      </c>
      <c r="H172" s="162"/>
      <c r="I172" s="162"/>
      <c r="J172" s="162">
        <f>Master201722[[#This Row],[Initial Budget]]-Master201722[[#This Row],[Previously Committed Funds]]</f>
        <v>0</v>
      </c>
      <c r="K172" s="162"/>
      <c r="L172" s="162"/>
      <c r="M172" s="189">
        <f>Master201722[[#This Row],[Design $ (Add/Deduct)]]+Master201722[[#This Row],[Construction $ (Add/Ded)]]</f>
        <v>0</v>
      </c>
      <c r="N172" s="171">
        <v>30000</v>
      </c>
      <c r="O172" s="150">
        <v>2018</v>
      </c>
      <c r="P172" s="149" t="s">
        <v>686</v>
      </c>
      <c r="Q172" s="150">
        <f t="shared" si="27"/>
        <v>60</v>
      </c>
      <c r="R172" s="151">
        <v>14</v>
      </c>
      <c r="S172" s="148">
        <f t="shared" si="26"/>
        <v>23</v>
      </c>
      <c r="T172" s="151" t="s">
        <v>45</v>
      </c>
      <c r="U172" s="151">
        <f t="shared" si="23"/>
        <v>32</v>
      </c>
      <c r="V172" s="151" t="s">
        <v>30</v>
      </c>
      <c r="W172" s="151">
        <v>0</v>
      </c>
      <c r="X172" s="151">
        <v>0</v>
      </c>
      <c r="Y172" s="151">
        <v>0</v>
      </c>
      <c r="Z172" s="151">
        <v>0</v>
      </c>
      <c r="AA172" s="151">
        <v>0</v>
      </c>
      <c r="AB172" s="151">
        <v>0</v>
      </c>
      <c r="AC172" s="151">
        <v>0</v>
      </c>
      <c r="AD172" s="152" t="s">
        <v>29</v>
      </c>
      <c r="AE172" s="157">
        <f>VLOOKUP(Master201722[[#This Row],[Elevated Priority]],Epriority,2,)</f>
        <v>0</v>
      </c>
      <c r="AF172" s="151">
        <f>IF(Master201722[[#This Row],[Status]]="Active",Master201722[[#This Row],[Status_Score]],IF(C172="","",Q172+G172+S172+U172+AE172-5))</f>
        <v>110</v>
      </c>
      <c r="AG172" s="148"/>
      <c r="AH172" s="148"/>
      <c r="AI172" s="148"/>
      <c r="AJ172" s="156"/>
    </row>
    <row r="173" spans="1:36" hidden="1" x14ac:dyDescent="0.25">
      <c r="A173" s="198">
        <f t="shared" si="25"/>
        <v>167</v>
      </c>
      <c r="B173" s="156" t="s">
        <v>91</v>
      </c>
      <c r="C173" s="156" t="s">
        <v>573</v>
      </c>
      <c r="E173" s="156" t="s">
        <v>574</v>
      </c>
      <c r="F173" s="149" t="s">
        <v>29</v>
      </c>
      <c r="G173" s="149">
        <f t="shared" si="24"/>
        <v>0</v>
      </c>
      <c r="H173" s="162"/>
      <c r="I173" s="162"/>
      <c r="J173" s="162">
        <f>Master201722[[#This Row],[Initial Budget]]-Master201722[[#This Row],[Previously Committed Funds]]</f>
        <v>0</v>
      </c>
      <c r="K173" s="162"/>
      <c r="L173" s="162"/>
      <c r="M173" s="189">
        <f>Master201722[[#This Row],[Design $ (Add/Deduct)]]+Master201722[[#This Row],[Construction $ (Add/Ded)]]</f>
        <v>0</v>
      </c>
      <c r="N173" s="171">
        <v>50000</v>
      </c>
      <c r="O173" s="157">
        <v>2018</v>
      </c>
      <c r="P173" s="156" t="s">
        <v>46</v>
      </c>
      <c r="Q173" s="150">
        <f t="shared" si="27"/>
        <v>50</v>
      </c>
      <c r="R173" s="148">
        <v>5</v>
      </c>
      <c r="S173" s="148">
        <f t="shared" si="26"/>
        <v>15</v>
      </c>
      <c r="T173" s="148" t="s">
        <v>45</v>
      </c>
      <c r="U173" s="151">
        <f t="shared" si="23"/>
        <v>32</v>
      </c>
      <c r="V173" s="148" t="s">
        <v>30</v>
      </c>
      <c r="W173" s="185">
        <v>0</v>
      </c>
      <c r="X173" s="151">
        <v>0</v>
      </c>
      <c r="Y173" s="151">
        <v>0</v>
      </c>
      <c r="Z173" s="151">
        <v>0</v>
      </c>
      <c r="AA173" s="151">
        <v>0</v>
      </c>
      <c r="AB173" s="151">
        <v>0</v>
      </c>
      <c r="AC173" s="151">
        <v>0</v>
      </c>
      <c r="AD173" s="158" t="s">
        <v>29</v>
      </c>
      <c r="AE173" s="157">
        <f>VLOOKUP(Master201722[[#This Row],[Elevated Priority]],Epriority,2,)</f>
        <v>0</v>
      </c>
      <c r="AF173" s="151">
        <f>IF(Master201722[[#This Row],[Status]]="Active",Master201722[[#This Row],[Status_Score]],IF(C173="","",Q173+G173+S173+U173+AE173-5))</f>
        <v>92</v>
      </c>
      <c r="AG173" s="148"/>
      <c r="AH173" s="148"/>
      <c r="AI173" s="148"/>
      <c r="AJ173" s="156"/>
    </row>
    <row r="174" spans="1:36" ht="30" x14ac:dyDescent="0.25">
      <c r="A174" s="198">
        <f t="shared" si="25"/>
        <v>168</v>
      </c>
      <c r="B174" s="243" t="s">
        <v>65</v>
      </c>
      <c r="C174" s="243" t="s">
        <v>578</v>
      </c>
      <c r="D174" s="243" t="s">
        <v>579</v>
      </c>
      <c r="E174" s="243" t="s">
        <v>580</v>
      </c>
      <c r="F174" s="149" t="s">
        <v>29</v>
      </c>
      <c r="G174" s="236">
        <f t="shared" si="24"/>
        <v>0</v>
      </c>
      <c r="H174" s="249"/>
      <c r="I174" s="249"/>
      <c r="J174" s="249">
        <f>Master201722[[#This Row],[Initial Budget]]-Master201722[[#This Row],[Previously Committed Funds]]</f>
        <v>0</v>
      </c>
      <c r="K174" s="249"/>
      <c r="L174" s="249"/>
      <c r="M174" s="258">
        <f>Master201722[[#This Row],[Design $ (Add/Deduct)]]+Master201722[[#This Row],[Construction $ (Add/Ded)]]</f>
        <v>0</v>
      </c>
      <c r="N174" s="246">
        <v>100000</v>
      </c>
      <c r="O174" s="244">
        <v>2018</v>
      </c>
      <c r="P174" s="243" t="s">
        <v>46</v>
      </c>
      <c r="Q174" s="150">
        <f t="shared" si="27"/>
        <v>50</v>
      </c>
      <c r="R174" s="235">
        <v>15</v>
      </c>
      <c r="S174" s="148">
        <f t="shared" si="26"/>
        <v>24</v>
      </c>
      <c r="T174" s="235" t="s">
        <v>47</v>
      </c>
      <c r="U174" s="151">
        <f t="shared" si="23"/>
        <v>64</v>
      </c>
      <c r="V174" s="235" t="s">
        <v>34</v>
      </c>
      <c r="W174" s="238">
        <v>0</v>
      </c>
      <c r="X174" s="151">
        <v>0</v>
      </c>
      <c r="Y174" s="151">
        <v>0</v>
      </c>
      <c r="Z174" s="151">
        <v>0</v>
      </c>
      <c r="AA174" s="151">
        <v>0</v>
      </c>
      <c r="AB174" s="151">
        <v>0</v>
      </c>
      <c r="AC174" s="151">
        <v>0</v>
      </c>
      <c r="AD174" s="245" t="s">
        <v>29</v>
      </c>
      <c r="AE174" s="157">
        <f>VLOOKUP(Master201722[[#This Row],[Elevated Priority]],Epriority,2,)</f>
        <v>0</v>
      </c>
      <c r="AF174" s="151">
        <f>IF(Master201722[[#This Row],[Status]]="Active",Master201722[[#This Row],[Status_Score]],IF(C174="","",Q174+G174+S174+U174+AE174-5))</f>
        <v>133</v>
      </c>
      <c r="AG174" s="235"/>
      <c r="AH174" s="235"/>
      <c r="AI174" s="235"/>
      <c r="AJ174" s="156"/>
    </row>
    <row r="175" spans="1:36" ht="30" x14ac:dyDescent="0.25">
      <c r="A175" s="198">
        <f t="shared" si="25"/>
        <v>169</v>
      </c>
      <c r="B175" s="262" t="s">
        <v>70</v>
      </c>
      <c r="C175" s="262" t="s">
        <v>692</v>
      </c>
      <c r="D175" s="262" t="s">
        <v>925</v>
      </c>
      <c r="E175" s="262" t="s">
        <v>941</v>
      </c>
      <c r="F175" s="262" t="s">
        <v>816</v>
      </c>
      <c r="G175" s="262">
        <f t="shared" ref="G175:G199" si="28">VLOOKUP(F175,Status_Score,2,FALSE)</f>
        <v>1000</v>
      </c>
      <c r="H175" s="263"/>
      <c r="I175" s="263"/>
      <c r="J175" s="263">
        <f>Master201722[[#This Row],[Initial Budget]]-Master201722[[#This Row],[Previously Committed Funds]]</f>
        <v>0</v>
      </c>
      <c r="K175" s="263"/>
      <c r="L175" s="263"/>
      <c r="M175" s="268">
        <f>Master201722[[#This Row],[Design $ (Add/Deduct)]]+Master201722[[#This Row],[Construction $ (Add/Ded)]]</f>
        <v>0</v>
      </c>
      <c r="N175" s="266">
        <v>7000000</v>
      </c>
      <c r="O175" s="267">
        <v>2019</v>
      </c>
      <c r="P175" s="262" t="s">
        <v>46</v>
      </c>
      <c r="Q175" s="267">
        <f t="shared" si="27"/>
        <v>50</v>
      </c>
      <c r="R175" s="265">
        <v>2</v>
      </c>
      <c r="S175" s="265">
        <f t="shared" si="26"/>
        <v>6</v>
      </c>
      <c r="T175" s="265" t="s">
        <v>41</v>
      </c>
      <c r="U175" s="265">
        <f t="shared" si="23"/>
        <v>4</v>
      </c>
      <c r="V175" s="265" t="s">
        <v>34</v>
      </c>
      <c r="W175" s="185">
        <v>0</v>
      </c>
      <c r="X175" s="265">
        <v>0</v>
      </c>
      <c r="Y175" s="265">
        <v>-3</v>
      </c>
      <c r="Z175" s="265">
        <v>-3</v>
      </c>
      <c r="AA175" s="265">
        <v>-2</v>
      </c>
      <c r="AB175" s="265">
        <v>-9</v>
      </c>
      <c r="AC175" s="265">
        <v>0</v>
      </c>
      <c r="AD175" s="264" t="s">
        <v>35</v>
      </c>
      <c r="AE175" s="267">
        <f>VLOOKUP(Master201722[[#This Row],[Elevated Priority]],Epriority,2,)</f>
        <v>-25</v>
      </c>
      <c r="AF175" s="265">
        <f>IF(Master201722[[#This Row],[Status]]="Active",Master201722[[#This Row],[Status_Score]],IF(C175="","",Q175+G175+S175+U175+AE175-5))</f>
        <v>1030</v>
      </c>
      <c r="AG175" s="265"/>
      <c r="AH175" s="265">
        <v>2020</v>
      </c>
      <c r="AI175" s="265">
        <v>2021</v>
      </c>
      <c r="AJ175" s="156"/>
    </row>
    <row r="176" spans="1:36" ht="30" x14ac:dyDescent="0.25">
      <c r="A176" s="198">
        <f t="shared" si="25"/>
        <v>170</v>
      </c>
      <c r="B176" s="262" t="s">
        <v>91</v>
      </c>
      <c r="C176" s="262" t="s">
        <v>872</v>
      </c>
      <c r="D176" s="262" t="s">
        <v>873</v>
      </c>
      <c r="E176" s="262" t="s">
        <v>874</v>
      </c>
      <c r="F176" s="262" t="s">
        <v>816</v>
      </c>
      <c r="G176" s="262">
        <f t="shared" si="28"/>
        <v>1000</v>
      </c>
      <c r="H176" s="263"/>
      <c r="I176" s="263"/>
      <c r="J176" s="263">
        <f>Master201722[[#This Row],[Initial Budget]]-Master201722[[#This Row],[Previously Committed Funds]]</f>
        <v>0</v>
      </c>
      <c r="K176" s="263"/>
      <c r="L176" s="263">
        <v>150000</v>
      </c>
      <c r="M176" s="268">
        <f>Master201722[[#This Row],[Design $ (Add/Deduct)]]+Master201722[[#This Row],[Construction $ (Add/Ded)]]</f>
        <v>150000</v>
      </c>
      <c r="N176" s="266">
        <v>150000</v>
      </c>
      <c r="O176" s="267">
        <v>2018</v>
      </c>
      <c r="P176" s="262" t="s">
        <v>36</v>
      </c>
      <c r="Q176" s="267">
        <f t="shared" si="27"/>
        <v>10</v>
      </c>
      <c r="R176" s="265">
        <v>1</v>
      </c>
      <c r="S176" s="265">
        <f t="shared" si="26"/>
        <v>3</v>
      </c>
      <c r="T176" s="265" t="s">
        <v>33</v>
      </c>
      <c r="U176" s="265">
        <f t="shared" si="23"/>
        <v>1</v>
      </c>
      <c r="V176" s="265" t="s">
        <v>34</v>
      </c>
      <c r="W176" s="265">
        <v>0</v>
      </c>
      <c r="X176" s="151">
        <v>0</v>
      </c>
      <c r="Y176" s="265">
        <v>0</v>
      </c>
      <c r="Z176" s="265">
        <v>0</v>
      </c>
      <c r="AA176" s="151">
        <v>0</v>
      </c>
      <c r="AB176" s="151">
        <v>0</v>
      </c>
      <c r="AC176" s="151">
        <v>0</v>
      </c>
      <c r="AD176" s="264" t="s">
        <v>31</v>
      </c>
      <c r="AE176" s="267">
        <f>VLOOKUP(Master201722[[#This Row],[Elevated Priority]],Epriority,2,)</f>
        <v>-25</v>
      </c>
      <c r="AF176" s="265">
        <f>IF(Master201722[[#This Row],[Status]]="Active",Master201722[[#This Row],[Status_Score]],IF(C176="","",Q176+G176+S176+U176+AE176-5))</f>
        <v>984</v>
      </c>
      <c r="AG176" s="265" t="s">
        <v>754</v>
      </c>
      <c r="AH176" s="265">
        <v>2019</v>
      </c>
      <c r="AI176" s="265">
        <v>2020</v>
      </c>
      <c r="AJ176" s="262"/>
    </row>
    <row r="177" spans="1:63" ht="30" x14ac:dyDescent="0.25">
      <c r="A177" s="198">
        <f t="shared" si="25"/>
        <v>171</v>
      </c>
      <c r="B177" s="273" t="s">
        <v>70</v>
      </c>
      <c r="C177" s="288" t="s">
        <v>691</v>
      </c>
      <c r="D177" s="288" t="s">
        <v>697</v>
      </c>
      <c r="E177" s="288" t="s">
        <v>855</v>
      </c>
      <c r="F177" s="262" t="s">
        <v>816</v>
      </c>
      <c r="G177" s="262">
        <f t="shared" si="28"/>
        <v>1000</v>
      </c>
      <c r="H177" s="263"/>
      <c r="I177" s="263"/>
      <c r="J177" s="263">
        <f>Master201722[[#This Row],[Initial Budget]]-Master201722[[#This Row],[Previously Committed Funds]]</f>
        <v>0</v>
      </c>
      <c r="K177" s="263"/>
      <c r="L177" s="263"/>
      <c r="M177" s="268">
        <f>Master201722[[#This Row],[Design $ (Add/Deduct)]]+Master201722[[#This Row],[Construction $ (Add/Ded)]]</f>
        <v>0</v>
      </c>
      <c r="N177" s="266">
        <v>12000000</v>
      </c>
      <c r="O177" s="267">
        <v>2019</v>
      </c>
      <c r="P177" s="262" t="s">
        <v>46</v>
      </c>
      <c r="Q177" s="267">
        <f t="shared" si="27"/>
        <v>50</v>
      </c>
      <c r="R177" s="265">
        <v>1</v>
      </c>
      <c r="S177" s="265">
        <f t="shared" si="26"/>
        <v>3</v>
      </c>
      <c r="T177" s="265" t="s">
        <v>41</v>
      </c>
      <c r="U177" s="265"/>
      <c r="V177" s="265" t="s">
        <v>34</v>
      </c>
      <c r="W177" s="265">
        <v>0</v>
      </c>
      <c r="X177" s="151">
        <v>0</v>
      </c>
      <c r="Y177" s="265">
        <v>0</v>
      </c>
      <c r="Z177" s="265">
        <v>0</v>
      </c>
      <c r="AA177" s="151">
        <v>0</v>
      </c>
      <c r="AB177" s="151">
        <v>0</v>
      </c>
      <c r="AC177" s="151">
        <v>0</v>
      </c>
      <c r="AD177" s="264" t="s">
        <v>35</v>
      </c>
      <c r="AE177" s="267">
        <f>VLOOKUP(Master201722[[#This Row],[Elevated Priority]],Epriority,2,)</f>
        <v>-25</v>
      </c>
      <c r="AF177" s="265">
        <f>IF(Master201722[[#This Row],[Status]]="Active",Master201722[[#This Row],[Status_Score]],IF(C177="","",Q177+G177+S177+U177+AE177-5))</f>
        <v>1023</v>
      </c>
      <c r="AG177" s="265" t="s">
        <v>715</v>
      </c>
      <c r="AH177" s="265">
        <v>2019</v>
      </c>
      <c r="AI177" s="265">
        <v>2020</v>
      </c>
      <c r="AJ177" s="262"/>
    </row>
    <row r="178" spans="1:63" ht="105" hidden="1" x14ac:dyDescent="0.25">
      <c r="A178" s="198">
        <f t="shared" si="25"/>
        <v>172</v>
      </c>
      <c r="B178" s="161" t="s">
        <v>70</v>
      </c>
      <c r="C178" s="149" t="s">
        <v>141</v>
      </c>
      <c r="D178" s="149" t="s">
        <v>142</v>
      </c>
      <c r="E178" s="149"/>
      <c r="F178" s="149" t="s">
        <v>832</v>
      </c>
      <c r="G178" s="149">
        <f t="shared" si="28"/>
        <v>100</v>
      </c>
      <c r="H178" s="162"/>
      <c r="I178" s="162"/>
      <c r="J178" s="162">
        <f>Master201722[[#This Row],[Initial Budget]]-Master201722[[#This Row],[Previously Committed Funds]]</f>
        <v>0</v>
      </c>
      <c r="K178" s="162"/>
      <c r="L178" s="162"/>
      <c r="M178" s="189">
        <f>Master201722[[#This Row],[Design $ (Add/Deduct)]]+Master201722[[#This Row],[Construction $ (Add/Ded)]]</f>
        <v>0</v>
      </c>
      <c r="N178" s="171">
        <v>100000</v>
      </c>
      <c r="O178" s="150">
        <v>2018</v>
      </c>
      <c r="P178" s="149" t="s">
        <v>36</v>
      </c>
      <c r="Q178" s="150">
        <f t="shared" si="27"/>
        <v>10</v>
      </c>
      <c r="R178" s="151">
        <v>1</v>
      </c>
      <c r="S178" s="148">
        <f t="shared" si="26"/>
        <v>3</v>
      </c>
      <c r="T178" s="151" t="s">
        <v>37</v>
      </c>
      <c r="U178" s="151">
        <f t="shared" ref="U178:U184" si="29">VLOOKUP(T178,Urgency,2,FALSE)</f>
        <v>3</v>
      </c>
      <c r="V178" s="151" t="s">
        <v>30</v>
      </c>
      <c r="W178" s="151">
        <v>0</v>
      </c>
      <c r="X178" s="151">
        <v>0</v>
      </c>
      <c r="Y178" s="151">
        <v>0</v>
      </c>
      <c r="Z178" s="151">
        <v>0</v>
      </c>
      <c r="AA178" s="151">
        <v>0</v>
      </c>
      <c r="AB178" s="151">
        <v>0</v>
      </c>
      <c r="AC178" s="151">
        <v>0</v>
      </c>
      <c r="AD178" s="152" t="s">
        <v>29</v>
      </c>
      <c r="AE178" s="157">
        <f>VLOOKUP(Master201722[[#This Row],[Elevated Priority]],Epriority,2,)</f>
        <v>0</v>
      </c>
      <c r="AF178" s="151">
        <f>IF(Master201722[[#This Row],[Status]]="Active",Master201722[[#This Row],[Status_Score]],IF(C178="","",Q178+G178+S178+U178+AE178-5))</f>
        <v>111</v>
      </c>
      <c r="AG178" s="148"/>
      <c r="AH178" s="148">
        <v>2021</v>
      </c>
      <c r="AI178" s="148">
        <v>2021</v>
      </c>
      <c r="AJ178" s="156"/>
    </row>
    <row r="179" spans="1:63" s="66" customFormat="1" ht="61.5" hidden="1" customHeight="1" x14ac:dyDescent="0.25">
      <c r="A179" s="198">
        <f t="shared" si="25"/>
        <v>173</v>
      </c>
      <c r="B179" s="207" t="s">
        <v>73</v>
      </c>
      <c r="C179" s="149" t="s">
        <v>177</v>
      </c>
      <c r="D179" s="149" t="s">
        <v>178</v>
      </c>
      <c r="E179" s="149" t="s">
        <v>179</v>
      </c>
      <c r="F179" s="149" t="s">
        <v>832</v>
      </c>
      <c r="G179" s="149">
        <f t="shared" si="28"/>
        <v>100</v>
      </c>
      <c r="H179" s="163"/>
      <c r="I179" s="163"/>
      <c r="J179" s="163">
        <f>Master201722[[#This Row],[Initial Budget]]-Master201722[[#This Row],[Previously Committed Funds]]</f>
        <v>0</v>
      </c>
      <c r="K179" s="163"/>
      <c r="L179" s="203"/>
      <c r="M179" s="191">
        <f>Master201722[[#This Row],[Design $ (Add/Deduct)]]+Master201722[[#This Row],[Construction $ (Add/Ded)]]</f>
        <v>0</v>
      </c>
      <c r="N179" s="206">
        <v>15000</v>
      </c>
      <c r="O179" s="150">
        <v>2018</v>
      </c>
      <c r="P179" s="149" t="s">
        <v>36</v>
      </c>
      <c r="Q179" s="150">
        <f t="shared" si="27"/>
        <v>10</v>
      </c>
      <c r="R179" s="151">
        <v>2</v>
      </c>
      <c r="S179" s="148">
        <f t="shared" si="26"/>
        <v>6</v>
      </c>
      <c r="T179" s="151" t="s">
        <v>41</v>
      </c>
      <c r="U179" s="151">
        <f t="shared" si="29"/>
        <v>4</v>
      </c>
      <c r="V179" s="151" t="s">
        <v>30</v>
      </c>
      <c r="W179" s="151">
        <v>0</v>
      </c>
      <c r="X179" s="151">
        <v>0</v>
      </c>
      <c r="Y179" s="151">
        <v>0</v>
      </c>
      <c r="Z179" s="151">
        <v>0</v>
      </c>
      <c r="AA179" s="151">
        <v>0</v>
      </c>
      <c r="AB179" s="151">
        <v>0</v>
      </c>
      <c r="AC179" s="151">
        <v>0</v>
      </c>
      <c r="AD179" s="152" t="s">
        <v>29</v>
      </c>
      <c r="AE179" s="157">
        <f>VLOOKUP(Master201722[[#This Row],[Elevated Priority]],Epriority,2,)</f>
        <v>0</v>
      </c>
      <c r="AF179" s="151">
        <f>IF(Master201722[[#This Row],[Status]]="Active",Master201722[[#This Row],[Status_Score]],IF(C179="","",Q179+G179+S179+U179+AE179-5))</f>
        <v>115</v>
      </c>
      <c r="AG179" s="148"/>
      <c r="AH179" s="148">
        <v>2021</v>
      </c>
      <c r="AI179" s="148">
        <v>2022</v>
      </c>
      <c r="AJ179" s="156"/>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row>
    <row r="180" spans="1:63" s="66" customFormat="1" ht="31.5" hidden="1" customHeight="1" x14ac:dyDescent="0.25">
      <c r="A180" s="198">
        <f t="shared" si="25"/>
        <v>174</v>
      </c>
      <c r="B180" s="181" t="s">
        <v>214</v>
      </c>
      <c r="C180" s="181" t="s">
        <v>215</v>
      </c>
      <c r="D180" s="181" t="s">
        <v>216</v>
      </c>
      <c r="E180" s="233" t="s">
        <v>658</v>
      </c>
      <c r="F180" s="181" t="s">
        <v>832</v>
      </c>
      <c r="G180" s="181">
        <f t="shared" si="28"/>
        <v>100</v>
      </c>
      <c r="H180" s="199"/>
      <c r="I180" s="199"/>
      <c r="J180" s="199">
        <f>Master201722[[#This Row],[Initial Budget]]-Master201722[[#This Row],[Previously Committed Funds]]</f>
        <v>0</v>
      </c>
      <c r="K180" s="199"/>
      <c r="L180" s="200"/>
      <c r="M180" s="214">
        <f>Master201722[[#This Row],[Design $ (Add/Deduct)]]+Master201722[[#This Row],[Construction $ (Add/Ded)]]</f>
        <v>0</v>
      </c>
      <c r="N180" s="230">
        <v>250000</v>
      </c>
      <c r="O180" s="187">
        <v>2018</v>
      </c>
      <c r="P180" s="181" t="s">
        <v>688</v>
      </c>
      <c r="Q180" s="187">
        <f t="shared" si="27"/>
        <v>20</v>
      </c>
      <c r="R180" s="185">
        <v>1</v>
      </c>
      <c r="S180" s="185">
        <f t="shared" si="26"/>
        <v>3</v>
      </c>
      <c r="T180" s="185" t="s">
        <v>41</v>
      </c>
      <c r="U180" s="185">
        <f t="shared" si="29"/>
        <v>4</v>
      </c>
      <c r="V180" s="185" t="s">
        <v>30</v>
      </c>
      <c r="W180" s="151">
        <v>0</v>
      </c>
      <c r="X180" s="151">
        <v>0</v>
      </c>
      <c r="Y180" s="151">
        <v>0</v>
      </c>
      <c r="Z180" s="151">
        <v>0</v>
      </c>
      <c r="AA180" s="151">
        <v>0</v>
      </c>
      <c r="AB180" s="151">
        <v>0</v>
      </c>
      <c r="AC180" s="151">
        <v>0</v>
      </c>
      <c r="AD180" s="183" t="s">
        <v>29</v>
      </c>
      <c r="AE180" s="187">
        <f>VLOOKUP(Master201722[[#This Row],[Elevated Priority]],Epriority,2,)</f>
        <v>0</v>
      </c>
      <c r="AF180" s="151">
        <f>IF(Master201722[[#This Row],[Status]]="Active",Master201722[[#This Row],[Status_Score]],IF(C180="","",Q180+G180+S180+U180+AE180-5))</f>
        <v>122</v>
      </c>
      <c r="AG180" s="185"/>
      <c r="AH180" s="185">
        <v>2022</v>
      </c>
      <c r="AI180" s="185">
        <v>2022</v>
      </c>
      <c r="AJ180" s="181"/>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row>
    <row r="181" spans="1:63" ht="57.75" hidden="1" customHeight="1" x14ac:dyDescent="0.25">
      <c r="A181" s="198">
        <f t="shared" si="25"/>
        <v>175</v>
      </c>
      <c r="B181" s="197" t="s">
        <v>65</v>
      </c>
      <c r="C181" s="181" t="s">
        <v>208</v>
      </c>
      <c r="D181" s="181" t="s">
        <v>209</v>
      </c>
      <c r="E181" s="181" t="s">
        <v>210</v>
      </c>
      <c r="F181" s="181" t="s">
        <v>832</v>
      </c>
      <c r="G181" s="181">
        <f t="shared" si="28"/>
        <v>100</v>
      </c>
      <c r="H181" s="199"/>
      <c r="I181" s="199"/>
      <c r="J181" s="199">
        <f>Master201722[[#This Row],[Initial Budget]]-Master201722[[#This Row],[Previously Committed Funds]]</f>
        <v>0</v>
      </c>
      <c r="K181" s="199"/>
      <c r="L181" s="200"/>
      <c r="M181" s="214">
        <f>Master201722[[#This Row],[Design $ (Add/Deduct)]]+Master201722[[#This Row],[Construction $ (Add/Ded)]]</f>
        <v>0</v>
      </c>
      <c r="N181" s="230">
        <v>250000</v>
      </c>
      <c r="O181" s="187">
        <v>2018</v>
      </c>
      <c r="P181" s="181" t="s">
        <v>688</v>
      </c>
      <c r="Q181" s="187">
        <f t="shared" si="27"/>
        <v>20</v>
      </c>
      <c r="R181" s="185">
        <v>1</v>
      </c>
      <c r="S181" s="185">
        <f t="shared" ref="S181:S184" si="30">VLOOKUP(R181,Department,2,FALSE)</f>
        <v>3</v>
      </c>
      <c r="T181" s="185" t="s">
        <v>41</v>
      </c>
      <c r="U181" s="185">
        <f t="shared" si="29"/>
        <v>4</v>
      </c>
      <c r="V181" s="185" t="s">
        <v>30</v>
      </c>
      <c r="W181" s="151">
        <v>0</v>
      </c>
      <c r="X181" s="185">
        <v>0</v>
      </c>
      <c r="Y181" s="185">
        <v>0</v>
      </c>
      <c r="Z181" s="185">
        <v>0</v>
      </c>
      <c r="AA181" s="185">
        <v>0</v>
      </c>
      <c r="AB181" s="185">
        <v>0</v>
      </c>
      <c r="AC181" s="185">
        <v>0</v>
      </c>
      <c r="AD181" s="183" t="s">
        <v>29</v>
      </c>
      <c r="AE181" s="187">
        <f>VLOOKUP(Master201722[[#This Row],[Elevated Priority]],Epriority,2,)</f>
        <v>0</v>
      </c>
      <c r="AF181" s="185">
        <f>IF(Master201722[[#This Row],[Status]]="Active",Master201722[[#This Row],[Status_Score]],IF(C181="","",Q181+G181+S181+U181+AE181-5))</f>
        <v>122</v>
      </c>
      <c r="AG181" s="185"/>
      <c r="AH181" s="185"/>
      <c r="AI181" s="185"/>
      <c r="AJ181" s="181"/>
    </row>
    <row r="182" spans="1:63" ht="60" hidden="1" x14ac:dyDescent="0.25">
      <c r="A182" s="198">
        <f t="shared" si="25"/>
        <v>176</v>
      </c>
      <c r="B182" s="161" t="s">
        <v>214</v>
      </c>
      <c r="C182" s="156" t="s">
        <v>225</v>
      </c>
      <c r="D182" s="156" t="s">
        <v>226</v>
      </c>
      <c r="E182" s="156" t="s">
        <v>227</v>
      </c>
      <c r="F182" s="149" t="s">
        <v>832</v>
      </c>
      <c r="G182" s="149">
        <f t="shared" si="28"/>
        <v>100</v>
      </c>
      <c r="H182" s="163"/>
      <c r="I182" s="163"/>
      <c r="J182" s="163">
        <f>Master201722[[#This Row],[Initial Budget]]-Master201722[[#This Row],[Previously Committed Funds]]</f>
        <v>0</v>
      </c>
      <c r="K182" s="163"/>
      <c r="L182" s="163"/>
      <c r="M182" s="191">
        <f>Master201722[[#This Row],[Design $ (Add/Deduct)]]+Master201722[[#This Row],[Construction $ (Add/Ded)]]</f>
        <v>0</v>
      </c>
      <c r="N182" s="122">
        <v>250000</v>
      </c>
      <c r="O182" s="150">
        <v>2018</v>
      </c>
      <c r="P182" s="149" t="s">
        <v>688</v>
      </c>
      <c r="Q182" s="150">
        <f t="shared" si="27"/>
        <v>20</v>
      </c>
      <c r="R182" s="151">
        <v>2</v>
      </c>
      <c r="S182" s="148">
        <f t="shared" si="30"/>
        <v>6</v>
      </c>
      <c r="T182" s="151" t="s">
        <v>41</v>
      </c>
      <c r="U182" s="151">
        <f t="shared" si="29"/>
        <v>4</v>
      </c>
      <c r="V182" s="151" t="s">
        <v>30</v>
      </c>
      <c r="W182" s="151">
        <v>0</v>
      </c>
      <c r="X182" s="151">
        <v>0</v>
      </c>
      <c r="Y182" s="151">
        <v>0</v>
      </c>
      <c r="Z182" s="151">
        <v>0</v>
      </c>
      <c r="AA182" s="151">
        <v>0</v>
      </c>
      <c r="AB182" s="151">
        <v>0</v>
      </c>
      <c r="AC182" s="151">
        <v>0</v>
      </c>
      <c r="AD182" s="152" t="s">
        <v>29</v>
      </c>
      <c r="AE182" s="157">
        <f>VLOOKUP(Master201722[[#This Row],[Elevated Priority]],Epriority,2,)</f>
        <v>0</v>
      </c>
      <c r="AF182" s="151">
        <f>IF(Master201722[[#This Row],[Status]]="Active",Master201722[[#This Row],[Status_Score]],IF(C182="","",Q182+G182+S182+U182+AE182-5))</f>
        <v>125</v>
      </c>
      <c r="AG182" s="148"/>
      <c r="AH182" s="148">
        <v>2022</v>
      </c>
      <c r="AI182" s="148">
        <v>2022</v>
      </c>
      <c r="AJ182" s="156"/>
    </row>
    <row r="183" spans="1:63" ht="30" hidden="1" x14ac:dyDescent="0.25">
      <c r="A183" s="198">
        <f t="shared" si="25"/>
        <v>177</v>
      </c>
      <c r="B183" s="161" t="s">
        <v>214</v>
      </c>
      <c r="C183" s="149" t="s">
        <v>307</v>
      </c>
      <c r="D183" s="149" t="s">
        <v>308</v>
      </c>
      <c r="E183" s="149" t="s">
        <v>309</v>
      </c>
      <c r="F183" s="149" t="s">
        <v>832</v>
      </c>
      <c r="G183" s="149">
        <f t="shared" si="28"/>
        <v>100</v>
      </c>
      <c r="H183" s="163"/>
      <c r="I183" s="163"/>
      <c r="J183" s="163">
        <f>Master201722[[#This Row],[Initial Budget]]-Master201722[[#This Row],[Previously Committed Funds]]</f>
        <v>0</v>
      </c>
      <c r="K183" s="163"/>
      <c r="L183" s="203"/>
      <c r="M183" s="191">
        <f>Master201722[[#This Row],[Design $ (Add/Deduct)]]+Master201722[[#This Row],[Construction $ (Add/Ded)]]</f>
        <v>0</v>
      </c>
      <c r="N183" s="206">
        <v>150000</v>
      </c>
      <c r="O183" s="150">
        <v>2018</v>
      </c>
      <c r="P183" s="149" t="s">
        <v>688</v>
      </c>
      <c r="Q183" s="150">
        <f t="shared" si="27"/>
        <v>20</v>
      </c>
      <c r="R183" s="151">
        <v>4</v>
      </c>
      <c r="S183" s="148">
        <f t="shared" si="30"/>
        <v>12</v>
      </c>
      <c r="T183" s="151" t="s">
        <v>41</v>
      </c>
      <c r="U183" s="151">
        <f t="shared" si="29"/>
        <v>4</v>
      </c>
      <c r="V183" s="151" t="s">
        <v>30</v>
      </c>
      <c r="W183" s="151">
        <v>0</v>
      </c>
      <c r="X183" s="151">
        <v>0</v>
      </c>
      <c r="Y183" s="151">
        <v>0</v>
      </c>
      <c r="Z183" s="151">
        <v>0</v>
      </c>
      <c r="AA183" s="151">
        <v>0</v>
      </c>
      <c r="AB183" s="151">
        <v>0</v>
      </c>
      <c r="AC183" s="151">
        <v>0</v>
      </c>
      <c r="AD183" s="152" t="s">
        <v>29</v>
      </c>
      <c r="AE183" s="157">
        <f>VLOOKUP(Master201722[[#This Row],[Elevated Priority]],Epriority,2,)</f>
        <v>0</v>
      </c>
      <c r="AF183" s="151">
        <f>IF(Master201722[[#This Row],[Status]]="Active",Master201722[[#This Row],[Status_Score]],IF(C183="","",Q183+G183+S183+U183+AE183-5))</f>
        <v>131</v>
      </c>
      <c r="AG183" s="148"/>
      <c r="AH183" s="148"/>
      <c r="AI183" s="148"/>
      <c r="AJ183" s="156"/>
    </row>
    <row r="184" spans="1:63" ht="45" hidden="1" x14ac:dyDescent="0.25">
      <c r="A184" s="198">
        <f t="shared" si="25"/>
        <v>178</v>
      </c>
      <c r="B184" s="216" t="s">
        <v>674</v>
      </c>
      <c r="C184" s="177" t="s">
        <v>19</v>
      </c>
      <c r="D184" s="177" t="s">
        <v>831</v>
      </c>
      <c r="E184" s="177" t="s">
        <v>915</v>
      </c>
      <c r="F184" s="177" t="s">
        <v>832</v>
      </c>
      <c r="G184" s="177">
        <f t="shared" si="28"/>
        <v>100</v>
      </c>
      <c r="H184" s="217">
        <v>2097410</v>
      </c>
      <c r="I184" s="217">
        <v>1769</v>
      </c>
      <c r="J184" s="217">
        <f>Master201722[[#This Row],[Initial Budget]]-Master201722[[#This Row],[Previously Committed Funds]]</f>
        <v>2095641</v>
      </c>
      <c r="K184" s="217">
        <v>0</v>
      </c>
      <c r="L184" s="219">
        <v>0</v>
      </c>
      <c r="M184" s="218">
        <f>Master201722[[#This Row],[Design $ (Add/Deduct)]]+Master201722[[#This Row],[Construction $ (Add/Ded)]]</f>
        <v>0</v>
      </c>
      <c r="N184" s="220">
        <f>Master201722[[#This Row],[Total Add]]+Master201722[[#This Row],[Current Available Balance]]+Master201722[[#This Row],[Previously Committed Funds]]</f>
        <v>2097410</v>
      </c>
      <c r="O184" s="176">
        <v>2018</v>
      </c>
      <c r="P184" s="177" t="s">
        <v>46</v>
      </c>
      <c r="Q184" s="150">
        <f t="shared" ref="Q184" si="31">VLOOKUP(P184,Importance,2,FALSE)</f>
        <v>50</v>
      </c>
      <c r="R184" s="175">
        <v>10</v>
      </c>
      <c r="S184" s="175">
        <f t="shared" si="30"/>
        <v>21</v>
      </c>
      <c r="T184" s="175" t="s">
        <v>45</v>
      </c>
      <c r="U184" s="175">
        <f t="shared" si="29"/>
        <v>32</v>
      </c>
      <c r="V184" s="175" t="s">
        <v>38</v>
      </c>
      <c r="W184" s="185">
        <v>0</v>
      </c>
      <c r="X184" s="175"/>
      <c r="Y184" s="175"/>
      <c r="Z184" s="175"/>
      <c r="AA184" s="175"/>
      <c r="AB184" s="175"/>
      <c r="AC184" s="175"/>
      <c r="AD184" s="178" t="s">
        <v>29</v>
      </c>
      <c r="AE184" s="176">
        <f>VLOOKUP(Master201722[[#This Row],[Elevated Priority]],Epriority,2,)</f>
        <v>0</v>
      </c>
      <c r="AF184" s="175">
        <f>IF(Master201722[[#This Row],[Status]]="Active",Master201722[[#This Row],[Status_Score]],IF(C184="","",Q184+G184+S184+U184+AE184-5))</f>
        <v>198</v>
      </c>
      <c r="AG184" s="175" t="s">
        <v>717</v>
      </c>
      <c r="AH184" s="175"/>
      <c r="AI184" s="175"/>
      <c r="AJ184" s="177" t="s">
        <v>916</v>
      </c>
    </row>
    <row r="185" spans="1:63" ht="45" hidden="1" x14ac:dyDescent="0.25">
      <c r="A185" s="198">
        <f t="shared" si="25"/>
        <v>179</v>
      </c>
      <c r="B185" s="212" t="s">
        <v>646</v>
      </c>
      <c r="C185" s="208" t="s">
        <v>746</v>
      </c>
      <c r="D185" s="208" t="s">
        <v>675</v>
      </c>
      <c r="E185" s="208" t="s">
        <v>676</v>
      </c>
      <c r="F185" s="208" t="s">
        <v>814</v>
      </c>
      <c r="G185" s="209">
        <f t="shared" si="28"/>
        <v>200</v>
      </c>
      <c r="H185" s="213">
        <v>50000</v>
      </c>
      <c r="I185" s="213">
        <v>17833</v>
      </c>
      <c r="J185" s="163">
        <f>Master201722[[#This Row],[Initial Budget]]-Master201722[[#This Row],[Previously Committed Funds]]</f>
        <v>32167</v>
      </c>
      <c r="K185" s="213">
        <v>0</v>
      </c>
      <c r="L185" s="213">
        <v>0</v>
      </c>
      <c r="M185" s="191">
        <f>Master201722[[#This Row],[Design $ (Add/Deduct)]]+Master201722[[#This Row],[Construction $ (Add/Ded)]]</f>
        <v>0</v>
      </c>
      <c r="N185" s="163">
        <f>Master201722[[#This Row],[Total Add]]+Master201722[[#This Row],[Current Available Balance]]+Master201722[[#This Row],[Previously Committed Funds]]</f>
        <v>50000</v>
      </c>
      <c r="O185" s="210">
        <v>2019</v>
      </c>
      <c r="P185" s="149" t="s">
        <v>686</v>
      </c>
      <c r="Q185" s="150">
        <v>40</v>
      </c>
      <c r="R185" s="107">
        <v>1</v>
      </c>
      <c r="S185" s="151">
        <v>3</v>
      </c>
      <c r="T185" s="151" t="s">
        <v>37</v>
      </c>
      <c r="U185" s="151">
        <v>4</v>
      </c>
      <c r="V185" s="107" t="s">
        <v>38</v>
      </c>
      <c r="W185" s="151">
        <v>0</v>
      </c>
      <c r="X185" s="151"/>
      <c r="Y185" s="151"/>
      <c r="Z185" s="151"/>
      <c r="AA185" s="151"/>
      <c r="AB185" s="151"/>
      <c r="AC185" s="151"/>
      <c r="AD185" s="152" t="s">
        <v>29</v>
      </c>
      <c r="AE185" s="150">
        <v>0</v>
      </c>
      <c r="AF185" s="151">
        <f>IF(Master201722[[#This Row],[Status]]="Active",Master201722[[#This Row],[Status_Score]],IF(C185="","",Q185+G185+S185+U185+AE185-5))</f>
        <v>242</v>
      </c>
      <c r="AG185" s="211"/>
      <c r="AH185" s="211"/>
      <c r="AI185" s="211"/>
      <c r="AJ185" s="208" t="s">
        <v>157</v>
      </c>
    </row>
    <row r="186" spans="1:63" ht="75" hidden="1" x14ac:dyDescent="0.25">
      <c r="A186" s="198">
        <f t="shared" si="25"/>
        <v>180</v>
      </c>
      <c r="B186" s="197" t="s">
        <v>65</v>
      </c>
      <c r="C186" s="181" t="s">
        <v>733</v>
      </c>
      <c r="D186" s="181" t="s">
        <v>709</v>
      </c>
      <c r="E186" s="181" t="s">
        <v>735</v>
      </c>
      <c r="F186" s="181" t="s">
        <v>816</v>
      </c>
      <c r="G186" s="181">
        <f t="shared" si="28"/>
        <v>1000</v>
      </c>
      <c r="H186" s="199">
        <v>1319975</v>
      </c>
      <c r="I186" s="199">
        <v>230202.8</v>
      </c>
      <c r="J186" s="199">
        <f>Master201722[[#This Row],[Initial Budget]]-Master201722[[#This Row],[Previously Committed Funds]]</f>
        <v>1089772.2</v>
      </c>
      <c r="K186" s="199">
        <v>89000</v>
      </c>
      <c r="L186" s="200">
        <f>2425000-Master201722[[#This Row],[Design $ (Add/Deduct)]]-Master201722[[#This Row],[Current Available Balance]]-Master201722[[#This Row],[Previously Committed Funds]]</f>
        <v>1016025</v>
      </c>
      <c r="M186" s="214">
        <f>Master201722[[#This Row],[Design $ (Add/Deduct)]]+Master201722[[#This Row],[Construction $ (Add/Ded)]]</f>
        <v>1105025</v>
      </c>
      <c r="N186" s="215">
        <f>Master201722[[#This Row],[Total Add]]+Master201722[[#This Row],[Current Available Balance]]+Master201722[[#This Row],[Previously Committed Funds]]</f>
        <v>2425000</v>
      </c>
      <c r="O186" s="183">
        <v>2018</v>
      </c>
      <c r="P186" s="181" t="s">
        <v>29</v>
      </c>
      <c r="Q186" s="181">
        <f>VLOOKUP(P186,Importance, 2, FALSE)</f>
        <v>0</v>
      </c>
      <c r="R186" s="183" t="s">
        <v>29</v>
      </c>
      <c r="S186" s="181">
        <f>VLOOKUP(R186,Department,2,FALSE)</f>
        <v>0</v>
      </c>
      <c r="T186" s="181" t="s">
        <v>29</v>
      </c>
      <c r="U186" s="181">
        <f>VLOOKUP(T186,Urgency,2,FALSE)</f>
        <v>0</v>
      </c>
      <c r="V186" s="181" t="s">
        <v>38</v>
      </c>
      <c r="W186" s="181"/>
      <c r="X186" s="181"/>
      <c r="Y186" s="181"/>
      <c r="Z186" s="181"/>
      <c r="AA186" s="181"/>
      <c r="AB186" s="181"/>
      <c r="AC186" s="181"/>
      <c r="AD186" s="181" t="s">
        <v>29</v>
      </c>
      <c r="AE186" s="181">
        <f>VLOOKUP(Master201722[[#This Row],[Elevated Priority]],Epriority,2,)</f>
        <v>0</v>
      </c>
      <c r="AF186" s="183">
        <f>IF(Master201722[[#This Row],[Status]]="Active",Master201722[[#This Row],[Status_Score]],IF(C186="","",Q186+G186+S186+U186+AE186-5))</f>
        <v>995</v>
      </c>
      <c r="AG186" s="183" t="s">
        <v>715</v>
      </c>
      <c r="AH186" s="183">
        <v>2017</v>
      </c>
      <c r="AI186" s="183">
        <v>2020</v>
      </c>
      <c r="AJ186" s="181" t="s">
        <v>740</v>
      </c>
    </row>
    <row r="187" spans="1:63" ht="30" hidden="1" x14ac:dyDescent="0.25">
      <c r="A187" s="198">
        <f t="shared" si="25"/>
        <v>181</v>
      </c>
      <c r="B187" s="197" t="s">
        <v>732</v>
      </c>
      <c r="C187" s="181" t="s">
        <v>733</v>
      </c>
      <c r="D187" s="181" t="s">
        <v>709</v>
      </c>
      <c r="E187" s="181" t="s">
        <v>735</v>
      </c>
      <c r="F187" s="181" t="s">
        <v>816</v>
      </c>
      <c r="G187" s="181">
        <f t="shared" si="28"/>
        <v>1000</v>
      </c>
      <c r="H187" s="199">
        <v>342669</v>
      </c>
      <c r="I187" s="199">
        <v>11710</v>
      </c>
      <c r="J187" s="199">
        <f>Master201722[[#This Row],[Initial Budget]]-Master201722[[#This Row],[Previously Committed Funds]]</f>
        <v>330959</v>
      </c>
      <c r="K187" s="199">
        <v>0</v>
      </c>
      <c r="L187" s="200">
        <f>175000-Master201722[[#This Row],[Current Available Balance]]-Master201722[[#This Row],[Previously Committed Funds]]</f>
        <v>-167669</v>
      </c>
      <c r="M187" s="214">
        <f>Master201722[[#This Row],[Design $ (Add/Deduct)]]+Master201722[[#This Row],[Construction $ (Add/Ded)]]</f>
        <v>-167669</v>
      </c>
      <c r="N187" s="215">
        <f>Master201722[[#This Row],[Total Add]]+Master201722[[#This Row],[Current Available Balance]]+Master201722[[#This Row],[Previously Committed Funds]]</f>
        <v>175000</v>
      </c>
      <c r="O187" s="183">
        <v>2017</v>
      </c>
      <c r="P187" s="181" t="s">
        <v>29</v>
      </c>
      <c r="Q187" s="181"/>
      <c r="R187" s="183">
        <v>1</v>
      </c>
      <c r="S187" s="181"/>
      <c r="T187" s="181" t="s">
        <v>37</v>
      </c>
      <c r="U187" s="181"/>
      <c r="V187" s="181" t="s">
        <v>38</v>
      </c>
      <c r="W187" s="181"/>
      <c r="X187" s="181"/>
      <c r="Y187" s="181"/>
      <c r="Z187" s="181"/>
      <c r="AA187" s="181"/>
      <c r="AB187" s="181"/>
      <c r="AC187" s="181"/>
      <c r="AD187" s="181" t="s">
        <v>29</v>
      </c>
      <c r="AE187" s="181">
        <f>VLOOKUP(Master201722[[#This Row],[Elevated Priority]],Epriority,2,)</f>
        <v>0</v>
      </c>
      <c r="AF187" s="183">
        <f>IF(Master201722[[#This Row],[Status]]="Active",Master201722[[#This Row],[Status_Score]],IF(C187="","",Q187+G187+S187+U187+AE187-5))</f>
        <v>995</v>
      </c>
      <c r="AG187" s="183" t="s">
        <v>715</v>
      </c>
      <c r="AH187" s="183">
        <v>2017</v>
      </c>
      <c r="AI187" s="183">
        <v>2020</v>
      </c>
      <c r="AJ187" s="181"/>
    </row>
    <row r="188" spans="1:63" ht="30" hidden="1" x14ac:dyDescent="0.25">
      <c r="A188" s="198">
        <f t="shared" si="25"/>
        <v>182</v>
      </c>
      <c r="B188" s="197" t="s">
        <v>65</v>
      </c>
      <c r="C188" s="181" t="s">
        <v>734</v>
      </c>
      <c r="D188" s="181" t="s">
        <v>709</v>
      </c>
      <c r="E188" s="181" t="s">
        <v>868</v>
      </c>
      <c r="F188" s="181" t="s">
        <v>816</v>
      </c>
      <c r="G188" s="181">
        <f t="shared" si="28"/>
        <v>1000</v>
      </c>
      <c r="H188" s="199">
        <v>0</v>
      </c>
      <c r="I188" s="199">
        <v>0</v>
      </c>
      <c r="J188" s="199">
        <f>Master201722[[#This Row],[Initial Budget]]-Master201722[[#This Row],[Previously Committed Funds]]</f>
        <v>0</v>
      </c>
      <c r="K188" s="199">
        <v>9000</v>
      </c>
      <c r="L188" s="200">
        <v>218000</v>
      </c>
      <c r="M188" s="214">
        <f>Master201722[[#This Row],[Design $ (Add/Deduct)]]+Master201722[[#This Row],[Construction $ (Add/Ded)]]</f>
        <v>227000</v>
      </c>
      <c r="N188" s="215">
        <f>Master201722[[#This Row],[Total Add]]+Master201722[[#This Row],[Current Available Balance]]+Master201722[[#This Row],[Previously Committed Funds]]</f>
        <v>227000</v>
      </c>
      <c r="O188" s="183">
        <v>2017</v>
      </c>
      <c r="P188" s="181" t="s">
        <v>29</v>
      </c>
      <c r="Q188" s="181"/>
      <c r="R188" s="183">
        <v>1</v>
      </c>
      <c r="S188" s="181"/>
      <c r="T188" s="181" t="s">
        <v>37</v>
      </c>
      <c r="U188" s="181"/>
      <c r="V188" s="181" t="s">
        <v>38</v>
      </c>
      <c r="W188" s="181"/>
      <c r="X188" s="181"/>
      <c r="Y188" s="181"/>
      <c r="Z188" s="181"/>
      <c r="AA188" s="181"/>
      <c r="AB188" s="181"/>
      <c r="AC188" s="181"/>
      <c r="AD188" s="181" t="s">
        <v>29</v>
      </c>
      <c r="AE188" s="181">
        <f>VLOOKUP(Master201722[[#This Row],[Elevated Priority]],Epriority,2,)</f>
        <v>0</v>
      </c>
      <c r="AF188" s="183">
        <f>IF(Master201722[[#This Row],[Status]]="Active",Master201722[[#This Row],[Status_Score]],IF(C188="","",Q188+G188+S188+U188+AE188-5))</f>
        <v>995</v>
      </c>
      <c r="AG188" s="183" t="s">
        <v>715</v>
      </c>
      <c r="AH188" s="183">
        <v>2017</v>
      </c>
      <c r="AI188" s="183">
        <v>2020</v>
      </c>
      <c r="AJ188" s="181"/>
    </row>
    <row r="189" spans="1:63" ht="30" hidden="1" x14ac:dyDescent="0.25">
      <c r="A189" s="198">
        <f t="shared" si="25"/>
        <v>183</v>
      </c>
      <c r="B189" s="197" t="s">
        <v>65</v>
      </c>
      <c r="C189" s="181" t="s">
        <v>869</v>
      </c>
      <c r="D189" s="181" t="s">
        <v>709</v>
      </c>
      <c r="E189" s="181" t="s">
        <v>870</v>
      </c>
      <c r="F189" s="181" t="s">
        <v>816</v>
      </c>
      <c r="G189" s="181">
        <f t="shared" si="28"/>
        <v>1000</v>
      </c>
      <c r="H189" s="199">
        <v>450000</v>
      </c>
      <c r="I189" s="199">
        <v>101407.72</v>
      </c>
      <c r="J189" s="199">
        <f>Master201722[[#This Row],[Initial Budget]]-Master201722[[#This Row],[Previously Committed Funds]]</f>
        <v>348592.28</v>
      </c>
      <c r="K189" s="199">
        <v>21160</v>
      </c>
      <c r="L189" s="200">
        <f>635435-Master201722[[#This Row],[Design $ (Add/Deduct)]]-Master201722[[#This Row],[Current Available Balance]]-Master201722[[#This Row],[Previously Committed Funds]]</f>
        <v>164274.99999999997</v>
      </c>
      <c r="M189" s="214">
        <f>Master201722[[#This Row],[Design $ (Add/Deduct)]]+Master201722[[#This Row],[Construction $ (Add/Ded)]]</f>
        <v>185434.99999999997</v>
      </c>
      <c r="N189" s="215">
        <f>Master201722[[#This Row],[Total Add]]+Master201722[[#This Row],[Current Available Balance]]+Master201722[[#This Row],[Previously Committed Funds]]</f>
        <v>635435</v>
      </c>
      <c r="O189" s="183">
        <v>2017</v>
      </c>
      <c r="P189" s="181" t="s">
        <v>29</v>
      </c>
      <c r="Q189" s="181"/>
      <c r="R189" s="183">
        <v>1</v>
      </c>
      <c r="S189" s="181"/>
      <c r="T189" s="181" t="s">
        <v>37</v>
      </c>
      <c r="U189" s="181"/>
      <c r="V189" s="181" t="s">
        <v>38</v>
      </c>
      <c r="W189" s="181"/>
      <c r="X189" s="181"/>
      <c r="Y189" s="181"/>
      <c r="Z189" s="181"/>
      <c r="AA189" s="181"/>
      <c r="AB189" s="181"/>
      <c r="AC189" s="181"/>
      <c r="AD189" s="181" t="s">
        <v>29</v>
      </c>
      <c r="AE189" s="181">
        <f>VLOOKUP(Master201722[[#This Row],[Elevated Priority]],Epriority,2,)</f>
        <v>0</v>
      </c>
      <c r="AF189" s="183">
        <f>IF(Master201722[[#This Row],[Status]]="Active",Master201722[[#This Row],[Status_Score]],IF(C189="","",Q189+G189+S189+U189+AE189-5))</f>
        <v>995</v>
      </c>
      <c r="AG189" s="183" t="s">
        <v>715</v>
      </c>
      <c r="AH189" s="183">
        <v>2017</v>
      </c>
      <c r="AI189" s="183">
        <v>2020</v>
      </c>
      <c r="AJ189" s="181"/>
    </row>
    <row r="190" spans="1:63" x14ac:dyDescent="0.25">
      <c r="A190" s="198">
        <f t="shared" si="25"/>
        <v>184</v>
      </c>
      <c r="B190" s="161" t="s">
        <v>94</v>
      </c>
      <c r="C190" s="149" t="s">
        <v>592</v>
      </c>
      <c r="D190" s="149" t="s">
        <v>593</v>
      </c>
      <c r="E190" s="149"/>
      <c r="F190" s="149" t="s">
        <v>816</v>
      </c>
      <c r="G190" s="149">
        <f t="shared" si="28"/>
        <v>1000</v>
      </c>
      <c r="H190" s="163"/>
      <c r="I190" s="163"/>
      <c r="J190" s="163">
        <f>Master201722[[#This Row],[Initial Budget]]-Master201722[[#This Row],[Previously Committed Funds]]</f>
        <v>0</v>
      </c>
      <c r="K190" s="163"/>
      <c r="L190" s="203"/>
      <c r="M190" s="191">
        <f>Master201722[[#This Row],[Design $ (Add/Deduct)]]+Master201722[[#This Row],[Construction $ (Add/Ded)]]</f>
        <v>0</v>
      </c>
      <c r="N190" s="206">
        <v>350000</v>
      </c>
      <c r="O190" s="152">
        <v>2019</v>
      </c>
      <c r="P190" s="149" t="s">
        <v>686</v>
      </c>
      <c r="Q190" s="150">
        <f>VLOOKUP(P190,Importance,2,FALSE)</f>
        <v>60</v>
      </c>
      <c r="R190" s="151">
        <v>16</v>
      </c>
      <c r="S190" s="148">
        <f t="shared" ref="S190:S199" si="32">VLOOKUP(R190,Department,2,FALSE)</f>
        <v>24</v>
      </c>
      <c r="T190" s="151" t="s">
        <v>43</v>
      </c>
      <c r="U190" s="151">
        <f t="shared" ref="U190:U199" si="33">VLOOKUP(T190,Urgency,2,FALSE)</f>
        <v>16</v>
      </c>
      <c r="V190" s="151" t="s">
        <v>34</v>
      </c>
      <c r="W190" s="185">
        <v>0</v>
      </c>
      <c r="X190" s="151">
        <v>0</v>
      </c>
      <c r="Y190" s="151">
        <v>-3</v>
      </c>
      <c r="Z190" s="151">
        <v>0</v>
      </c>
      <c r="AA190" s="151">
        <v>0</v>
      </c>
      <c r="AB190" s="151">
        <v>0</v>
      </c>
      <c r="AC190" s="151">
        <v>0</v>
      </c>
      <c r="AD190" s="152" t="s">
        <v>29</v>
      </c>
      <c r="AE190" s="157">
        <f>VLOOKUP(Master201722[[#This Row],[Elevated Priority]],Epriority,2,)</f>
        <v>0</v>
      </c>
      <c r="AF190" s="151">
        <f>IF(Master201722[[#This Row],[Status]]="Active",Master201722[[#This Row],[Status_Score]],IF(C190="","",Q190+G190+S190+U190+AE190-5))</f>
        <v>1095</v>
      </c>
      <c r="AG190" s="151"/>
      <c r="AH190" s="151"/>
      <c r="AI190" s="151"/>
      <c r="AJ190" s="156" t="s">
        <v>985</v>
      </c>
    </row>
    <row r="191" spans="1:63" ht="60" hidden="1" x14ac:dyDescent="0.25">
      <c r="A191" s="198">
        <f t="shared" si="25"/>
        <v>185</v>
      </c>
      <c r="B191" s="197" t="s">
        <v>91</v>
      </c>
      <c r="C191" s="181" t="s">
        <v>677</v>
      </c>
      <c r="D191" s="181" t="s">
        <v>678</v>
      </c>
      <c r="E191" s="181" t="s">
        <v>98</v>
      </c>
      <c r="F191" s="181" t="s">
        <v>816</v>
      </c>
      <c r="G191" s="181">
        <f t="shared" si="28"/>
        <v>1000</v>
      </c>
      <c r="H191" s="199">
        <v>35000</v>
      </c>
      <c r="I191" s="199">
        <v>14750</v>
      </c>
      <c r="J191" s="199">
        <f>Master201722[[#This Row],[Initial Budget]]-Master201722[[#This Row],[Previously Committed Funds]]</f>
        <v>20250</v>
      </c>
      <c r="K191" s="199"/>
      <c r="L191" s="200">
        <v>600000</v>
      </c>
      <c r="M191" s="214">
        <f>Master201722[[#This Row],[Design $ (Add/Deduct)]]+Master201722[[#This Row],[Construction $ (Add/Ded)]]</f>
        <v>600000</v>
      </c>
      <c r="N191" s="230">
        <v>350000</v>
      </c>
      <c r="O191" s="187">
        <v>2018</v>
      </c>
      <c r="P191" s="181" t="s">
        <v>32</v>
      </c>
      <c r="Q191" s="187">
        <f>VLOOKUP(P191,Importance,2,FALSE)</f>
        <v>1</v>
      </c>
      <c r="R191" s="185">
        <v>1</v>
      </c>
      <c r="S191" s="185">
        <f t="shared" si="32"/>
        <v>3</v>
      </c>
      <c r="T191" s="185" t="s">
        <v>37</v>
      </c>
      <c r="U191" s="185">
        <f t="shared" si="33"/>
        <v>3</v>
      </c>
      <c r="V191" s="185" t="s">
        <v>30</v>
      </c>
      <c r="W191" s="185">
        <v>0</v>
      </c>
      <c r="X191" s="185">
        <v>0</v>
      </c>
      <c r="Y191" s="185">
        <v>0</v>
      </c>
      <c r="Z191" s="185">
        <v>0</v>
      </c>
      <c r="AA191" s="185">
        <v>0</v>
      </c>
      <c r="AB191" s="185">
        <v>0</v>
      </c>
      <c r="AC191" s="185">
        <v>0</v>
      </c>
      <c r="AD191" s="183" t="s">
        <v>29</v>
      </c>
      <c r="AE191" s="187">
        <f>VLOOKUP(Master201722[[#This Row],[Elevated Priority]],Epriority,2,)</f>
        <v>0</v>
      </c>
      <c r="AF191" s="185">
        <f>IF(Master201722[[#This Row],[Status]]="Active",Master201722[[#This Row],[Status_Score]],IF(C191="","",Q191+G191+S191+U191+AE191-5))</f>
        <v>1002</v>
      </c>
      <c r="AG191" s="185" t="s">
        <v>754</v>
      </c>
      <c r="AH191" s="185">
        <v>2019</v>
      </c>
      <c r="AI191" s="185">
        <v>2020</v>
      </c>
      <c r="AJ191" s="181" t="s">
        <v>747</v>
      </c>
    </row>
    <row r="192" spans="1:63" ht="60" hidden="1" x14ac:dyDescent="0.25">
      <c r="A192" s="198">
        <f t="shared" si="25"/>
        <v>186</v>
      </c>
      <c r="B192" s="197" t="s">
        <v>72</v>
      </c>
      <c r="C192" s="181" t="s">
        <v>74</v>
      </c>
      <c r="D192" s="181" t="s">
        <v>844</v>
      </c>
      <c r="E192" s="181" t="s">
        <v>843</v>
      </c>
      <c r="F192" s="181" t="s">
        <v>816</v>
      </c>
      <c r="G192" s="181">
        <f t="shared" si="28"/>
        <v>1000</v>
      </c>
      <c r="H192" s="199"/>
      <c r="I192" s="199"/>
      <c r="J192" s="199">
        <f>Master201722[[#This Row],[Initial Budget]]-Master201722[[#This Row],[Previously Committed Funds]]</f>
        <v>0</v>
      </c>
      <c r="K192" s="199"/>
      <c r="L192" s="200"/>
      <c r="M192" s="214">
        <f>Master201722[[#This Row],[Design $ (Add/Deduct)]]+Master201722[[#This Row],[Construction $ (Add/Ded)]]</f>
        <v>0</v>
      </c>
      <c r="N192" s="230">
        <v>500000</v>
      </c>
      <c r="O192" s="187">
        <v>2018</v>
      </c>
      <c r="P192" s="181" t="s">
        <v>32</v>
      </c>
      <c r="Q192" s="187">
        <f>VLOOKUP(P192,Importance, 2, FALSE)</f>
        <v>1</v>
      </c>
      <c r="R192" s="185">
        <v>1</v>
      </c>
      <c r="S192" s="185">
        <f t="shared" si="32"/>
        <v>3</v>
      </c>
      <c r="T192" s="185" t="s">
        <v>37</v>
      </c>
      <c r="U192" s="185">
        <f t="shared" si="33"/>
        <v>3</v>
      </c>
      <c r="V192" s="185" t="s">
        <v>38</v>
      </c>
      <c r="W192" s="185"/>
      <c r="X192" s="185"/>
      <c r="Y192" s="185"/>
      <c r="Z192" s="185"/>
      <c r="AA192" s="185"/>
      <c r="AB192" s="185"/>
      <c r="AC192" s="185"/>
      <c r="AD192" s="183" t="s">
        <v>29</v>
      </c>
      <c r="AE192" s="187">
        <f>VLOOKUP(Master201722[[#This Row],[Elevated Priority]],Epriority,2,)</f>
        <v>0</v>
      </c>
      <c r="AF192" s="185">
        <f>IF(Master201722[[#This Row],[Status]]="Active",Master201722[[#This Row],[Status_Score]],IF(C192="","",Q192+G192+S192+U192+AE192-5))</f>
        <v>1002</v>
      </c>
      <c r="AG192" s="185" t="s">
        <v>758</v>
      </c>
      <c r="AH192" s="185">
        <v>2019</v>
      </c>
      <c r="AI192" s="185">
        <v>2020</v>
      </c>
      <c r="AJ192" s="181"/>
    </row>
    <row r="193" spans="1:36" ht="30" hidden="1" x14ac:dyDescent="0.25">
      <c r="A193" s="198">
        <f t="shared" si="25"/>
        <v>187</v>
      </c>
      <c r="B193" s="227" t="s">
        <v>646</v>
      </c>
      <c r="C193" s="193" t="s">
        <v>721</v>
      </c>
      <c r="D193" s="193" t="s">
        <v>871</v>
      </c>
      <c r="E193" s="193" t="s">
        <v>683</v>
      </c>
      <c r="F193" s="193" t="s">
        <v>816</v>
      </c>
      <c r="G193" s="195">
        <f t="shared" si="28"/>
        <v>1000</v>
      </c>
      <c r="H193" s="228">
        <v>1400000</v>
      </c>
      <c r="I193" s="228">
        <v>17787.71</v>
      </c>
      <c r="J193" s="199">
        <f>Master201722[[#This Row],[Initial Budget]]-Master201722[[#This Row],[Previously Committed Funds]]</f>
        <v>1382212.29</v>
      </c>
      <c r="K193" s="228">
        <v>0</v>
      </c>
      <c r="L193" s="229">
        <v>-750000</v>
      </c>
      <c r="M193" s="214">
        <f>Master201722[[#This Row],[Design $ (Add/Deduct)]]+Master201722[[#This Row],[Construction $ (Add/Ded)]]</f>
        <v>-750000</v>
      </c>
      <c r="N193" s="215">
        <f>Master201722[[#This Row],[Total Add]]+Master201722[[#This Row],[Current Available Balance]]+Master201722[[#This Row],[Previously Committed Funds]]</f>
        <v>650000</v>
      </c>
      <c r="O193" s="194">
        <v>2019</v>
      </c>
      <c r="P193" s="181" t="s">
        <v>36</v>
      </c>
      <c r="Q193" s="187">
        <f>VLOOKUP(P193,Importance, 2, FALSE)</f>
        <v>10</v>
      </c>
      <c r="R193" s="185">
        <v>1</v>
      </c>
      <c r="S193" s="185">
        <f t="shared" si="32"/>
        <v>3</v>
      </c>
      <c r="T193" s="185" t="s">
        <v>37</v>
      </c>
      <c r="U193" s="185">
        <f t="shared" si="33"/>
        <v>3</v>
      </c>
      <c r="V193" s="185" t="s">
        <v>38</v>
      </c>
      <c r="W193" s="185"/>
      <c r="X193" s="185"/>
      <c r="Y193" s="185"/>
      <c r="Z193" s="185"/>
      <c r="AA193" s="185"/>
      <c r="AB193" s="185"/>
      <c r="AC193" s="185"/>
      <c r="AD193" s="183" t="s">
        <v>29</v>
      </c>
      <c r="AE193" s="187">
        <f>VLOOKUP(Master201722[[#This Row],[Elevated Priority]],Epriority,2,)</f>
        <v>0</v>
      </c>
      <c r="AF193" s="185">
        <f>IF(Master201722[[#This Row],[Status]]="Active",Master201722[[#This Row],[Status_Score]],IF(C193="","",Q193+G193+S193+U193+AE193-5))</f>
        <v>1011</v>
      </c>
      <c r="AG193" s="184" t="s">
        <v>758</v>
      </c>
      <c r="AH193" s="184">
        <v>2019</v>
      </c>
      <c r="AI193" s="184">
        <v>2020</v>
      </c>
      <c r="AJ193" s="193" t="s">
        <v>713</v>
      </c>
    </row>
    <row r="194" spans="1:36" ht="60" hidden="1" x14ac:dyDescent="0.25">
      <c r="A194" s="198">
        <f t="shared" si="25"/>
        <v>188</v>
      </c>
      <c r="B194" s="197" t="s">
        <v>61</v>
      </c>
      <c r="C194" s="181" t="s">
        <v>742</v>
      </c>
      <c r="D194" s="181" t="s">
        <v>847</v>
      </c>
      <c r="E194" s="181" t="s">
        <v>848</v>
      </c>
      <c r="F194" s="181" t="s">
        <v>816</v>
      </c>
      <c r="G194" s="181">
        <f t="shared" si="28"/>
        <v>1000</v>
      </c>
      <c r="H194" s="199">
        <v>350000</v>
      </c>
      <c r="I194" s="199">
        <v>287550</v>
      </c>
      <c r="J194" s="199">
        <f>Master201722[[#This Row],[Initial Budget]]-Master201722[[#This Row],[Previously Committed Funds]]</f>
        <v>62450</v>
      </c>
      <c r="K194" s="199">
        <v>30000</v>
      </c>
      <c r="L194" s="200">
        <v>2200000</v>
      </c>
      <c r="M194" s="214">
        <f>Master201722[[#This Row],[Design $ (Add/Deduct)]]+Master201722[[#This Row],[Construction $ (Add/Ded)]]</f>
        <v>2230000</v>
      </c>
      <c r="N194" s="215">
        <f>Master201722[[#This Row],[Total Add]]+Master201722[[#This Row],[Current Available Balance]]+Master201722[[#This Row],[Previously Committed Funds]]</f>
        <v>2580000</v>
      </c>
      <c r="O194" s="183">
        <v>2018</v>
      </c>
      <c r="P194" s="181" t="s">
        <v>29</v>
      </c>
      <c r="Q194" s="181">
        <f>VLOOKUP(P194,Importance, 2, FALSE)</f>
        <v>0</v>
      </c>
      <c r="R194" s="183" t="s">
        <v>29</v>
      </c>
      <c r="S194" s="181">
        <f t="shared" si="32"/>
        <v>0</v>
      </c>
      <c r="T194" s="181" t="s">
        <v>29</v>
      </c>
      <c r="U194" s="181">
        <f t="shared" si="33"/>
        <v>0</v>
      </c>
      <c r="V194" s="181" t="s">
        <v>38</v>
      </c>
      <c r="W194" s="181"/>
      <c r="X194" s="181"/>
      <c r="Y194" s="181"/>
      <c r="Z194" s="181"/>
      <c r="AA194" s="181"/>
      <c r="AB194" s="181"/>
      <c r="AC194" s="181"/>
      <c r="AD194" s="181" t="s">
        <v>29</v>
      </c>
      <c r="AE194" s="181">
        <f>VLOOKUP(Master201722[[#This Row],[Elevated Priority]],Epriority,2,)</f>
        <v>0</v>
      </c>
      <c r="AF194" s="183">
        <f>IF(Master201722[[#This Row],[Status]]="Active",Master201722[[#This Row],[Status_Score]],IF(C194="","",Q194+G194+S194+U194+AE194-5))</f>
        <v>995</v>
      </c>
      <c r="AG194" s="185" t="s">
        <v>757</v>
      </c>
      <c r="AH194" s="185">
        <v>2018</v>
      </c>
      <c r="AI194" s="185">
        <v>2020</v>
      </c>
      <c r="AJ194" s="181"/>
    </row>
    <row r="195" spans="1:36" ht="75" hidden="1" x14ac:dyDescent="0.25">
      <c r="A195" s="198">
        <f t="shared" si="25"/>
        <v>189</v>
      </c>
      <c r="B195" s="197" t="s">
        <v>61</v>
      </c>
      <c r="C195" s="181" t="s">
        <v>743</v>
      </c>
      <c r="D195" s="181" t="s">
        <v>849</v>
      </c>
      <c r="E195" s="181" t="s">
        <v>850</v>
      </c>
      <c r="F195" s="181" t="s">
        <v>816</v>
      </c>
      <c r="G195" s="181">
        <f t="shared" si="28"/>
        <v>1000</v>
      </c>
      <c r="H195" s="199">
        <v>0</v>
      </c>
      <c r="I195" s="199">
        <v>0</v>
      </c>
      <c r="J195" s="199">
        <f>Master201722[[#This Row],[Initial Budget]]-Master201722[[#This Row],[Previously Committed Funds]]</f>
        <v>0</v>
      </c>
      <c r="K195" s="199">
        <v>280000</v>
      </c>
      <c r="L195" s="200">
        <v>5000000</v>
      </c>
      <c r="M195" s="214">
        <f>Master201722[[#This Row],[Design $ (Add/Deduct)]]+Master201722[[#This Row],[Construction $ (Add/Ded)]]</f>
        <v>5280000</v>
      </c>
      <c r="N195" s="215">
        <f>Master201722[[#This Row],[Total Add]]+Master201722[[#This Row],[Current Available Balance]]+Master201722[[#This Row],[Previously Committed Funds]]</f>
        <v>5280000</v>
      </c>
      <c r="O195" s="183">
        <v>2018</v>
      </c>
      <c r="P195" s="181" t="s">
        <v>29</v>
      </c>
      <c r="Q195" s="181">
        <f>VLOOKUP(P195,Importance, 2, FALSE)</f>
        <v>0</v>
      </c>
      <c r="R195" s="183" t="s">
        <v>29</v>
      </c>
      <c r="S195" s="181">
        <f t="shared" si="32"/>
        <v>0</v>
      </c>
      <c r="T195" s="181" t="s">
        <v>29</v>
      </c>
      <c r="U195" s="181">
        <f t="shared" si="33"/>
        <v>0</v>
      </c>
      <c r="V195" s="181" t="s">
        <v>38</v>
      </c>
      <c r="W195" s="181"/>
      <c r="X195" s="181"/>
      <c r="Y195" s="181"/>
      <c r="Z195" s="181"/>
      <c r="AA195" s="181"/>
      <c r="AB195" s="181"/>
      <c r="AC195" s="181"/>
      <c r="AD195" s="181" t="s">
        <v>29</v>
      </c>
      <c r="AE195" s="181">
        <f>VLOOKUP(Master201722[[#This Row],[Elevated Priority]],Epriority,2,)</f>
        <v>0</v>
      </c>
      <c r="AF195" s="183">
        <f>IF(Master201722[[#This Row],[Status]]="Active",Master201722[[#This Row],[Status_Score]],IF(C195="","",Q195+G195+S195+U195+AE195-5))</f>
        <v>995</v>
      </c>
      <c r="AG195" s="185" t="s">
        <v>757</v>
      </c>
      <c r="AH195" s="185">
        <v>2018</v>
      </c>
      <c r="AI195" s="185">
        <v>2020</v>
      </c>
      <c r="AJ195" s="181"/>
    </row>
    <row r="196" spans="1:36" ht="150" hidden="1" x14ac:dyDescent="0.25">
      <c r="A196" s="198">
        <f t="shared" si="25"/>
        <v>190</v>
      </c>
      <c r="B196" s="197" t="s">
        <v>73</v>
      </c>
      <c r="C196" s="181" t="s">
        <v>640</v>
      </c>
      <c r="D196" s="181" t="s">
        <v>679</v>
      </c>
      <c r="E196" s="181" t="s">
        <v>877</v>
      </c>
      <c r="F196" s="181" t="s">
        <v>816</v>
      </c>
      <c r="G196" s="181">
        <f t="shared" si="28"/>
        <v>1000</v>
      </c>
      <c r="H196" s="199">
        <v>150000</v>
      </c>
      <c r="I196" s="199">
        <f>13467.55+12925.45</f>
        <v>26393</v>
      </c>
      <c r="J196" s="199">
        <f>Master201722[[#This Row],[Initial Budget]]-Master201722[[#This Row],[Previously Committed Funds]]</f>
        <v>123607</v>
      </c>
      <c r="K196" s="199"/>
      <c r="L196" s="200">
        <v>400000</v>
      </c>
      <c r="M196" s="214">
        <f>Master201722[[#This Row],[Design $ (Add/Deduct)]]+Master201722[[#This Row],[Construction $ (Add/Ded)]]</f>
        <v>400000</v>
      </c>
      <c r="N196" s="230">
        <v>650000</v>
      </c>
      <c r="O196" s="187">
        <v>2018</v>
      </c>
      <c r="P196" s="181" t="s">
        <v>36</v>
      </c>
      <c r="Q196" s="187">
        <f>VLOOKUP(P196,Importance,2,FALSE)</f>
        <v>10</v>
      </c>
      <c r="R196" s="185">
        <v>1</v>
      </c>
      <c r="S196" s="185">
        <f t="shared" si="32"/>
        <v>3</v>
      </c>
      <c r="T196" s="185" t="s">
        <v>33</v>
      </c>
      <c r="U196" s="185">
        <f t="shared" si="33"/>
        <v>1</v>
      </c>
      <c r="V196" s="185" t="s">
        <v>30</v>
      </c>
      <c r="W196" s="185">
        <v>0</v>
      </c>
      <c r="X196" s="185">
        <v>0</v>
      </c>
      <c r="Y196" s="185">
        <v>0</v>
      </c>
      <c r="Z196" s="185">
        <v>0</v>
      </c>
      <c r="AA196" s="185">
        <v>0</v>
      </c>
      <c r="AB196" s="185">
        <v>0</v>
      </c>
      <c r="AC196" s="185">
        <v>0</v>
      </c>
      <c r="AD196" s="183" t="s">
        <v>29</v>
      </c>
      <c r="AE196" s="187">
        <f>VLOOKUP(Master201722[[#This Row],[Elevated Priority]],Epriority,2,)</f>
        <v>0</v>
      </c>
      <c r="AF196" s="185">
        <f>IF(Master201722[[#This Row],[Status]]="Active",Master201722[[#This Row],[Status_Score]],IF(C196="","",Q196+G196+S196+U196+AE196-5))</f>
        <v>1009</v>
      </c>
      <c r="AG196" s="185" t="s">
        <v>715</v>
      </c>
      <c r="AH196" s="185">
        <v>2019</v>
      </c>
      <c r="AI196" s="185">
        <v>2020</v>
      </c>
      <c r="AJ196" s="181" t="s">
        <v>157</v>
      </c>
    </row>
    <row r="197" spans="1:36" ht="45" hidden="1" x14ac:dyDescent="0.25">
      <c r="A197" s="198">
        <f t="shared" si="25"/>
        <v>191</v>
      </c>
      <c r="B197" s="197" t="s">
        <v>655</v>
      </c>
      <c r="C197" s="181" t="s">
        <v>753</v>
      </c>
      <c r="D197" s="181" t="s">
        <v>854</v>
      </c>
      <c r="E197" s="181" t="s">
        <v>880</v>
      </c>
      <c r="F197" s="181" t="s">
        <v>816</v>
      </c>
      <c r="G197" s="181">
        <f t="shared" si="28"/>
        <v>1000</v>
      </c>
      <c r="H197" s="199"/>
      <c r="I197" s="199"/>
      <c r="J197" s="199">
        <f>Master201722[[#This Row],[Initial Budget]]-Master201722[[#This Row],[Previously Committed Funds]]</f>
        <v>0</v>
      </c>
      <c r="K197" s="199"/>
      <c r="L197" s="200"/>
      <c r="M197" s="214">
        <f>Master201722[[#This Row],[Design $ (Add/Deduct)]]+Master201722[[#This Row],[Construction $ (Add/Ded)]]</f>
        <v>0</v>
      </c>
      <c r="N197" s="230">
        <v>300000</v>
      </c>
      <c r="O197" s="183">
        <v>2019</v>
      </c>
      <c r="P197" s="181" t="s">
        <v>36</v>
      </c>
      <c r="Q197" s="187">
        <f>VLOOKUP(P197,Importance,2,FALSE)</f>
        <v>10</v>
      </c>
      <c r="R197" s="185">
        <v>10</v>
      </c>
      <c r="S197" s="185">
        <f t="shared" si="32"/>
        <v>21</v>
      </c>
      <c r="T197" s="185" t="s">
        <v>33</v>
      </c>
      <c r="U197" s="185">
        <f t="shared" si="33"/>
        <v>1</v>
      </c>
      <c r="V197" s="185" t="s">
        <v>30</v>
      </c>
      <c r="W197" s="185">
        <v>0</v>
      </c>
      <c r="X197" s="185">
        <v>0</v>
      </c>
      <c r="Y197" s="185">
        <v>0</v>
      </c>
      <c r="Z197" s="185">
        <v>0</v>
      </c>
      <c r="AA197" s="185">
        <v>0</v>
      </c>
      <c r="AB197" s="185">
        <v>0</v>
      </c>
      <c r="AC197" s="185">
        <v>0</v>
      </c>
      <c r="AD197" s="183" t="s">
        <v>29</v>
      </c>
      <c r="AE197" s="187">
        <f>VLOOKUP(Master201722[[#This Row],[Elevated Priority]],Epriority,2,)</f>
        <v>0</v>
      </c>
      <c r="AF197" s="185">
        <f>IF(Master201722[[#This Row],[Status]]="Active",Master201722[[#This Row],[Status_Score]],IF(C197="","",Q197+G197+S197+U197+AE197-5))</f>
        <v>1027</v>
      </c>
      <c r="AG197" s="185"/>
      <c r="AH197" s="185">
        <v>2019</v>
      </c>
      <c r="AI197" s="185">
        <v>2020</v>
      </c>
      <c r="AJ197" s="181" t="s">
        <v>654</v>
      </c>
    </row>
    <row r="198" spans="1:36" ht="30" hidden="1" x14ac:dyDescent="0.25">
      <c r="A198" s="198">
        <f t="shared" si="25"/>
        <v>192</v>
      </c>
      <c r="B198" s="197" t="s">
        <v>79</v>
      </c>
      <c r="C198" s="181" t="s">
        <v>199</v>
      </c>
      <c r="D198" s="181" t="s">
        <v>200</v>
      </c>
      <c r="E198" s="181" t="s">
        <v>201</v>
      </c>
      <c r="F198" s="181" t="s">
        <v>816</v>
      </c>
      <c r="G198" s="181">
        <f t="shared" si="28"/>
        <v>1000</v>
      </c>
      <c r="H198" s="199"/>
      <c r="I198" s="199"/>
      <c r="J198" s="199">
        <f>Master201722[[#This Row],[Initial Budget]]-Master201722[[#This Row],[Previously Committed Funds]]</f>
        <v>0</v>
      </c>
      <c r="K198" s="199"/>
      <c r="L198" s="200"/>
      <c r="M198" s="214">
        <f>Master201722[[#This Row],[Design $ (Add/Deduct)]]+Master201722[[#This Row],[Construction $ (Add/Ded)]]</f>
        <v>0</v>
      </c>
      <c r="N198" s="230">
        <v>30000</v>
      </c>
      <c r="O198" s="187">
        <v>2018</v>
      </c>
      <c r="P198" s="181" t="s">
        <v>36</v>
      </c>
      <c r="Q198" s="187">
        <f>VLOOKUP(P198,Importance,2,FALSE)</f>
        <v>10</v>
      </c>
      <c r="R198" s="185">
        <v>4</v>
      </c>
      <c r="S198" s="185">
        <f t="shared" si="32"/>
        <v>12</v>
      </c>
      <c r="T198" s="185" t="s">
        <v>41</v>
      </c>
      <c r="U198" s="185">
        <f t="shared" si="33"/>
        <v>4</v>
      </c>
      <c r="V198" s="185" t="s">
        <v>30</v>
      </c>
      <c r="W198" s="151">
        <v>0</v>
      </c>
      <c r="X198" s="185">
        <v>0</v>
      </c>
      <c r="Y198" s="185">
        <v>0</v>
      </c>
      <c r="Z198" s="185">
        <v>0</v>
      </c>
      <c r="AA198" s="185">
        <v>0</v>
      </c>
      <c r="AB198" s="185">
        <v>0</v>
      </c>
      <c r="AC198" s="185">
        <v>0</v>
      </c>
      <c r="AD198" s="183" t="s">
        <v>29</v>
      </c>
      <c r="AE198" s="187">
        <f>VLOOKUP(Master201722[[#This Row],[Elevated Priority]],Epriority,2,)</f>
        <v>0</v>
      </c>
      <c r="AF198" s="185">
        <f>IF(Master201722[[#This Row],[Status]]="Active",Master201722[[#This Row],[Status_Score]],IF(C198="","",Q198+G198+S198+U198+AE198-5))</f>
        <v>1021</v>
      </c>
      <c r="AG198" s="185"/>
      <c r="AH198" s="185"/>
      <c r="AI198" s="185">
        <v>2020</v>
      </c>
      <c r="AJ198" s="196"/>
    </row>
    <row r="199" spans="1:36" ht="60" x14ac:dyDescent="0.25">
      <c r="A199" s="198">
        <f t="shared" si="25"/>
        <v>193</v>
      </c>
      <c r="B199" s="197" t="s">
        <v>61</v>
      </c>
      <c r="C199" s="181" t="s">
        <v>478</v>
      </c>
      <c r="D199" s="181" t="s">
        <v>711</v>
      </c>
      <c r="E199" s="181" t="s">
        <v>480</v>
      </c>
      <c r="F199" s="181" t="s">
        <v>816</v>
      </c>
      <c r="G199" s="181">
        <f t="shared" si="28"/>
        <v>1000</v>
      </c>
      <c r="H199" s="199">
        <f>326250+108750</f>
        <v>435000</v>
      </c>
      <c r="I199" s="199">
        <v>15857</v>
      </c>
      <c r="J199" s="199">
        <f>Master201722[[#This Row],[Initial Budget]]-Master201722[[#This Row],[Previously Committed Funds]]</f>
        <v>419143</v>
      </c>
      <c r="K199" s="199">
        <v>0</v>
      </c>
      <c r="L199" s="200">
        <v>0</v>
      </c>
      <c r="M199" s="214">
        <f>Master201722[[#This Row],[Design $ (Add/Deduct)]]+Master201722[[#This Row],[Construction $ (Add/Ded)]]</f>
        <v>0</v>
      </c>
      <c r="N199" s="215">
        <f>Master201722[[#This Row],[Total Add]]+Master201722[[#This Row],[Current Available Balance]]+Master201722[[#This Row],[Previously Committed Funds]]</f>
        <v>435000</v>
      </c>
      <c r="O199" s="187">
        <v>2018</v>
      </c>
      <c r="P199" s="181" t="s">
        <v>686</v>
      </c>
      <c r="Q199" s="187">
        <f>VLOOKUP(P199,Importance,2,FALSE)</f>
        <v>60</v>
      </c>
      <c r="R199" s="185">
        <v>1</v>
      </c>
      <c r="S199" s="185">
        <f t="shared" si="32"/>
        <v>3</v>
      </c>
      <c r="T199" s="185" t="s">
        <v>37</v>
      </c>
      <c r="U199" s="185">
        <f t="shared" si="33"/>
        <v>3</v>
      </c>
      <c r="V199" s="185" t="s">
        <v>34</v>
      </c>
      <c r="W199" s="185">
        <v>0</v>
      </c>
      <c r="X199" s="151">
        <v>0</v>
      </c>
      <c r="Y199" s="185">
        <v>0</v>
      </c>
      <c r="Z199" s="185">
        <v>0</v>
      </c>
      <c r="AA199" s="151">
        <v>0</v>
      </c>
      <c r="AB199" s="151">
        <v>0</v>
      </c>
      <c r="AC199" s="151">
        <v>0</v>
      </c>
      <c r="AD199" s="183" t="s">
        <v>29</v>
      </c>
      <c r="AE199" s="187">
        <f>VLOOKUP(Master201722[[#This Row],[Elevated Priority]],Epriority,2,)</f>
        <v>0</v>
      </c>
      <c r="AF199" s="185">
        <f>IF(Master201722[[#This Row],[Status]]="Active",Master201722[[#This Row],[Status_Score]],IF(C199="","",Q199+G199+S199+U199+AE199-5))</f>
        <v>1061</v>
      </c>
      <c r="AG199" s="185" t="s">
        <v>759</v>
      </c>
      <c r="AH199" s="185">
        <v>2018</v>
      </c>
      <c r="AI199" s="185">
        <v>2020</v>
      </c>
      <c r="AJ199" s="181" t="s">
        <v>748</v>
      </c>
    </row>
    <row r="200" spans="1:36" ht="45" hidden="1" x14ac:dyDescent="0.25">
      <c r="A200" s="198">
        <f t="shared" si="25"/>
        <v>194</v>
      </c>
      <c r="B200" s="227" t="s">
        <v>761</v>
      </c>
      <c r="C200" s="193" t="s">
        <v>745</v>
      </c>
      <c r="D200" s="193" t="s">
        <v>675</v>
      </c>
      <c r="E200" s="193" t="s">
        <v>676</v>
      </c>
      <c r="F200" s="193" t="s">
        <v>816</v>
      </c>
      <c r="G200" s="195">
        <f t="shared" ref="G200:G205" si="34">VLOOKUP(F200,Status_Score,2,FALSE)</f>
        <v>1000</v>
      </c>
      <c r="H200" s="228">
        <v>200000</v>
      </c>
      <c r="I200" s="228">
        <v>19607</v>
      </c>
      <c r="J200" s="199">
        <f>Master201722[[#This Row],[Initial Budget]]-Master201722[[#This Row],[Previously Committed Funds]]</f>
        <v>180393</v>
      </c>
      <c r="K200" s="228">
        <v>0</v>
      </c>
      <c r="L200" s="229">
        <v>0</v>
      </c>
      <c r="M200" s="214">
        <f>Master201722[[#This Row],[Design $ (Add/Deduct)]]+Master201722[[#This Row],[Construction $ (Add/Ded)]]</f>
        <v>0</v>
      </c>
      <c r="N200" s="231">
        <v>250000</v>
      </c>
      <c r="O200" s="194">
        <v>2019</v>
      </c>
      <c r="P200" s="181" t="s">
        <v>686</v>
      </c>
      <c r="Q200" s="187">
        <f t="shared" ref="Q200:Q205" si="35">VLOOKUP(P200,Importance,2,FALSE)</f>
        <v>60</v>
      </c>
      <c r="R200" s="185">
        <v>1</v>
      </c>
      <c r="S200" s="185">
        <f t="shared" ref="S200:S205" si="36">VLOOKUP(R200,Department,2,FALSE)</f>
        <v>3</v>
      </c>
      <c r="T200" s="185" t="s">
        <v>47</v>
      </c>
      <c r="U200" s="185">
        <f t="shared" ref="U200:U205" si="37">VLOOKUP(T200,Urgency,2,FALSE)</f>
        <v>64</v>
      </c>
      <c r="V200" s="185" t="s">
        <v>38</v>
      </c>
      <c r="W200" s="185"/>
      <c r="X200" s="185"/>
      <c r="Y200" s="185"/>
      <c r="Z200" s="185"/>
      <c r="AA200" s="185"/>
      <c r="AB200" s="185"/>
      <c r="AC200" s="185"/>
      <c r="AD200" s="183" t="s">
        <v>29</v>
      </c>
      <c r="AE200" s="187">
        <f>VLOOKUP(Master201722[[#This Row],[Elevated Priority]],Epriority,2,)</f>
        <v>0</v>
      </c>
      <c r="AF200" s="185">
        <f>IF(C200="","",Q200+G200+S200+U200+AE200-5)</f>
        <v>1122</v>
      </c>
      <c r="AG200" s="184" t="s">
        <v>758</v>
      </c>
      <c r="AH200" s="184">
        <v>2019</v>
      </c>
      <c r="AI200" s="184">
        <v>2020</v>
      </c>
      <c r="AJ200" s="193"/>
    </row>
    <row r="201" spans="1:36" ht="30" hidden="1" x14ac:dyDescent="0.25">
      <c r="A201" s="198">
        <f t="shared" si="25"/>
        <v>195</v>
      </c>
      <c r="B201" s="197" t="s">
        <v>94</v>
      </c>
      <c r="C201" s="181" t="s">
        <v>139</v>
      </c>
      <c r="D201" s="181" t="s">
        <v>137</v>
      </c>
      <c r="E201" s="181" t="s">
        <v>879</v>
      </c>
      <c r="F201" s="181" t="s">
        <v>816</v>
      </c>
      <c r="G201" s="181">
        <f t="shared" si="34"/>
        <v>1000</v>
      </c>
      <c r="H201" s="199">
        <v>50000</v>
      </c>
      <c r="I201" s="199">
        <v>48635</v>
      </c>
      <c r="J201" s="199">
        <f>Master201722[[#This Row],[Initial Budget]]-Master201722[[#This Row],[Previously Committed Funds]]</f>
        <v>1365</v>
      </c>
      <c r="K201" s="199">
        <v>0</v>
      </c>
      <c r="L201" s="200">
        <v>0</v>
      </c>
      <c r="M201" s="214">
        <f>Master201722[[#This Row],[Design $ (Add/Deduct)]]+Master201722[[#This Row],[Construction $ (Add/Ded)]]</f>
        <v>0</v>
      </c>
      <c r="N201" s="215">
        <f>Master201722[[#This Row],[Total Add]]+Master201722[[#This Row],[Current Available Balance]]+Master201722[[#This Row],[Previously Committed Funds]]</f>
        <v>50000</v>
      </c>
      <c r="O201" s="187">
        <v>2018</v>
      </c>
      <c r="P201" s="181" t="s">
        <v>140</v>
      </c>
      <c r="Q201" s="187">
        <f t="shared" si="35"/>
        <v>10</v>
      </c>
      <c r="R201" s="185">
        <v>1</v>
      </c>
      <c r="S201" s="185">
        <f t="shared" si="36"/>
        <v>3</v>
      </c>
      <c r="T201" s="185" t="s">
        <v>33</v>
      </c>
      <c r="U201" s="185">
        <f t="shared" si="37"/>
        <v>1</v>
      </c>
      <c r="V201" s="185" t="s">
        <v>30</v>
      </c>
      <c r="W201" s="151">
        <v>0</v>
      </c>
      <c r="X201" s="151">
        <v>0</v>
      </c>
      <c r="Y201" s="151">
        <v>0</v>
      </c>
      <c r="Z201" s="151">
        <v>0</v>
      </c>
      <c r="AA201" s="151">
        <v>0</v>
      </c>
      <c r="AB201" s="151">
        <v>0</v>
      </c>
      <c r="AC201" s="151">
        <v>0</v>
      </c>
      <c r="AD201" s="183" t="s">
        <v>29</v>
      </c>
      <c r="AE201" s="187">
        <f>VLOOKUP(Master201722[[#This Row],[Elevated Priority]],Epriority,2,)</f>
        <v>0</v>
      </c>
      <c r="AF201" s="151">
        <f>IF(Master201722[[#This Row],[Status]]="Active",Master201722[[#This Row],[Status_Score]],IF(C201="","",Q201+G201+S201+U201+AE201-5))</f>
        <v>1009</v>
      </c>
      <c r="AG201" s="185" t="s">
        <v>716</v>
      </c>
      <c r="AH201" s="185"/>
      <c r="AI201" s="185"/>
      <c r="AJ201" s="181" t="s">
        <v>937</v>
      </c>
    </row>
    <row r="202" spans="1:36" ht="90" hidden="1" x14ac:dyDescent="0.25">
      <c r="A202" s="198">
        <f t="shared" si="25"/>
        <v>196</v>
      </c>
      <c r="B202" s="161" t="s">
        <v>73</v>
      </c>
      <c r="C202" s="149" t="s">
        <v>438</v>
      </c>
      <c r="D202" s="149" t="s">
        <v>439</v>
      </c>
      <c r="E202" s="149" t="s">
        <v>918</v>
      </c>
      <c r="F202" s="149" t="s">
        <v>816</v>
      </c>
      <c r="G202" s="149">
        <f t="shared" si="34"/>
        <v>1000</v>
      </c>
      <c r="H202" s="163"/>
      <c r="I202" s="163"/>
      <c r="J202" s="163">
        <f>Master201722[[#This Row],[Initial Budget]]-Master201722[[#This Row],[Previously Committed Funds]]</f>
        <v>0</v>
      </c>
      <c r="K202" s="163"/>
      <c r="L202" s="203"/>
      <c r="M202" s="191">
        <f>Master201722[[#This Row],[Design $ (Add/Deduct)]]+Master201722[[#This Row],[Construction $ (Add/Ded)]]</f>
        <v>0</v>
      </c>
      <c r="N202" s="206">
        <v>15000</v>
      </c>
      <c r="O202" s="150">
        <v>2018</v>
      </c>
      <c r="P202" s="149" t="s">
        <v>687</v>
      </c>
      <c r="Q202" s="150">
        <f t="shared" si="35"/>
        <v>30</v>
      </c>
      <c r="R202" s="151">
        <v>3</v>
      </c>
      <c r="S202" s="148">
        <f t="shared" si="36"/>
        <v>9</v>
      </c>
      <c r="T202" s="151" t="s">
        <v>43</v>
      </c>
      <c r="U202" s="151">
        <f t="shared" si="37"/>
        <v>16</v>
      </c>
      <c r="V202" s="151" t="s">
        <v>30</v>
      </c>
      <c r="W202" s="151">
        <v>0</v>
      </c>
      <c r="X202" s="151">
        <v>0</v>
      </c>
      <c r="Y202" s="151">
        <v>0</v>
      </c>
      <c r="Z202" s="151">
        <v>0</v>
      </c>
      <c r="AA202" s="151">
        <v>0</v>
      </c>
      <c r="AB202" s="151">
        <v>0</v>
      </c>
      <c r="AC202" s="151">
        <v>0</v>
      </c>
      <c r="AD202" s="152" t="s">
        <v>39</v>
      </c>
      <c r="AE202" s="157">
        <f>VLOOKUP(Master201722[[#This Row],[Elevated Priority]],Epriority,2,)</f>
        <v>-30</v>
      </c>
      <c r="AF202" s="151">
        <f>IF(Master201722[[#This Row],[Status]]="Active",Master201722[[#This Row],[Status_Score]],IF(C202="","",Q202+G202+S202+U202+AE202-5))</f>
        <v>1020</v>
      </c>
      <c r="AG202" s="148"/>
      <c r="AH202" s="148"/>
      <c r="AI202" s="148"/>
      <c r="AJ202" s="156"/>
    </row>
    <row r="203" spans="1:36" hidden="1" x14ac:dyDescent="0.25">
      <c r="A203" s="198">
        <f t="shared" si="25"/>
        <v>197</v>
      </c>
      <c r="B203" s="161" t="s">
        <v>79</v>
      </c>
      <c r="C203" s="149" t="s">
        <v>248</v>
      </c>
      <c r="D203" s="149" t="s">
        <v>249</v>
      </c>
      <c r="E203" s="149" t="s">
        <v>250</v>
      </c>
      <c r="F203" s="149" t="s">
        <v>816</v>
      </c>
      <c r="G203" s="149">
        <f t="shared" si="34"/>
        <v>1000</v>
      </c>
      <c r="H203" s="163"/>
      <c r="I203" s="163"/>
      <c r="J203" s="163">
        <f>Master201722[[#This Row],[Initial Budget]]-Master201722[[#This Row],[Previously Committed Funds]]</f>
        <v>0</v>
      </c>
      <c r="K203" s="163"/>
      <c r="L203" s="203"/>
      <c r="M203" s="191">
        <f>Master201722[[#This Row],[Design $ (Add/Deduct)]]+Master201722[[#This Row],[Construction $ (Add/Ded)]]</f>
        <v>0</v>
      </c>
      <c r="N203" s="206">
        <v>50000</v>
      </c>
      <c r="O203" s="150">
        <v>2018</v>
      </c>
      <c r="P203" s="149" t="s">
        <v>36</v>
      </c>
      <c r="Q203" s="150">
        <f t="shared" si="35"/>
        <v>10</v>
      </c>
      <c r="R203" s="151">
        <v>6</v>
      </c>
      <c r="S203" s="148">
        <f t="shared" si="36"/>
        <v>18</v>
      </c>
      <c r="T203" s="151" t="s">
        <v>41</v>
      </c>
      <c r="U203" s="151">
        <f t="shared" si="37"/>
        <v>4</v>
      </c>
      <c r="V203" s="151" t="s">
        <v>30</v>
      </c>
      <c r="W203" s="151">
        <v>0</v>
      </c>
      <c r="X203" s="151">
        <v>0</v>
      </c>
      <c r="Y203" s="151">
        <v>0</v>
      </c>
      <c r="Z203" s="151">
        <v>0</v>
      </c>
      <c r="AA203" s="151">
        <v>0</v>
      </c>
      <c r="AB203" s="151">
        <v>0</v>
      </c>
      <c r="AC203" s="151">
        <v>0</v>
      </c>
      <c r="AD203" s="152" t="s">
        <v>29</v>
      </c>
      <c r="AE203" s="157">
        <f>VLOOKUP(Master201722[[#This Row],[Elevated Priority]],Epriority,2,)</f>
        <v>0</v>
      </c>
      <c r="AF203" s="151">
        <f>IF(Master201722[[#This Row],[Status]]="Active",Master201722[[#This Row],[Status_Score]],IF(C203="","",Q203+G203+S203+U203+AE203-5))</f>
        <v>1027</v>
      </c>
      <c r="AG203" s="148"/>
      <c r="AH203" s="148"/>
      <c r="AI203" s="148"/>
      <c r="AJ203" s="156"/>
    </row>
    <row r="204" spans="1:36" ht="60" hidden="1" x14ac:dyDescent="0.25">
      <c r="A204" s="198">
        <f t="shared" si="25"/>
        <v>198</v>
      </c>
      <c r="B204" s="161" t="s">
        <v>70</v>
      </c>
      <c r="C204" s="149" t="s">
        <v>296</v>
      </c>
      <c r="D204" s="149" t="s">
        <v>297</v>
      </c>
      <c r="E204" s="149" t="s">
        <v>298</v>
      </c>
      <c r="F204" s="149" t="s">
        <v>816</v>
      </c>
      <c r="G204" s="149">
        <f t="shared" si="34"/>
        <v>1000</v>
      </c>
      <c r="H204" s="163"/>
      <c r="I204" s="163"/>
      <c r="J204" s="163">
        <f>Master201722[[#This Row],[Initial Budget]]-Master201722[[#This Row],[Previously Committed Funds]]</f>
        <v>0</v>
      </c>
      <c r="K204" s="163"/>
      <c r="L204" s="203"/>
      <c r="M204" s="191">
        <f>Master201722[[#This Row],[Design $ (Add/Deduct)]]+Master201722[[#This Row],[Construction $ (Add/Ded)]]</f>
        <v>0</v>
      </c>
      <c r="N204" s="206">
        <v>25000</v>
      </c>
      <c r="O204" s="150">
        <v>2018</v>
      </c>
      <c r="P204" s="149" t="s">
        <v>687</v>
      </c>
      <c r="Q204" s="150">
        <f t="shared" si="35"/>
        <v>30</v>
      </c>
      <c r="R204" s="151">
        <v>4</v>
      </c>
      <c r="S204" s="148">
        <f t="shared" si="36"/>
        <v>12</v>
      </c>
      <c r="T204" s="151" t="s">
        <v>41</v>
      </c>
      <c r="U204" s="151">
        <f t="shared" si="37"/>
        <v>4</v>
      </c>
      <c r="V204" s="151" t="s">
        <v>30</v>
      </c>
      <c r="W204" s="151">
        <v>0</v>
      </c>
      <c r="X204" s="151">
        <v>0</v>
      </c>
      <c r="Y204" s="151">
        <v>0</v>
      </c>
      <c r="Z204" s="151">
        <v>0</v>
      </c>
      <c r="AA204" s="151">
        <v>0</v>
      </c>
      <c r="AB204" s="151">
        <v>0</v>
      </c>
      <c r="AC204" s="151">
        <v>0</v>
      </c>
      <c r="AD204" s="152" t="s">
        <v>29</v>
      </c>
      <c r="AE204" s="157">
        <f>VLOOKUP(Master201722[[#This Row],[Elevated Priority]],Epriority,2,)</f>
        <v>0</v>
      </c>
      <c r="AF204" s="151">
        <f>IF(Master201722[[#This Row],[Status]]="Active",Master201722[[#This Row],[Status_Score]],IF(C204="","",Q204+G204+S204+U204+AE204-5))</f>
        <v>1041</v>
      </c>
      <c r="AG204" s="148"/>
      <c r="AH204" s="148"/>
      <c r="AI204" s="148"/>
      <c r="AJ204" s="156" t="s">
        <v>667</v>
      </c>
    </row>
    <row r="205" spans="1:36" ht="75" hidden="1" x14ac:dyDescent="0.25">
      <c r="A205" s="198">
        <f t="shared" si="25"/>
        <v>199</v>
      </c>
      <c r="B205" s="149" t="s">
        <v>143</v>
      </c>
      <c r="C205" s="149" t="s">
        <v>333</v>
      </c>
      <c r="D205" s="149" t="s">
        <v>334</v>
      </c>
      <c r="E205" s="149" t="s">
        <v>894</v>
      </c>
      <c r="F205" s="149" t="s">
        <v>816</v>
      </c>
      <c r="G205" s="149">
        <f t="shared" si="34"/>
        <v>1000</v>
      </c>
      <c r="H205" s="162"/>
      <c r="I205" s="162"/>
      <c r="J205" s="162">
        <f>Master201722[[#This Row],[Initial Budget]]-Master201722[[#This Row],[Previously Committed Funds]]</f>
        <v>0</v>
      </c>
      <c r="K205" s="162"/>
      <c r="L205" s="162"/>
      <c r="M205" s="189">
        <f>Master201722[[#This Row],[Design $ (Add/Deduct)]]+Master201722[[#This Row],[Construction $ (Add/Ded)]]</f>
        <v>0</v>
      </c>
      <c r="N205" s="162">
        <v>40000</v>
      </c>
      <c r="O205" s="150">
        <v>2018</v>
      </c>
      <c r="P205" s="149" t="s">
        <v>686</v>
      </c>
      <c r="Q205" s="150">
        <f t="shared" si="35"/>
        <v>60</v>
      </c>
      <c r="R205" s="152">
        <v>1</v>
      </c>
      <c r="S205" s="148">
        <f t="shared" si="36"/>
        <v>3</v>
      </c>
      <c r="T205" s="152" t="s">
        <v>41</v>
      </c>
      <c r="U205" s="151">
        <f t="shared" si="37"/>
        <v>4</v>
      </c>
      <c r="V205" s="151" t="s">
        <v>30</v>
      </c>
      <c r="W205" s="151">
        <v>0</v>
      </c>
      <c r="X205" s="151">
        <v>0</v>
      </c>
      <c r="Y205" s="151">
        <v>0</v>
      </c>
      <c r="Z205" s="151">
        <v>0</v>
      </c>
      <c r="AA205" s="151">
        <v>0</v>
      </c>
      <c r="AB205" s="151">
        <v>0</v>
      </c>
      <c r="AC205" s="151">
        <v>0</v>
      </c>
      <c r="AD205" s="152" t="s">
        <v>29</v>
      </c>
      <c r="AE205" s="157">
        <f>VLOOKUP(Master201722[[#This Row],[Elevated Priority]],Epriority,2,)</f>
        <v>0</v>
      </c>
      <c r="AF205" s="151">
        <f>IF(Master201722[[#This Row],[Status]]="Active",Master201722[[#This Row],[Status_Score]],IF(C205="","",Q205+G205+S205+U205+AE205-5))</f>
        <v>1062</v>
      </c>
      <c r="AG205" s="148"/>
      <c r="AH205" s="148"/>
      <c r="AI205" s="148"/>
      <c r="AJ205" s="156" t="s">
        <v>664</v>
      </c>
    </row>
    <row r="206" spans="1:36" x14ac:dyDescent="0.25">
      <c r="B206" s="161"/>
      <c r="C206" s="149"/>
      <c r="D206" s="149"/>
      <c r="E206" s="149"/>
      <c r="F206" s="149"/>
      <c r="G206" s="155"/>
      <c r="H206" s="163"/>
      <c r="I206" s="163"/>
      <c r="J206" s="163"/>
      <c r="K206" s="163"/>
      <c r="L206" s="163"/>
      <c r="M206" s="191"/>
      <c r="N206" s="163"/>
      <c r="O206" s="150"/>
      <c r="P206" s="149"/>
      <c r="Q206" s="150"/>
      <c r="R206" s="32"/>
      <c r="T206" s="152"/>
      <c r="U206" s="107"/>
      <c r="V206" s="107"/>
      <c r="W206" s="107"/>
      <c r="X206" s="107"/>
      <c r="Y206" s="107"/>
      <c r="Z206" s="107"/>
      <c r="AA206" s="107"/>
      <c r="AB206" s="107"/>
      <c r="AC206" s="107"/>
      <c r="AD206" s="32"/>
      <c r="AE206" s="226"/>
      <c r="AF206" s="107"/>
      <c r="AJ206" s="102"/>
    </row>
    <row r="207" spans="1:36" x14ac:dyDescent="0.25">
      <c r="A207" s="198">
        <f>A205+1</f>
        <v>200</v>
      </c>
      <c r="B207" s="161"/>
      <c r="C207" s="164"/>
      <c r="D207" s="164"/>
      <c r="E207" s="180"/>
      <c r="F207" s="149"/>
      <c r="G207" s="155"/>
      <c r="H207" s="163"/>
      <c r="I207" s="163"/>
      <c r="J207" s="163"/>
      <c r="K207" s="163"/>
      <c r="L207" s="163"/>
      <c r="M207" s="191"/>
      <c r="N207" s="122"/>
      <c r="O207" s="150"/>
      <c r="P207" s="149"/>
      <c r="Q207" s="150"/>
      <c r="R207" s="107"/>
      <c r="S207" s="151"/>
      <c r="T207" s="151"/>
      <c r="U207" s="107"/>
      <c r="V207" s="107"/>
      <c r="W207" s="107"/>
      <c r="X207" s="107"/>
      <c r="Y207" s="107"/>
      <c r="Z207" s="107"/>
      <c r="AA207" s="107"/>
      <c r="AB207" s="107"/>
      <c r="AC207" s="107"/>
      <c r="AD207" s="32"/>
      <c r="AE207" s="31"/>
      <c r="AF207" s="107"/>
      <c r="AJ207" s="102"/>
    </row>
  </sheetData>
  <conditionalFormatting sqref="C208:C1048576 C48:C50 C1 C173:C174 C41:C46 C181 C54:C166 C9:C39">
    <cfRule type="duplicateValues" priority="19"/>
  </conditionalFormatting>
  <conditionalFormatting sqref="C47">
    <cfRule type="duplicateValues" priority="18"/>
  </conditionalFormatting>
  <conditionalFormatting sqref="C167">
    <cfRule type="duplicateValues" priority="17"/>
  </conditionalFormatting>
  <conditionalFormatting sqref="C168:C172">
    <cfRule type="duplicateValues" priority="16"/>
  </conditionalFormatting>
  <conditionalFormatting sqref="C178 C175:C176">
    <cfRule type="duplicateValues" priority="20"/>
  </conditionalFormatting>
  <conditionalFormatting sqref="C40">
    <cfRule type="duplicateValues" priority="15"/>
  </conditionalFormatting>
  <conditionalFormatting sqref="C53">
    <cfRule type="duplicateValues" priority="14"/>
  </conditionalFormatting>
  <conditionalFormatting sqref="C182">
    <cfRule type="duplicateValues" priority="13"/>
  </conditionalFormatting>
  <conditionalFormatting sqref="C183">
    <cfRule type="duplicateValues" priority="12"/>
  </conditionalFormatting>
  <conditionalFormatting sqref="C184">
    <cfRule type="duplicateValues" priority="11"/>
  </conditionalFormatting>
  <conditionalFormatting sqref="C207:D207">
    <cfRule type="duplicateValues" priority="10"/>
  </conditionalFormatting>
  <conditionalFormatting sqref="C185:D204">
    <cfRule type="duplicateValues" priority="9"/>
  </conditionalFormatting>
  <conditionalFormatting sqref="D43">
    <cfRule type="duplicateValues" priority="8"/>
  </conditionalFormatting>
  <conditionalFormatting sqref="B49:B50">
    <cfRule type="duplicateValues" priority="7"/>
  </conditionalFormatting>
  <conditionalFormatting sqref="C51:C52">
    <cfRule type="duplicateValues" priority="6"/>
  </conditionalFormatting>
  <conditionalFormatting sqref="B51:B52">
    <cfRule type="duplicateValues" priority="5"/>
  </conditionalFormatting>
  <conditionalFormatting sqref="D46">
    <cfRule type="duplicateValues" priority="4"/>
  </conditionalFormatting>
  <conditionalFormatting sqref="C177">
    <cfRule type="duplicateValues" priority="21"/>
  </conditionalFormatting>
  <conditionalFormatting sqref="C205:C206">
    <cfRule type="duplicateValues" priority="3"/>
  </conditionalFormatting>
  <conditionalFormatting sqref="B62">
    <cfRule type="duplicateValues" priority="2"/>
  </conditionalFormatting>
  <conditionalFormatting sqref="B64">
    <cfRule type="duplicateValues" priority="1"/>
  </conditionalFormatting>
  <dataValidations count="13">
    <dataValidation type="list" allowBlank="1" showInputMessage="1" showErrorMessage="1" sqref="N208:O219" xr:uid="{00000000-0002-0000-0400-000000000000}">
      <formula1>"implist"</formula1>
    </dataValidation>
    <dataValidation type="list" allowBlank="1" showInputMessage="1" showErrorMessage="1" sqref="W2:AC5 W7:AC8 AB188 AB207 AB191 AB10:AB13 AB24 W207:X207 X188 W34:X34 W24:X24 W10:X13 AB34 V2:V207" xr:uid="{00000000-0002-0000-0400-000001000000}">
      <formula1>Funding</formula1>
    </dataValidation>
    <dataValidation type="list" allowBlank="1" showInputMessage="1" showErrorMessage="1" sqref="X25:X26 X21:X22 X9 X33 X39 X43:X44 X50 X59 X66:X67 X71 X73 X77 X80 X84 X88 X92 X94:X95 X100 X102 X107 X114 X120:X121 X123:X125 X132:X134 X137:X139 X141:X142 X145 X147:X148 X156 X158:X160 X162:X167 X170:X171 X173:X175 X177:X180 X183 X185:X187 X189:X191 X150:X154" xr:uid="{00000000-0002-0000-0400-000002000000}">
      <formula1>Energy</formula1>
    </dataValidation>
    <dataValidation type="list" allowBlank="1" showInputMessage="1" showErrorMessage="1" sqref="W9 W21:W22 W25:W26 W33 W39 W43:W44 W50 W59 W66:W67 W71 W73 W77 W80 W84 W88 W92 W94:W95 W100 W102 W107 W114 W120:W121 W123:W125 W132:W134 W137:W139 W141:W142 W145 W147:W148 W156 W158:W160 W162:W167 W170:W171 W173:W175 W177:W180 W150:W154 W183:W189" xr:uid="{00000000-0002-0000-0400-000003000000}">
      <formula1>Revenue</formula1>
    </dataValidation>
    <dataValidation type="list" allowBlank="1" showInputMessage="1" showErrorMessage="1" sqref="AB39 AB33 AB25:AB26 AB21:AB22 AB9" xr:uid="{00000000-0002-0000-0400-000004000000}">
      <formula1>MasterPlan</formula1>
    </dataValidation>
    <dataValidation type="list" allowBlank="1" showInputMessage="1" showErrorMessage="1" sqref="F2:F207" xr:uid="{00000000-0002-0000-0400-000005000000}">
      <formula1>Status</formula1>
    </dataValidation>
    <dataValidation type="list" allowBlank="1" showInputMessage="1" showErrorMessage="1" sqref="R2:R207" xr:uid="{00000000-0002-0000-0400-000006000000}">
      <formula1>Department_List</formula1>
    </dataValidation>
    <dataValidation type="list" allowBlank="1" showInputMessage="1" showErrorMessage="1" sqref="T2:T207" xr:uid="{00000000-0002-0000-0400-000007000000}">
      <formula1>Urgency_List</formula1>
    </dataValidation>
    <dataValidation type="list" allowBlank="1" showInputMessage="1" showErrorMessage="1" sqref="AD2:AD207" xr:uid="{00000000-0002-0000-0400-000008000000}">
      <formula1>ele_pri</formula1>
    </dataValidation>
    <dataValidation type="list" allowBlank="1" showInputMessage="1" showErrorMessage="1" sqref="Y9:Y207" xr:uid="{00000000-0002-0000-0400-000009000000}">
      <formula1>Age_Inf</formula1>
    </dataValidation>
    <dataValidation type="list" allowBlank="1" showInputMessage="1" showErrorMessage="1" sqref="Z9:Z207" xr:uid="{00000000-0002-0000-0400-00000A000000}">
      <formula1>Com_Need</formula1>
    </dataValidation>
    <dataValidation type="list" allowBlank="1" showInputMessage="1" showErrorMessage="1" sqref="AA9:AA207" xr:uid="{00000000-0002-0000-0400-00000B000000}">
      <formula1>Com_Request</formula1>
    </dataValidation>
    <dataValidation type="list" allowBlank="1" showInputMessage="1" showErrorMessage="1" sqref="AC9:AC207" xr:uid="{00000000-0002-0000-0400-00000C000000}">
      <formula1>Risk</formula1>
    </dataValidation>
  </dataValidations>
  <pageMargins left="0.7" right="0.7" top="0.75" bottom="0.75" header="0.3" footer="0.3"/>
  <pageSetup paperSize="3" scale="32" fitToHeight="0"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D000000}">
          <x14:formula1>
            <xm:f>Database!$U$3:$U$4</xm:f>
          </x14:formula1>
          <xm:sqref>W172 W23 W93 W6 W176 W181:W182 W14:W20 W35:W38 W40:W42 W45:W49 W51:W58 W60:W65 W68:W70 W72 W74:W76 W78:W79 W81:W83 W85:W87 W89:W91 W96:W99 W101 W103:W106 W108:W113 W115:W119 W122 W126:W131 W135:W136 W140 W143:W144 W146 W149 W155 W157 W161 W168:W169 W27:W32</xm:sqref>
        </x14:dataValidation>
        <x14:dataValidation type="list" allowBlank="1" showInputMessage="1" showErrorMessage="1" xr:uid="{00000000-0002-0000-0400-00000E000000}">
          <x14:formula1>
            <xm:f>Database!$U$3:$U$8</xm:f>
          </x14:formula1>
          <xm:sqref>W190:W206</xm:sqref>
        </x14:dataValidation>
        <x14:dataValidation type="list" allowBlank="1" showInputMessage="1" showErrorMessage="1" xr:uid="{00000000-0002-0000-0400-00000F000000}">
          <x14:formula1>
            <xm:f>Database!$U$8:$U$9</xm:f>
          </x14:formula1>
          <xm:sqref>X6 X14:X20 X23 X45:X49 X51:X53 X181 X192:X206 X72 X74 X65 X68 X62:X63 X55:X58 X60 X35:X38 X40:X41 X76 X79 X81 X83 X85:X87 X89 X91 X96:X97 X99 X103:X104 X106 X108:X113 X115:X118 X128:X130 X135 X143 X168 X27:X32</xm:sqref>
        </x14:dataValidation>
        <x14:dataValidation type="list" allowBlank="1" showInputMessage="1" showErrorMessage="1" xr:uid="{00000000-0002-0000-0400-000010000000}">
          <x14:formula1>
            <xm:f>Database!$U$14:$U$15</xm:f>
          </x14:formula1>
          <xm:sqref>Z6</xm:sqref>
        </x14:dataValidation>
        <x14:dataValidation type="list" allowBlank="1" showInputMessage="1" showErrorMessage="1" xr:uid="{00000000-0002-0000-0400-000011000000}">
          <x14:formula1>
            <xm:f>Database!$U$8:$U$10</xm:f>
          </x14:formula1>
          <xm:sqref>X69:X70 X64 X61 X54 X42 X75 X78 X82 X90 X93 X98 X105 X119 X122 X126:X127 X131 X136 X140 X144 X146 X149 X155 X157 X161 X169 X172 X176 X182 X184 X101</xm:sqref>
        </x14:dataValidation>
        <x14:dataValidation type="list" allowBlank="1" showInputMessage="1" showErrorMessage="1" xr:uid="{00000000-0002-0000-0400-000012000000}">
          <x14:formula1>
            <xm:f>Database!$U$13:$U$13</xm:f>
          </x14:formula1>
          <xm:sqref>Y6</xm:sqref>
        </x14:dataValidation>
        <x14:dataValidation type="list" allowBlank="1" showInputMessage="1" showErrorMessage="1" xr:uid="{00000000-0002-0000-0400-000013000000}">
          <x14:formula1>
            <xm:f>Database!$U$16:$U$17</xm:f>
          </x14:formula1>
          <xm:sqref>AA6</xm:sqref>
        </x14:dataValidation>
        <x14:dataValidation type="list" allowBlank="1" showInputMessage="1" showErrorMessage="1" xr:uid="{00000000-0002-0000-0400-000014000000}">
          <x14:formula1>
            <xm:f>Database!$W$11:$W$16</xm:f>
          </x14:formula1>
          <xm:sqref>AB6 AB40:AB187 AB189:AB190 AB192:AB206 AB14:AB20 AB23 AB35:AB38 AB27:AB32</xm:sqref>
        </x14:dataValidation>
        <x14:dataValidation type="list" allowBlank="1" showInputMessage="1" showErrorMessage="1" xr:uid="{00000000-0002-0000-0400-000015000000}">
          <x14:formula1>
            <xm:f>Database!$U$24:$U$25</xm:f>
          </x14:formula1>
          <xm:sqref>AC6</xm:sqref>
        </x14:dataValidation>
        <x14:dataValidation type="list" allowBlank="1" showInputMessage="1" showErrorMessage="1" xr:uid="{00000000-0002-0000-0400-000016000000}">
          <x14:formula1>
            <xm:f>Database!$D$3:$D$12</xm:f>
          </x14:formula1>
          <xm:sqref>P2:P207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U226"/>
  <sheetViews>
    <sheetView zoomScaleNormal="100" workbookViewId="0">
      <pane ySplit="1" topLeftCell="A2" activePane="bottomLeft" state="frozen"/>
      <selection activeCell="B18" sqref="B18"/>
      <selection pane="bottomLeft" activeCell="B18" sqref="B18"/>
    </sheetView>
  </sheetViews>
  <sheetFormatPr defaultColWidth="9.140625" defaultRowHeight="15" x14ac:dyDescent="0.25"/>
  <cols>
    <col min="1" max="1" width="9.42578125" style="10" customWidth="1"/>
    <col min="2" max="2" width="17.42578125" style="1" customWidth="1"/>
    <col min="3" max="3" width="35" style="38" customWidth="1"/>
    <col min="4" max="4" width="24.7109375" style="38" customWidth="1"/>
    <col min="5" max="5" width="24.7109375" style="3" customWidth="1"/>
    <col min="6" max="7" width="12.42578125" style="3" customWidth="1"/>
    <col min="8" max="8" width="18.85546875" style="42" customWidth="1"/>
    <col min="9" max="9" width="18.85546875" style="43" customWidth="1"/>
    <col min="10" max="10" width="24.7109375" style="38" customWidth="1"/>
    <col min="11" max="11" width="14.7109375" style="40" customWidth="1"/>
    <col min="12" max="12" width="16" style="8" customWidth="1"/>
    <col min="13" max="13" width="14.7109375" style="8" customWidth="1"/>
    <col min="14" max="14" width="16.85546875" style="8" customWidth="1"/>
    <col min="15" max="18" width="14.7109375" style="8" customWidth="1"/>
    <col min="19" max="19" width="18.7109375" style="8" customWidth="1"/>
    <col min="20" max="20" width="20.28515625" style="1" hidden="1" customWidth="1"/>
    <col min="21" max="21" width="33" bestFit="1" customWidth="1"/>
  </cols>
  <sheetData>
    <row r="1" spans="1:21" ht="30" x14ac:dyDescent="0.25">
      <c r="A1" s="10" t="s">
        <v>48</v>
      </c>
      <c r="B1" s="4" t="s">
        <v>49</v>
      </c>
      <c r="C1" s="5" t="s">
        <v>50</v>
      </c>
      <c r="D1" s="5" t="s">
        <v>51</v>
      </c>
      <c r="E1" s="5" t="s">
        <v>52</v>
      </c>
      <c r="F1" s="5" t="s">
        <v>53</v>
      </c>
      <c r="G1" s="5" t="s">
        <v>645</v>
      </c>
      <c r="H1" s="6" t="s">
        <v>54</v>
      </c>
      <c r="I1" s="6" t="s">
        <v>55</v>
      </c>
      <c r="J1" s="4" t="s">
        <v>26</v>
      </c>
      <c r="K1" s="81" t="s">
        <v>56</v>
      </c>
      <c r="L1" s="4" t="s">
        <v>27</v>
      </c>
      <c r="M1" s="4" t="s">
        <v>57</v>
      </c>
      <c r="N1" s="4" t="s">
        <v>28</v>
      </c>
      <c r="O1" s="7" t="s">
        <v>58</v>
      </c>
      <c r="P1" s="7" t="s">
        <v>23</v>
      </c>
      <c r="Q1" s="4" t="s">
        <v>24</v>
      </c>
      <c r="R1" s="8" t="s">
        <v>25</v>
      </c>
      <c r="S1" s="7" t="s">
        <v>59</v>
      </c>
      <c r="T1" s="7" t="s">
        <v>60</v>
      </c>
      <c r="U1" s="116" t="s">
        <v>680</v>
      </c>
    </row>
    <row r="2" spans="1:21" hidden="1" x14ac:dyDescent="0.25">
      <c r="A2" s="10">
        <v>1</v>
      </c>
      <c r="B2" s="98" t="s">
        <v>61</v>
      </c>
      <c r="C2" s="15" t="s">
        <v>4</v>
      </c>
      <c r="D2" s="15" t="s">
        <v>62</v>
      </c>
      <c r="E2" s="15"/>
      <c r="F2" s="15" t="s">
        <v>598</v>
      </c>
      <c r="G2" s="15">
        <f t="shared" ref="G2:G65" si="0">VLOOKUP(F2,Status_Score,2,FALSE)</f>
        <v>-100</v>
      </c>
      <c r="H2" s="16">
        <v>4500000</v>
      </c>
      <c r="I2" s="17">
        <v>2018</v>
      </c>
      <c r="J2" s="15" t="s">
        <v>29</v>
      </c>
      <c r="K2" s="17">
        <f t="shared" ref="K2:K13" si="1">VLOOKUP(J2,Importance, 2, FALSE)</f>
        <v>0</v>
      </c>
      <c r="L2" s="18" t="s">
        <v>29</v>
      </c>
      <c r="M2" s="18">
        <f t="shared" ref="M2:M65" si="2">VLOOKUP(L2,Department,2,FALSE)</f>
        <v>0</v>
      </c>
      <c r="N2" s="18" t="s">
        <v>29</v>
      </c>
      <c r="O2" s="18">
        <f t="shared" ref="O2:O28" si="3">VLOOKUP(N2,Urgency,2,FALSE)</f>
        <v>0</v>
      </c>
      <c r="P2" s="18" t="s">
        <v>38</v>
      </c>
      <c r="Q2" s="19" t="s">
        <v>29</v>
      </c>
      <c r="R2" s="17">
        <f>VLOOKUP(Master19[[#This Row],[Elevated Priority]],Epriority,2,)</f>
        <v>0</v>
      </c>
      <c r="S2" s="18">
        <f>IF(Master19[[#This Row],[Status]]="Active",Master19[[#This Row],[Status_Score]],IF(C2="","",K2+G2+M2+O2+R2-5))</f>
        <v>-100</v>
      </c>
      <c r="T2" s="117"/>
      <c r="U2" s="9"/>
    </row>
    <row r="3" spans="1:21" hidden="1" x14ac:dyDescent="0.25">
      <c r="A3" s="10">
        <v>2</v>
      </c>
      <c r="B3" s="98" t="s">
        <v>61</v>
      </c>
      <c r="C3" s="15" t="s">
        <v>5</v>
      </c>
      <c r="D3" s="15" t="s">
        <v>62</v>
      </c>
      <c r="E3" s="15"/>
      <c r="F3" s="15" t="s">
        <v>598</v>
      </c>
      <c r="G3" s="15">
        <f t="shared" si="0"/>
        <v>-100</v>
      </c>
      <c r="H3" s="16">
        <v>750000</v>
      </c>
      <c r="I3" s="17">
        <v>2018</v>
      </c>
      <c r="J3" s="15" t="s">
        <v>29</v>
      </c>
      <c r="K3" s="17">
        <f t="shared" si="1"/>
        <v>0</v>
      </c>
      <c r="L3" s="18" t="s">
        <v>29</v>
      </c>
      <c r="M3" s="18">
        <f t="shared" si="2"/>
        <v>0</v>
      </c>
      <c r="N3" s="18" t="s">
        <v>29</v>
      </c>
      <c r="O3" s="18">
        <f t="shared" si="3"/>
        <v>0</v>
      </c>
      <c r="P3" s="18" t="s">
        <v>38</v>
      </c>
      <c r="Q3" s="19" t="s">
        <v>29</v>
      </c>
      <c r="R3" s="17">
        <f>VLOOKUP(Master19[[#This Row],[Elevated Priority]],Epriority,2,)</f>
        <v>0</v>
      </c>
      <c r="S3" s="18">
        <f>IF(Master19[[#This Row],[Status]]="Active",Master19[[#This Row],[Status_Score]],IF(C3="","",K3+G3+M3+O3+R3-5))</f>
        <v>-100</v>
      </c>
      <c r="T3" s="117"/>
      <c r="U3" s="9"/>
    </row>
    <row r="4" spans="1:21" s="114" customFormat="1" hidden="1" x14ac:dyDescent="0.25">
      <c r="A4" s="10">
        <v>3</v>
      </c>
      <c r="B4" s="98" t="s">
        <v>65</v>
      </c>
      <c r="C4" s="15" t="s">
        <v>66</v>
      </c>
      <c r="D4" s="15" t="s">
        <v>62</v>
      </c>
      <c r="E4" s="15"/>
      <c r="F4" s="15" t="s">
        <v>598</v>
      </c>
      <c r="G4" s="15">
        <f t="shared" si="0"/>
        <v>-100</v>
      </c>
      <c r="H4" s="16">
        <v>3500000</v>
      </c>
      <c r="I4" s="17">
        <v>2018</v>
      </c>
      <c r="J4" s="15" t="s">
        <v>29</v>
      </c>
      <c r="K4" s="17">
        <f t="shared" si="1"/>
        <v>0</v>
      </c>
      <c r="L4" s="18" t="s">
        <v>29</v>
      </c>
      <c r="M4" s="18">
        <f t="shared" si="2"/>
        <v>0</v>
      </c>
      <c r="N4" s="18" t="s">
        <v>29</v>
      </c>
      <c r="O4" s="18">
        <f t="shared" si="3"/>
        <v>0</v>
      </c>
      <c r="P4" s="18" t="s">
        <v>38</v>
      </c>
      <c r="Q4" s="19" t="s">
        <v>29</v>
      </c>
      <c r="R4" s="17">
        <f>VLOOKUP(Master19[[#This Row],[Elevated Priority]],Epriority,2,)</f>
        <v>0</v>
      </c>
      <c r="S4" s="18">
        <f>IF(Master19[[#This Row],[Status]]="Active",Master19[[#This Row],[Status_Score]],IF(C4="","",K4+G4+M4+O4+R4-5))</f>
        <v>-100</v>
      </c>
      <c r="T4" s="117"/>
      <c r="U4" s="9"/>
    </row>
    <row r="5" spans="1:21" s="114" customFormat="1" ht="30" hidden="1" x14ac:dyDescent="0.25">
      <c r="A5" s="10">
        <v>4</v>
      </c>
      <c r="B5" s="98" t="s">
        <v>67</v>
      </c>
      <c r="C5" s="15" t="s">
        <v>68</v>
      </c>
      <c r="D5" s="15" t="s">
        <v>62</v>
      </c>
      <c r="E5" s="15"/>
      <c r="F5" s="15" t="s">
        <v>598</v>
      </c>
      <c r="G5" s="15">
        <f t="shared" si="0"/>
        <v>-100</v>
      </c>
      <c r="H5" s="16">
        <v>4000000</v>
      </c>
      <c r="I5" s="17">
        <v>2018</v>
      </c>
      <c r="J5" s="15" t="s">
        <v>29</v>
      </c>
      <c r="K5" s="17">
        <f t="shared" si="1"/>
        <v>0</v>
      </c>
      <c r="L5" s="18" t="s">
        <v>29</v>
      </c>
      <c r="M5" s="18">
        <f t="shared" si="2"/>
        <v>0</v>
      </c>
      <c r="N5" s="18" t="s">
        <v>29</v>
      </c>
      <c r="O5" s="18">
        <f t="shared" si="3"/>
        <v>0</v>
      </c>
      <c r="P5" s="18" t="s">
        <v>38</v>
      </c>
      <c r="Q5" s="19" t="s">
        <v>29</v>
      </c>
      <c r="R5" s="17">
        <f>VLOOKUP(Master19[[#This Row],[Elevated Priority]],Epriority,2,)</f>
        <v>0</v>
      </c>
      <c r="S5" s="18">
        <f>IF(Master19[[#This Row],[Status]]="Active",Master19[[#This Row],[Status_Score]],IF(C5="","",K5+G5+M5+O5+R5-5))</f>
        <v>-100</v>
      </c>
      <c r="T5" s="123"/>
      <c r="U5"/>
    </row>
    <row r="6" spans="1:21" hidden="1" x14ac:dyDescent="0.25">
      <c r="A6" s="10">
        <v>5</v>
      </c>
      <c r="B6" s="15" t="s">
        <v>69</v>
      </c>
      <c r="C6" s="15" t="s">
        <v>9</v>
      </c>
      <c r="D6" s="15" t="s">
        <v>62</v>
      </c>
      <c r="E6" s="15"/>
      <c r="F6" s="15" t="s">
        <v>598</v>
      </c>
      <c r="G6" s="15">
        <f t="shared" si="0"/>
        <v>-100</v>
      </c>
      <c r="H6" s="16">
        <v>500000</v>
      </c>
      <c r="I6" s="17">
        <v>2018</v>
      </c>
      <c r="J6" s="15" t="s">
        <v>29</v>
      </c>
      <c r="K6" s="17">
        <f t="shared" si="1"/>
        <v>0</v>
      </c>
      <c r="L6" s="18" t="s">
        <v>29</v>
      </c>
      <c r="M6" s="18">
        <f t="shared" si="2"/>
        <v>0</v>
      </c>
      <c r="N6" s="18" t="s">
        <v>29</v>
      </c>
      <c r="O6" s="18">
        <f t="shared" si="3"/>
        <v>0</v>
      </c>
      <c r="P6" s="18" t="s">
        <v>38</v>
      </c>
      <c r="Q6" s="19" t="s">
        <v>29</v>
      </c>
      <c r="R6" s="17">
        <f>VLOOKUP(Master19[[#This Row],[Elevated Priority]],Epriority,2,)</f>
        <v>0</v>
      </c>
      <c r="S6" s="18">
        <f>IF(Master19[[#This Row],[Status]]="Active",Master19[[#This Row],[Status_Score]],IF(C6="","",K6+G6+M6+O6+R6-5))</f>
        <v>-100</v>
      </c>
      <c r="T6" s="10"/>
    </row>
    <row r="7" spans="1:21" hidden="1" x14ac:dyDescent="0.25">
      <c r="A7" s="10">
        <v>6</v>
      </c>
      <c r="B7" s="15" t="s">
        <v>70</v>
      </c>
      <c r="C7" s="15" t="s">
        <v>10</v>
      </c>
      <c r="D7" s="15" t="s">
        <v>62</v>
      </c>
      <c r="E7" s="15"/>
      <c r="F7" s="15" t="s">
        <v>598</v>
      </c>
      <c r="G7" s="15">
        <f t="shared" si="0"/>
        <v>-100</v>
      </c>
      <c r="H7" s="16">
        <v>2000000</v>
      </c>
      <c r="I7" s="17">
        <v>2018</v>
      </c>
      <c r="J7" s="15" t="s">
        <v>29</v>
      </c>
      <c r="K7" s="17">
        <f t="shared" si="1"/>
        <v>0</v>
      </c>
      <c r="L7" s="18" t="s">
        <v>29</v>
      </c>
      <c r="M7" s="18">
        <f t="shared" si="2"/>
        <v>0</v>
      </c>
      <c r="N7" s="18" t="s">
        <v>29</v>
      </c>
      <c r="O7" s="18">
        <f t="shared" si="3"/>
        <v>0</v>
      </c>
      <c r="P7" s="18" t="s">
        <v>38</v>
      </c>
      <c r="Q7" s="19" t="s">
        <v>29</v>
      </c>
      <c r="R7" s="17">
        <f>VLOOKUP(Master19[[#This Row],[Elevated Priority]],Epriority,2,)</f>
        <v>0</v>
      </c>
      <c r="S7" s="18">
        <f>IF(Master19[[#This Row],[Status]]="Active",Master19[[#This Row],[Status_Score]],IF(C7="","",K7+G7+M7+O7+R7-5))</f>
        <v>-100</v>
      </c>
      <c r="T7" s="10"/>
    </row>
    <row r="8" spans="1:21" ht="30" hidden="1" x14ac:dyDescent="0.25">
      <c r="A8" s="10">
        <v>7</v>
      </c>
      <c r="B8" s="15" t="s">
        <v>71</v>
      </c>
      <c r="C8" s="15" t="s">
        <v>12</v>
      </c>
      <c r="D8" s="15" t="s">
        <v>62</v>
      </c>
      <c r="E8" s="15"/>
      <c r="F8" s="15" t="s">
        <v>598</v>
      </c>
      <c r="G8" s="15">
        <f t="shared" si="0"/>
        <v>-100</v>
      </c>
      <c r="H8" s="16">
        <v>2000000</v>
      </c>
      <c r="I8" s="17">
        <v>2018</v>
      </c>
      <c r="J8" s="15" t="s">
        <v>29</v>
      </c>
      <c r="K8" s="17">
        <f t="shared" si="1"/>
        <v>0</v>
      </c>
      <c r="L8" s="18" t="s">
        <v>29</v>
      </c>
      <c r="M8" s="18">
        <f t="shared" si="2"/>
        <v>0</v>
      </c>
      <c r="N8" s="18" t="s">
        <v>29</v>
      </c>
      <c r="O8" s="18">
        <f t="shared" si="3"/>
        <v>0</v>
      </c>
      <c r="P8" s="18" t="s">
        <v>38</v>
      </c>
      <c r="Q8" s="19" t="s">
        <v>29</v>
      </c>
      <c r="R8" s="17">
        <f>VLOOKUP(Master19[[#This Row],[Elevated Priority]],Epriority,2,)</f>
        <v>0</v>
      </c>
      <c r="S8" s="18">
        <f>IF(Master19[[#This Row],[Status]]="Active",Master19[[#This Row],[Status_Score]],IF(C8="","",K8+G8+M8+O8+R8-5))</f>
        <v>-100</v>
      </c>
      <c r="T8" s="10"/>
    </row>
    <row r="9" spans="1:21" hidden="1" x14ac:dyDescent="0.25">
      <c r="A9" s="10">
        <v>8</v>
      </c>
      <c r="B9" s="15" t="s">
        <v>72</v>
      </c>
      <c r="C9" s="15" t="s">
        <v>13</v>
      </c>
      <c r="D9" s="15" t="s">
        <v>62</v>
      </c>
      <c r="E9" s="15"/>
      <c r="F9" s="15" t="s">
        <v>598</v>
      </c>
      <c r="G9" s="15">
        <f t="shared" si="0"/>
        <v>-100</v>
      </c>
      <c r="H9" s="16">
        <v>20000000</v>
      </c>
      <c r="I9" s="17">
        <v>2018</v>
      </c>
      <c r="J9" s="15" t="s">
        <v>29</v>
      </c>
      <c r="K9" s="17">
        <f t="shared" si="1"/>
        <v>0</v>
      </c>
      <c r="L9" s="18" t="s">
        <v>29</v>
      </c>
      <c r="M9" s="18">
        <f t="shared" si="2"/>
        <v>0</v>
      </c>
      <c r="N9" s="18" t="s">
        <v>29</v>
      </c>
      <c r="O9" s="18">
        <f t="shared" si="3"/>
        <v>0</v>
      </c>
      <c r="P9" s="18" t="s">
        <v>38</v>
      </c>
      <c r="Q9" s="19" t="s">
        <v>29</v>
      </c>
      <c r="R9" s="17">
        <f>VLOOKUP(Master19[[#This Row],[Elevated Priority]],Epriority,2,)</f>
        <v>0</v>
      </c>
      <c r="S9" s="18">
        <f>IF(Master19[[#This Row],[Status]]="Active",Master19[[#This Row],[Status_Score]],IF(C9="","",K9+G9+M9+O9+R9-5))</f>
        <v>-100</v>
      </c>
      <c r="T9" s="10"/>
    </row>
    <row r="10" spans="1:21" hidden="1" x14ac:dyDescent="0.25">
      <c r="A10" s="10">
        <v>9</v>
      </c>
      <c r="B10" s="15" t="s">
        <v>70</v>
      </c>
      <c r="C10" s="15" t="s">
        <v>14</v>
      </c>
      <c r="D10" s="15" t="s">
        <v>62</v>
      </c>
      <c r="E10" s="15"/>
      <c r="F10" s="15" t="s">
        <v>598</v>
      </c>
      <c r="G10" s="15">
        <f t="shared" si="0"/>
        <v>-100</v>
      </c>
      <c r="H10" s="16">
        <v>2000000</v>
      </c>
      <c r="I10" s="17">
        <v>2018</v>
      </c>
      <c r="J10" s="15" t="s">
        <v>29</v>
      </c>
      <c r="K10" s="17">
        <f t="shared" si="1"/>
        <v>0</v>
      </c>
      <c r="L10" s="18" t="s">
        <v>29</v>
      </c>
      <c r="M10" s="18">
        <f t="shared" si="2"/>
        <v>0</v>
      </c>
      <c r="N10" s="18" t="s">
        <v>29</v>
      </c>
      <c r="O10" s="18">
        <f t="shared" si="3"/>
        <v>0</v>
      </c>
      <c r="P10" s="18" t="s">
        <v>38</v>
      </c>
      <c r="Q10" s="19" t="s">
        <v>29</v>
      </c>
      <c r="R10" s="17">
        <f>VLOOKUP(Master19[[#This Row],[Elevated Priority]],Epriority,2,)</f>
        <v>0</v>
      </c>
      <c r="S10" s="18">
        <f>IF(Master19[[#This Row],[Status]]="Active",Master19[[#This Row],[Status_Score]],IF(C10="","",K10+G10+M10+O10+R10-5))</f>
        <v>-100</v>
      </c>
      <c r="T10" s="10"/>
    </row>
    <row r="11" spans="1:21" hidden="1" x14ac:dyDescent="0.25">
      <c r="A11" s="10">
        <v>10</v>
      </c>
      <c r="B11" s="15" t="s">
        <v>61</v>
      </c>
      <c r="C11" s="15" t="s">
        <v>17</v>
      </c>
      <c r="D11" s="15" t="s">
        <v>62</v>
      </c>
      <c r="E11" s="15"/>
      <c r="F11" s="15" t="s">
        <v>598</v>
      </c>
      <c r="G11" s="15">
        <f t="shared" si="0"/>
        <v>-100</v>
      </c>
      <c r="H11" s="16">
        <v>2000000</v>
      </c>
      <c r="I11" s="17">
        <v>2018</v>
      </c>
      <c r="J11" s="15" t="s">
        <v>29</v>
      </c>
      <c r="K11" s="17">
        <f t="shared" si="1"/>
        <v>0</v>
      </c>
      <c r="L11" s="18" t="s">
        <v>29</v>
      </c>
      <c r="M11" s="18">
        <f t="shared" si="2"/>
        <v>0</v>
      </c>
      <c r="N11" s="18" t="s">
        <v>29</v>
      </c>
      <c r="O11" s="18">
        <f t="shared" si="3"/>
        <v>0</v>
      </c>
      <c r="P11" s="18" t="s">
        <v>38</v>
      </c>
      <c r="Q11" s="19" t="s">
        <v>29</v>
      </c>
      <c r="R11" s="17">
        <f>VLOOKUP(Master19[[#This Row],[Elevated Priority]],Epriority,2,)</f>
        <v>0</v>
      </c>
      <c r="S11" s="18">
        <f>IF(Master19[[#This Row],[Status]]="Active",Master19[[#This Row],[Status_Score]],IF(C11="","",K11+G11+M11+O11+R11-5))</f>
        <v>-100</v>
      </c>
      <c r="T11" s="10"/>
    </row>
    <row r="12" spans="1:21" hidden="1" x14ac:dyDescent="0.25">
      <c r="A12" s="10">
        <v>11</v>
      </c>
      <c r="B12" s="15" t="s">
        <v>70</v>
      </c>
      <c r="C12" s="15" t="s">
        <v>18</v>
      </c>
      <c r="D12" s="15" t="s">
        <v>62</v>
      </c>
      <c r="E12" s="15"/>
      <c r="F12" s="15" t="s">
        <v>598</v>
      </c>
      <c r="G12" s="15">
        <f t="shared" si="0"/>
        <v>-100</v>
      </c>
      <c r="H12" s="16">
        <v>1000000</v>
      </c>
      <c r="I12" s="17">
        <v>2018</v>
      </c>
      <c r="J12" s="15" t="s">
        <v>29</v>
      </c>
      <c r="K12" s="17">
        <f t="shared" si="1"/>
        <v>0</v>
      </c>
      <c r="L12" s="18" t="s">
        <v>29</v>
      </c>
      <c r="M12" s="18">
        <f t="shared" si="2"/>
        <v>0</v>
      </c>
      <c r="N12" s="18" t="s">
        <v>29</v>
      </c>
      <c r="O12" s="18">
        <f t="shared" si="3"/>
        <v>0</v>
      </c>
      <c r="P12" s="18" t="s">
        <v>38</v>
      </c>
      <c r="Q12" s="19" t="s">
        <v>29</v>
      </c>
      <c r="R12" s="17">
        <f>VLOOKUP(Master19[[#This Row],[Elevated Priority]],Epriority,2,)</f>
        <v>0</v>
      </c>
      <c r="S12" s="18">
        <f>IF(Master19[[#This Row],[Status]]="Active",Master19[[#This Row],[Status_Score]],IF(C12="","",K12+G12+M12+O12+R12-5))</f>
        <v>-100</v>
      </c>
      <c r="T12" s="10"/>
    </row>
    <row r="13" spans="1:21" ht="30" hidden="1" x14ac:dyDescent="0.25">
      <c r="A13" s="10">
        <v>12</v>
      </c>
      <c r="B13" s="15" t="s">
        <v>674</v>
      </c>
      <c r="C13" s="15" t="s">
        <v>19</v>
      </c>
      <c r="D13" s="15" t="s">
        <v>673</v>
      </c>
      <c r="E13" s="15"/>
      <c r="F13" s="15" t="s">
        <v>598</v>
      </c>
      <c r="G13" s="15">
        <f t="shared" si="0"/>
        <v>-100</v>
      </c>
      <c r="H13" s="16">
        <v>2000000</v>
      </c>
      <c r="I13" s="17">
        <v>2018</v>
      </c>
      <c r="J13" s="15" t="s">
        <v>29</v>
      </c>
      <c r="K13" s="17">
        <f t="shared" si="1"/>
        <v>0</v>
      </c>
      <c r="L13" s="18" t="s">
        <v>29</v>
      </c>
      <c r="M13" s="18">
        <f t="shared" si="2"/>
        <v>0</v>
      </c>
      <c r="N13" s="18" t="s">
        <v>29</v>
      </c>
      <c r="O13" s="18">
        <f t="shared" si="3"/>
        <v>0</v>
      </c>
      <c r="P13" s="18" t="s">
        <v>38</v>
      </c>
      <c r="Q13" s="19" t="s">
        <v>29</v>
      </c>
      <c r="R13" s="17">
        <f>VLOOKUP(Master19[[#This Row],[Elevated Priority]],Epriority,2,)</f>
        <v>0</v>
      </c>
      <c r="S13" s="18">
        <f>IF(Master19[[#This Row],[Status]]="Active",Master19[[#This Row],[Status_Score]],IF(C13="","",K13+G13+M13+O13+R13-5))</f>
        <v>-100</v>
      </c>
      <c r="T13" s="10"/>
    </row>
    <row r="14" spans="1:21" ht="60" hidden="1" x14ac:dyDescent="0.25">
      <c r="A14" s="10">
        <v>13</v>
      </c>
      <c r="B14" s="15" t="s">
        <v>94</v>
      </c>
      <c r="C14" s="15" t="s">
        <v>95</v>
      </c>
      <c r="D14" s="15" t="s">
        <v>638</v>
      </c>
      <c r="E14" s="15" t="s">
        <v>639</v>
      </c>
      <c r="F14" s="15" t="s">
        <v>598</v>
      </c>
      <c r="G14" s="15">
        <f t="shared" si="0"/>
        <v>-100</v>
      </c>
      <c r="H14" s="16">
        <v>375000</v>
      </c>
      <c r="I14" s="17">
        <v>2018</v>
      </c>
      <c r="J14" s="15" t="s">
        <v>32</v>
      </c>
      <c r="K14" s="17">
        <f>VLOOKUP(J14,Importance,2,FALSE)</f>
        <v>1</v>
      </c>
      <c r="L14" s="18">
        <v>1</v>
      </c>
      <c r="M14" s="18">
        <f t="shared" si="2"/>
        <v>3</v>
      </c>
      <c r="N14" s="18" t="s">
        <v>33</v>
      </c>
      <c r="O14" s="18">
        <f t="shared" si="3"/>
        <v>1</v>
      </c>
      <c r="P14" s="18" t="s">
        <v>30</v>
      </c>
      <c r="Q14" s="19" t="s">
        <v>29</v>
      </c>
      <c r="R14" s="17">
        <f>VLOOKUP(Master19[[#This Row],[Elevated Priority]],Epriority,2,)</f>
        <v>0</v>
      </c>
      <c r="S14" s="18">
        <f>IF(Master19[[#This Row],[Status]]="Active",Master19[[#This Row],[Status_Score]],IF(C14="","",K14+G14+M14+O14+R14-5))</f>
        <v>-100</v>
      </c>
      <c r="T14" s="14"/>
    </row>
    <row r="15" spans="1:21" ht="30" hidden="1" x14ac:dyDescent="0.25">
      <c r="A15" s="10">
        <v>14</v>
      </c>
      <c r="B15" s="15" t="s">
        <v>70</v>
      </c>
      <c r="C15" s="15" t="s">
        <v>122</v>
      </c>
      <c r="D15" s="15" t="s">
        <v>651</v>
      </c>
      <c r="E15" s="15" t="s">
        <v>123</v>
      </c>
      <c r="F15" s="15" t="s">
        <v>598</v>
      </c>
      <c r="G15" s="15">
        <f t="shared" si="0"/>
        <v>-100</v>
      </c>
      <c r="H15" s="16">
        <v>500000</v>
      </c>
      <c r="I15" s="17">
        <v>2018</v>
      </c>
      <c r="J15" s="15" t="s">
        <v>36</v>
      </c>
      <c r="K15" s="17">
        <f>VLOOKUP(J15,Importance,2,FALSE)</f>
        <v>10</v>
      </c>
      <c r="L15" s="18">
        <v>1</v>
      </c>
      <c r="M15" s="18">
        <f t="shared" si="2"/>
        <v>3</v>
      </c>
      <c r="N15" s="18" t="s">
        <v>33</v>
      </c>
      <c r="O15" s="18">
        <f t="shared" si="3"/>
        <v>1</v>
      </c>
      <c r="P15" s="18" t="s">
        <v>30</v>
      </c>
      <c r="Q15" s="19" t="s">
        <v>29</v>
      </c>
      <c r="R15" s="17">
        <f>VLOOKUP(Master19[[#This Row],[Elevated Priority]],Epriority,2,)</f>
        <v>0</v>
      </c>
      <c r="S15" s="18">
        <f>IF(Master19[[#This Row],[Status]]="Active",Master19[[#This Row],[Status_Score]],IF(C15="","",K15+G15+M15+O15+R15-5))</f>
        <v>-100</v>
      </c>
    </row>
    <row r="16" spans="1:21" ht="105" x14ac:dyDescent="0.25">
      <c r="A16" s="10">
        <v>15</v>
      </c>
      <c r="B16" s="15" t="s">
        <v>87</v>
      </c>
      <c r="C16" s="15" t="s">
        <v>84</v>
      </c>
      <c r="D16" s="15" t="s">
        <v>85</v>
      </c>
      <c r="E16" s="15" t="s">
        <v>86</v>
      </c>
      <c r="F16" s="15" t="s">
        <v>598</v>
      </c>
      <c r="G16" s="15">
        <f t="shared" si="0"/>
        <v>-100</v>
      </c>
      <c r="H16" s="16">
        <v>100000</v>
      </c>
      <c r="I16" s="17">
        <v>2018</v>
      </c>
      <c r="J16" s="15" t="s">
        <v>32</v>
      </c>
      <c r="K16" s="17">
        <f>VLOOKUP(J16,Importance,2,FALSE)</f>
        <v>1</v>
      </c>
      <c r="L16" s="18">
        <v>1</v>
      </c>
      <c r="M16" s="18">
        <f t="shared" si="2"/>
        <v>3</v>
      </c>
      <c r="N16" s="18" t="s">
        <v>33</v>
      </c>
      <c r="O16" s="18">
        <f t="shared" si="3"/>
        <v>1</v>
      </c>
      <c r="P16" s="18" t="s">
        <v>30</v>
      </c>
      <c r="Q16" s="19" t="s">
        <v>29</v>
      </c>
      <c r="R16" s="17">
        <f>VLOOKUP(Master19[[#This Row],[Elevated Priority]],Epriority,2,)</f>
        <v>0</v>
      </c>
      <c r="S16" s="18">
        <f>IF(Master19[[#This Row],[Status]]="Active",Master19[[#This Row],[Status_Score]],IF(C16="","",K16+G16+M16+O16+R16-5))</f>
        <v>-100</v>
      </c>
      <c r="U16" t="s">
        <v>681</v>
      </c>
    </row>
    <row r="17" spans="1:21" ht="195" hidden="1" x14ac:dyDescent="0.25">
      <c r="A17" s="10">
        <v>15</v>
      </c>
      <c r="B17" s="15" t="s">
        <v>73</v>
      </c>
      <c r="C17" s="15" t="s">
        <v>640</v>
      </c>
      <c r="D17" s="15" t="s">
        <v>679</v>
      </c>
      <c r="E17" s="15" t="s">
        <v>83</v>
      </c>
      <c r="F17" s="15" t="s">
        <v>598</v>
      </c>
      <c r="G17" s="15">
        <f t="shared" si="0"/>
        <v>-100</v>
      </c>
      <c r="H17" s="16">
        <v>650000</v>
      </c>
      <c r="I17" s="17">
        <v>2018</v>
      </c>
      <c r="J17" s="15" t="s">
        <v>36</v>
      </c>
      <c r="K17" s="17">
        <f>VLOOKUP(J17,Importance,2,FALSE)</f>
        <v>10</v>
      </c>
      <c r="L17" s="18">
        <v>1</v>
      </c>
      <c r="M17" s="18">
        <f t="shared" si="2"/>
        <v>3</v>
      </c>
      <c r="N17" s="18" t="s">
        <v>33</v>
      </c>
      <c r="O17" s="18">
        <f t="shared" si="3"/>
        <v>1</v>
      </c>
      <c r="P17" s="18" t="s">
        <v>30</v>
      </c>
      <c r="Q17" s="19" t="s">
        <v>29</v>
      </c>
      <c r="R17" s="17">
        <f>VLOOKUP(Master19[[#This Row],[Elevated Priority]],Epriority,2,)</f>
        <v>0</v>
      </c>
      <c r="S17" s="18">
        <f>IF(Master19[[#This Row],[Status]]="Active",Master19[[#This Row],[Status_Score]],IF(C17="","",K17+G17+M17+O17+R17-5))</f>
        <v>-100</v>
      </c>
    </row>
    <row r="18" spans="1:21" ht="45" hidden="1" x14ac:dyDescent="0.25">
      <c r="A18" s="10">
        <v>16</v>
      </c>
      <c r="B18" s="108" t="s">
        <v>646</v>
      </c>
      <c r="C18" s="108" t="s">
        <v>647</v>
      </c>
      <c r="D18" s="108" t="s">
        <v>682</v>
      </c>
      <c r="E18" s="108" t="s">
        <v>683</v>
      </c>
      <c r="F18" s="108" t="s">
        <v>598</v>
      </c>
      <c r="G18" s="111">
        <f t="shared" si="0"/>
        <v>-100</v>
      </c>
      <c r="H18" s="112">
        <v>500000</v>
      </c>
      <c r="I18" s="109">
        <v>2019</v>
      </c>
      <c r="J18" s="15" t="s">
        <v>36</v>
      </c>
      <c r="K18" s="17">
        <f>VLOOKUP(J18,Importance, 2, FALSE)</f>
        <v>10</v>
      </c>
      <c r="L18" s="18">
        <v>1</v>
      </c>
      <c r="M18" s="18">
        <f t="shared" si="2"/>
        <v>3</v>
      </c>
      <c r="N18" s="18" t="s">
        <v>37</v>
      </c>
      <c r="O18" s="18">
        <f t="shared" si="3"/>
        <v>3</v>
      </c>
      <c r="P18" s="18" t="s">
        <v>38</v>
      </c>
      <c r="Q18" s="19"/>
      <c r="R18" s="17" t="e">
        <f>VLOOKUP(Master19[[#This Row],[Elevated Priority]],Epriority,2,)</f>
        <v>#N/A</v>
      </c>
      <c r="S18" s="18">
        <f>IF(Master19[[#This Row],[Status]]="Active",Master19[[#This Row],[Status_Score]],IF(C18="","",K18+G18+M18+O18+R18-5))</f>
        <v>-100</v>
      </c>
      <c r="T18" s="115"/>
      <c r="U18" s="113"/>
    </row>
    <row r="19" spans="1:21" ht="60" hidden="1" x14ac:dyDescent="0.25">
      <c r="A19" s="10">
        <v>17</v>
      </c>
      <c r="B19" s="108" t="s">
        <v>646</v>
      </c>
      <c r="C19" s="108" t="s">
        <v>648</v>
      </c>
      <c r="D19" s="108" t="s">
        <v>675</v>
      </c>
      <c r="E19" s="108" t="s">
        <v>676</v>
      </c>
      <c r="F19" s="108" t="s">
        <v>598</v>
      </c>
      <c r="G19" s="111">
        <f t="shared" si="0"/>
        <v>-100</v>
      </c>
      <c r="H19" s="112">
        <v>250000</v>
      </c>
      <c r="I19" s="109">
        <v>2019</v>
      </c>
      <c r="J19" s="15" t="s">
        <v>44</v>
      </c>
      <c r="K19" s="17" t="e">
        <f>VLOOKUP(J19,Importance, 2, FALSE)</f>
        <v>#N/A</v>
      </c>
      <c r="L19" s="18">
        <v>1</v>
      </c>
      <c r="M19" s="18">
        <f t="shared" si="2"/>
        <v>3</v>
      </c>
      <c r="N19" s="18" t="s">
        <v>37</v>
      </c>
      <c r="O19" s="18">
        <f t="shared" si="3"/>
        <v>3</v>
      </c>
      <c r="P19" s="18" t="s">
        <v>38</v>
      </c>
      <c r="Q19" s="19"/>
      <c r="R19" s="17" t="e">
        <f>VLOOKUP(Master19[[#This Row],[Elevated Priority]],Epriority,2,)</f>
        <v>#N/A</v>
      </c>
      <c r="S19" s="18">
        <f>IF(Master19[[#This Row],[Status]]="Active",Master19[[#This Row],[Status_Score]],IF(C19="","",K19+G19+M19+O19+R19-5))</f>
        <v>-100</v>
      </c>
      <c r="T19" s="115"/>
      <c r="U19" s="113"/>
    </row>
    <row r="20" spans="1:21" ht="90" hidden="1" x14ac:dyDescent="0.25">
      <c r="A20" s="10">
        <v>18</v>
      </c>
      <c r="B20" s="15" t="s">
        <v>61</v>
      </c>
      <c r="C20" s="15" t="s">
        <v>3</v>
      </c>
      <c r="D20" s="15" t="s">
        <v>62</v>
      </c>
      <c r="E20" s="15" t="s">
        <v>63</v>
      </c>
      <c r="F20" s="15" t="s">
        <v>598</v>
      </c>
      <c r="G20" s="15">
        <f t="shared" si="0"/>
        <v>-100</v>
      </c>
      <c r="H20" s="16" t="s">
        <v>64</v>
      </c>
      <c r="I20" s="17">
        <v>2018</v>
      </c>
      <c r="J20" s="15" t="s">
        <v>40</v>
      </c>
      <c r="K20" s="17" t="e">
        <f>VLOOKUP(J20,Importance, 2, FALSE)</f>
        <v>#N/A</v>
      </c>
      <c r="L20" s="18" t="s">
        <v>29</v>
      </c>
      <c r="M20" s="18">
        <f t="shared" si="2"/>
        <v>0</v>
      </c>
      <c r="N20" s="18" t="s">
        <v>37</v>
      </c>
      <c r="O20" s="18">
        <f t="shared" si="3"/>
        <v>3</v>
      </c>
      <c r="P20" s="18" t="s">
        <v>38</v>
      </c>
      <c r="Q20" s="19" t="s">
        <v>29</v>
      </c>
      <c r="R20" s="17">
        <f>VLOOKUP(Master19[[#This Row],[Elevated Priority]],Epriority,2,)</f>
        <v>0</v>
      </c>
      <c r="S20" s="18">
        <f>IF(Master19[[#This Row],[Status]]="Active",Master19[[#This Row],[Status_Score]],IF(C20="","",K20+G20+M20+O20+R20-5))</f>
        <v>-100</v>
      </c>
      <c r="T20" s="11"/>
      <c r="U20" s="9"/>
    </row>
    <row r="21" spans="1:21" ht="30" hidden="1" x14ac:dyDescent="0.25">
      <c r="A21" s="10">
        <v>19</v>
      </c>
      <c r="B21" s="15" t="s">
        <v>72</v>
      </c>
      <c r="C21" s="15" t="s">
        <v>74</v>
      </c>
      <c r="D21" s="15" t="s">
        <v>62</v>
      </c>
      <c r="E21" s="15" t="s">
        <v>75</v>
      </c>
      <c r="F21" s="15" t="s">
        <v>598</v>
      </c>
      <c r="G21" s="15">
        <f t="shared" si="0"/>
        <v>-100</v>
      </c>
      <c r="H21" s="16">
        <v>500000</v>
      </c>
      <c r="I21" s="17">
        <v>2018</v>
      </c>
      <c r="J21" s="15" t="s">
        <v>32</v>
      </c>
      <c r="K21" s="17">
        <f>VLOOKUP(J21,Importance, 2, FALSE)</f>
        <v>1</v>
      </c>
      <c r="L21" s="18">
        <v>1</v>
      </c>
      <c r="M21" s="18">
        <f t="shared" si="2"/>
        <v>3</v>
      </c>
      <c r="N21" s="18" t="s">
        <v>37</v>
      </c>
      <c r="O21" s="18">
        <f t="shared" si="3"/>
        <v>3</v>
      </c>
      <c r="P21" s="18" t="s">
        <v>38</v>
      </c>
      <c r="Q21" s="19" t="s">
        <v>29</v>
      </c>
      <c r="R21" s="17">
        <f>VLOOKUP(Master19[[#This Row],[Elevated Priority]],Epriority,2,)</f>
        <v>0</v>
      </c>
      <c r="S21" s="18">
        <f>IF(Master19[[#This Row],[Status]]="Active",Master19[[#This Row],[Status_Score]],IF(C21="","",K21+G21+M21+O21+R21-5))</f>
        <v>-100</v>
      </c>
      <c r="T21" s="10"/>
    </row>
    <row r="22" spans="1:21" ht="75" hidden="1" x14ac:dyDescent="0.25">
      <c r="A22" s="10">
        <v>20</v>
      </c>
      <c r="B22" s="15" t="s">
        <v>91</v>
      </c>
      <c r="C22" s="15" t="s">
        <v>677</v>
      </c>
      <c r="D22" s="15" t="s">
        <v>678</v>
      </c>
      <c r="E22" s="15" t="s">
        <v>98</v>
      </c>
      <c r="F22" s="15" t="s">
        <v>598</v>
      </c>
      <c r="G22" s="15">
        <f t="shared" si="0"/>
        <v>-100</v>
      </c>
      <c r="H22" s="16">
        <v>350000</v>
      </c>
      <c r="I22" s="17">
        <v>2018</v>
      </c>
      <c r="J22" s="15" t="s">
        <v>32</v>
      </c>
      <c r="K22" s="17">
        <f t="shared" ref="K22:K53" si="4">VLOOKUP(J22,Importance,2,FALSE)</f>
        <v>1</v>
      </c>
      <c r="L22" s="18">
        <v>1</v>
      </c>
      <c r="M22" s="18">
        <f t="shared" si="2"/>
        <v>3</v>
      </c>
      <c r="N22" s="18" t="s">
        <v>37</v>
      </c>
      <c r="O22" s="18">
        <f t="shared" si="3"/>
        <v>3</v>
      </c>
      <c r="P22" s="18" t="s">
        <v>30</v>
      </c>
      <c r="Q22" s="19" t="s">
        <v>29</v>
      </c>
      <c r="R22" s="17">
        <f>VLOOKUP(Master19[[#This Row],[Elevated Priority]],Epriority,2,)</f>
        <v>0</v>
      </c>
      <c r="S22" s="18">
        <f>IF(Master19[[#This Row],[Status]]="Active",Master19[[#This Row],[Status_Score]],IF(C22="","",K22+G22+M22+O22+R22-5))</f>
        <v>-100</v>
      </c>
      <c r="T22" s="14"/>
    </row>
    <row r="23" spans="1:21" ht="300" hidden="1" x14ac:dyDescent="0.25">
      <c r="A23" s="10">
        <v>15</v>
      </c>
      <c r="B23" s="15" t="s">
        <v>152</v>
      </c>
      <c r="C23" s="15" t="s">
        <v>185</v>
      </c>
      <c r="D23" s="15" t="s">
        <v>186</v>
      </c>
      <c r="E23" s="15" t="s">
        <v>187</v>
      </c>
      <c r="F23" s="15" t="s">
        <v>598</v>
      </c>
      <c r="G23" s="15">
        <f t="shared" si="0"/>
        <v>-100</v>
      </c>
      <c r="H23" s="16">
        <v>170000</v>
      </c>
      <c r="I23" s="17">
        <v>2018</v>
      </c>
      <c r="J23" s="15" t="s">
        <v>40</v>
      </c>
      <c r="K23" s="17" t="e">
        <f t="shared" si="4"/>
        <v>#N/A</v>
      </c>
      <c r="L23" s="18">
        <v>1</v>
      </c>
      <c r="M23" s="18">
        <f t="shared" si="2"/>
        <v>3</v>
      </c>
      <c r="N23" s="18" t="s">
        <v>37</v>
      </c>
      <c r="O23" s="18">
        <f t="shared" si="3"/>
        <v>3</v>
      </c>
      <c r="P23" s="18" t="s">
        <v>30</v>
      </c>
      <c r="Q23" s="19" t="s">
        <v>29</v>
      </c>
      <c r="R23" s="17">
        <f>VLOOKUP(Master19[[#This Row],[Elevated Priority]],Epriority,2,)</f>
        <v>0</v>
      </c>
      <c r="S23" s="18">
        <f>IF(Master19[[#This Row],[Status]]="Active",Master19[[#This Row],[Status_Score]],IF(C23="","",K23+G23+M23+O23+R23-5))</f>
        <v>-100</v>
      </c>
    </row>
    <row r="24" spans="1:21" ht="150" hidden="1" x14ac:dyDescent="0.25">
      <c r="A24" s="10">
        <v>15</v>
      </c>
      <c r="B24" s="15" t="s">
        <v>152</v>
      </c>
      <c r="C24" s="15" t="s">
        <v>153</v>
      </c>
      <c r="D24" s="15" t="s">
        <v>154</v>
      </c>
      <c r="E24" s="15" t="s">
        <v>155</v>
      </c>
      <c r="F24" s="15" t="s">
        <v>598</v>
      </c>
      <c r="G24" s="15">
        <f t="shared" si="0"/>
        <v>-100</v>
      </c>
      <c r="H24" s="16">
        <v>28000</v>
      </c>
      <c r="I24" s="17">
        <v>2018</v>
      </c>
      <c r="J24" s="15" t="s">
        <v>36</v>
      </c>
      <c r="K24" s="17">
        <f t="shared" si="4"/>
        <v>10</v>
      </c>
      <c r="L24" s="18">
        <v>1</v>
      </c>
      <c r="M24" s="18">
        <f t="shared" si="2"/>
        <v>3</v>
      </c>
      <c r="N24" s="18" t="s">
        <v>37</v>
      </c>
      <c r="O24" s="18">
        <f t="shared" si="3"/>
        <v>3</v>
      </c>
      <c r="P24" s="18" t="s">
        <v>30</v>
      </c>
      <c r="Q24" s="19" t="s">
        <v>29</v>
      </c>
      <c r="R24" s="17">
        <f>VLOOKUP(Master19[[#This Row],[Elevated Priority]],Epriority,2,)</f>
        <v>0</v>
      </c>
      <c r="S24" s="18">
        <f>IF(Master19[[#This Row],[Status]]="Active",Master19[[#This Row],[Status_Score]],IF(C24="","",K24+G24+M24+O24+R24-5))</f>
        <v>-100</v>
      </c>
    </row>
    <row r="25" spans="1:21" ht="30" hidden="1" x14ac:dyDescent="0.25">
      <c r="A25" s="10">
        <v>15</v>
      </c>
      <c r="B25" s="15" t="s">
        <v>94</v>
      </c>
      <c r="C25" s="15" t="s">
        <v>237</v>
      </c>
      <c r="D25" s="15" t="s">
        <v>238</v>
      </c>
      <c r="E25" s="15" t="s">
        <v>650</v>
      </c>
      <c r="F25" s="15" t="s">
        <v>598</v>
      </c>
      <c r="G25" s="15">
        <f t="shared" si="0"/>
        <v>-100</v>
      </c>
      <c r="H25" s="16">
        <v>150000</v>
      </c>
      <c r="I25" s="17">
        <v>2018</v>
      </c>
      <c r="J25" s="15" t="s">
        <v>40</v>
      </c>
      <c r="K25" s="17" t="e">
        <f t="shared" si="4"/>
        <v>#N/A</v>
      </c>
      <c r="L25" s="18">
        <v>1</v>
      </c>
      <c r="M25" s="18">
        <f t="shared" si="2"/>
        <v>3</v>
      </c>
      <c r="N25" s="18" t="s">
        <v>41</v>
      </c>
      <c r="O25" s="18">
        <f t="shared" si="3"/>
        <v>4</v>
      </c>
      <c r="P25" s="18" t="s">
        <v>30</v>
      </c>
      <c r="Q25" s="19" t="s">
        <v>29</v>
      </c>
      <c r="R25" s="17">
        <f>VLOOKUP(Master19[[#This Row],[Elevated Priority]],Epriority,2,)</f>
        <v>0</v>
      </c>
      <c r="S25" s="18">
        <f>IF(Master19[[#This Row],[Status]]="Active",Master19[[#This Row],[Status_Score]],IF(C25="","",K25+G25+M25+O25+R25-5))</f>
        <v>-100</v>
      </c>
    </row>
    <row r="26" spans="1:21" ht="75" hidden="1" x14ac:dyDescent="0.25">
      <c r="A26" s="10">
        <v>15</v>
      </c>
      <c r="B26" s="15" t="s">
        <v>61</v>
      </c>
      <c r="C26" s="15" t="s">
        <v>498</v>
      </c>
      <c r="D26" s="15" t="s">
        <v>499</v>
      </c>
      <c r="E26" s="15" t="s">
        <v>458</v>
      </c>
      <c r="F26" s="15" t="s">
        <v>598</v>
      </c>
      <c r="G26" s="15">
        <f t="shared" si="0"/>
        <v>-100</v>
      </c>
      <c r="H26" s="16">
        <v>4000000</v>
      </c>
      <c r="I26" s="17">
        <v>2018</v>
      </c>
      <c r="J26" s="15" t="s">
        <v>46</v>
      </c>
      <c r="K26" s="17">
        <f t="shared" si="4"/>
        <v>50</v>
      </c>
      <c r="L26" s="18">
        <v>2</v>
      </c>
      <c r="M26" s="18">
        <f t="shared" si="2"/>
        <v>6</v>
      </c>
      <c r="N26" s="18" t="s">
        <v>41</v>
      </c>
      <c r="O26" s="18">
        <f t="shared" si="3"/>
        <v>4</v>
      </c>
      <c r="P26" s="18" t="s">
        <v>34</v>
      </c>
      <c r="Q26" s="19" t="s">
        <v>29</v>
      </c>
      <c r="R26" s="17">
        <f>VLOOKUP(Master19[[#This Row],[Elevated Priority]],Epriority,2,)</f>
        <v>0</v>
      </c>
      <c r="S26" s="18">
        <f>IF(Master19[[#This Row],[Status]]="Active",Master19[[#This Row],[Status_Score]],IF(C26="","",K26+G26+M26+O26+R26-5))</f>
        <v>-100</v>
      </c>
    </row>
    <row r="27" spans="1:21" ht="75" hidden="1" x14ac:dyDescent="0.25">
      <c r="A27" s="10">
        <v>15</v>
      </c>
      <c r="B27" s="15" t="s">
        <v>61</v>
      </c>
      <c r="C27" s="15" t="s">
        <v>478</v>
      </c>
      <c r="D27" s="15" t="s">
        <v>479</v>
      </c>
      <c r="E27" s="15" t="s">
        <v>480</v>
      </c>
      <c r="F27" s="15" t="s">
        <v>598</v>
      </c>
      <c r="G27" s="15">
        <f t="shared" si="0"/>
        <v>-100</v>
      </c>
      <c r="H27" s="16">
        <v>300000</v>
      </c>
      <c r="I27" s="17">
        <v>2018</v>
      </c>
      <c r="J27" s="15" t="s">
        <v>44</v>
      </c>
      <c r="K27" s="17" t="e">
        <f t="shared" si="4"/>
        <v>#N/A</v>
      </c>
      <c r="L27" s="18">
        <v>4</v>
      </c>
      <c r="M27" s="18">
        <f t="shared" si="2"/>
        <v>12</v>
      </c>
      <c r="N27" s="18" t="s">
        <v>43</v>
      </c>
      <c r="O27" s="18">
        <f t="shared" si="3"/>
        <v>16</v>
      </c>
      <c r="P27" s="18" t="s">
        <v>34</v>
      </c>
      <c r="Q27" s="19" t="s">
        <v>29</v>
      </c>
      <c r="R27" s="17">
        <f>VLOOKUP(Master19[[#This Row],[Elevated Priority]],Epriority,2,)</f>
        <v>0</v>
      </c>
      <c r="S27" s="18">
        <f>IF(Master19[[#This Row],[Status]]="Active",Master19[[#This Row],[Status_Score]],IF(C27="","",K27+G27+M27+O27+R27-5))</f>
        <v>-100</v>
      </c>
    </row>
    <row r="28" spans="1:21" ht="90" hidden="1" x14ac:dyDescent="0.25">
      <c r="A28" s="10">
        <v>15</v>
      </c>
      <c r="B28" s="15" t="s">
        <v>214</v>
      </c>
      <c r="C28" s="15" t="s">
        <v>559</v>
      </c>
      <c r="D28" s="15" t="s">
        <v>560</v>
      </c>
      <c r="E28" s="15" t="s">
        <v>561</v>
      </c>
      <c r="F28" s="15" t="s">
        <v>598</v>
      </c>
      <c r="G28" s="15">
        <f t="shared" si="0"/>
        <v>-100</v>
      </c>
      <c r="H28" s="16">
        <v>28000000</v>
      </c>
      <c r="I28" s="17">
        <v>2018</v>
      </c>
      <c r="J28" s="15" t="s">
        <v>46</v>
      </c>
      <c r="K28" s="17">
        <f t="shared" si="4"/>
        <v>50</v>
      </c>
      <c r="L28" s="18">
        <v>3</v>
      </c>
      <c r="M28" s="18">
        <f t="shared" si="2"/>
        <v>9</v>
      </c>
      <c r="N28" s="18" t="s">
        <v>45</v>
      </c>
      <c r="O28" s="18">
        <f t="shared" si="3"/>
        <v>32</v>
      </c>
      <c r="P28" s="18" t="s">
        <v>34</v>
      </c>
      <c r="Q28" s="19" t="s">
        <v>29</v>
      </c>
      <c r="R28" s="17">
        <f>VLOOKUP(Master19[[#This Row],[Elevated Priority]],Epriority,2,)</f>
        <v>0</v>
      </c>
      <c r="S28" s="18">
        <f>IF(Master19[[#This Row],[Status]]="Active",Master19[[#This Row],[Status_Score]],IF(C28="","",K28+G28+M28+O28+R28-5))</f>
        <v>-100</v>
      </c>
    </row>
    <row r="29" spans="1:21" ht="90" hidden="1" x14ac:dyDescent="0.25">
      <c r="A29" s="10">
        <v>15</v>
      </c>
      <c r="B29" s="15" t="s">
        <v>91</v>
      </c>
      <c r="C29" s="15" t="s">
        <v>194</v>
      </c>
      <c r="D29" s="15" t="s">
        <v>195</v>
      </c>
      <c r="E29" s="108" t="s">
        <v>649</v>
      </c>
      <c r="F29" s="15" t="s">
        <v>598</v>
      </c>
      <c r="G29" s="15">
        <f t="shared" si="0"/>
        <v>-100</v>
      </c>
      <c r="H29" s="16">
        <v>10000</v>
      </c>
      <c r="I29" s="17">
        <v>2018</v>
      </c>
      <c r="J29" s="15" t="s">
        <v>29</v>
      </c>
      <c r="K29" s="17">
        <f t="shared" si="4"/>
        <v>0</v>
      </c>
      <c r="L29" s="18">
        <v>1</v>
      </c>
      <c r="M29" s="18">
        <f t="shared" si="2"/>
        <v>3</v>
      </c>
      <c r="N29" s="18" t="s">
        <v>37</v>
      </c>
      <c r="O29" s="18"/>
      <c r="P29" s="18" t="s">
        <v>30</v>
      </c>
      <c r="Q29" s="19" t="s">
        <v>39</v>
      </c>
      <c r="R29" s="17">
        <f>VLOOKUP(Master19[[#This Row],[Elevated Priority]],Epriority,2,)</f>
        <v>-30</v>
      </c>
      <c r="S29" s="18">
        <f>IF(Master19[[#This Row],[Status]]="Active",Master19[[#This Row],[Status_Score]],IF(C29="","",K29+G29+M29+O29+R29-5))</f>
        <v>-100</v>
      </c>
    </row>
    <row r="30" spans="1:21" ht="45" hidden="1" x14ac:dyDescent="0.25">
      <c r="A30" s="10">
        <v>29</v>
      </c>
      <c r="B30" s="11" t="s">
        <v>684</v>
      </c>
      <c r="C30" s="11" t="s">
        <v>80</v>
      </c>
      <c r="D30" s="11" t="s">
        <v>81</v>
      </c>
      <c r="E30" s="11" t="s">
        <v>82</v>
      </c>
      <c r="F30" s="11" t="s">
        <v>29</v>
      </c>
      <c r="G30" s="11">
        <f t="shared" si="0"/>
        <v>0</v>
      </c>
      <c r="H30" s="12">
        <v>120000</v>
      </c>
      <c r="I30" s="13">
        <v>2018</v>
      </c>
      <c r="J30" s="11" t="s">
        <v>32</v>
      </c>
      <c r="K30" s="13">
        <f t="shared" si="4"/>
        <v>1</v>
      </c>
      <c r="L30" s="20">
        <v>1</v>
      </c>
      <c r="M30" s="8">
        <f t="shared" si="2"/>
        <v>3</v>
      </c>
      <c r="N30" s="20" t="s">
        <v>33</v>
      </c>
      <c r="O30" s="20">
        <f t="shared" ref="O30:O61" si="5">VLOOKUP(N30,Urgency,2,FALSE)</f>
        <v>1</v>
      </c>
      <c r="P30" s="20" t="s">
        <v>30</v>
      </c>
      <c r="Q30" s="21" t="s">
        <v>39</v>
      </c>
      <c r="R30" s="40">
        <f>VLOOKUP(Master19[[#This Row],[Elevated Priority]],Epriority,2,)</f>
        <v>-30</v>
      </c>
      <c r="S30" s="20">
        <f>IF(Master19[[#This Row],[Status]]="Active",Master19[[#This Row],[Status_Score]],IF(C30="","",K30+G30+M30+O30+R30-5))</f>
        <v>-30</v>
      </c>
    </row>
    <row r="31" spans="1:21" ht="30" hidden="1" x14ac:dyDescent="0.25">
      <c r="A31" s="10">
        <v>30</v>
      </c>
      <c r="B31" s="11" t="s">
        <v>70</v>
      </c>
      <c r="C31" s="11" t="s">
        <v>96</v>
      </c>
      <c r="D31" s="11" t="s">
        <v>97</v>
      </c>
      <c r="E31" s="11"/>
      <c r="F31" s="11" t="s">
        <v>29</v>
      </c>
      <c r="G31" s="11">
        <f t="shared" si="0"/>
        <v>0</v>
      </c>
      <c r="H31" s="12">
        <v>5000</v>
      </c>
      <c r="I31" s="13">
        <v>2018</v>
      </c>
      <c r="J31" s="11" t="s">
        <v>32</v>
      </c>
      <c r="K31" s="13">
        <f t="shared" si="4"/>
        <v>1</v>
      </c>
      <c r="L31" s="20">
        <v>1</v>
      </c>
      <c r="M31" s="8">
        <f t="shared" si="2"/>
        <v>3</v>
      </c>
      <c r="N31" s="20" t="s">
        <v>37</v>
      </c>
      <c r="O31" s="20">
        <f t="shared" si="5"/>
        <v>3</v>
      </c>
      <c r="P31" s="20" t="s">
        <v>30</v>
      </c>
      <c r="Q31" s="21" t="s">
        <v>39</v>
      </c>
      <c r="R31" s="40">
        <f>VLOOKUP(Master19[[#This Row],[Elevated Priority]],Epriority,2,)</f>
        <v>-30</v>
      </c>
      <c r="S31" s="20">
        <f>IF(Master19[[#This Row],[Status]]="Active",Master19[[#This Row],[Status_Score]],IF(C31="","",K31+G31+M31+O31+R31-5))</f>
        <v>-28</v>
      </c>
    </row>
    <row r="32" spans="1:21" ht="45" hidden="1" x14ac:dyDescent="0.25">
      <c r="A32" s="10">
        <v>31</v>
      </c>
      <c r="B32" s="11" t="s">
        <v>72</v>
      </c>
      <c r="C32" s="11" t="s">
        <v>110</v>
      </c>
      <c r="D32" s="11" t="s">
        <v>111</v>
      </c>
      <c r="E32" s="11" t="s">
        <v>112</v>
      </c>
      <c r="F32" s="11" t="s">
        <v>29</v>
      </c>
      <c r="G32" s="11">
        <f t="shared" si="0"/>
        <v>0</v>
      </c>
      <c r="H32" s="12">
        <v>90000</v>
      </c>
      <c r="I32" s="13">
        <v>2018</v>
      </c>
      <c r="J32" s="11" t="s">
        <v>32</v>
      </c>
      <c r="K32" s="13">
        <f t="shared" si="4"/>
        <v>1</v>
      </c>
      <c r="L32" s="20">
        <v>2</v>
      </c>
      <c r="M32" s="8">
        <f t="shared" si="2"/>
        <v>6</v>
      </c>
      <c r="N32" s="20" t="s">
        <v>41</v>
      </c>
      <c r="O32" s="20">
        <f t="shared" si="5"/>
        <v>4</v>
      </c>
      <c r="P32" s="20" t="s">
        <v>34</v>
      </c>
      <c r="Q32" s="21" t="s">
        <v>39</v>
      </c>
      <c r="R32" s="40">
        <f>VLOOKUP(Master19[[#This Row],[Elevated Priority]],Epriority,2,)</f>
        <v>-30</v>
      </c>
      <c r="S32" s="20">
        <f>IF(Master19[[#This Row],[Status]]="Active",Master19[[#This Row],[Status_Score]],IF(C32="","",K32+G32+M32+O32+R32-5))</f>
        <v>-24</v>
      </c>
      <c r="U32" t="s">
        <v>652</v>
      </c>
    </row>
    <row r="33" spans="1:21" ht="30" x14ac:dyDescent="0.25">
      <c r="A33" s="10">
        <v>32</v>
      </c>
      <c r="B33" s="11" t="s">
        <v>87</v>
      </c>
      <c r="C33" s="11" t="s">
        <v>88</v>
      </c>
      <c r="D33" s="11" t="s">
        <v>89</v>
      </c>
      <c r="E33" s="11" t="s">
        <v>90</v>
      </c>
      <c r="F33" s="11" t="s">
        <v>29</v>
      </c>
      <c r="G33" s="11">
        <f t="shared" si="0"/>
        <v>0</v>
      </c>
      <c r="H33" s="12"/>
      <c r="I33" s="13">
        <v>2018</v>
      </c>
      <c r="J33" s="11" t="s">
        <v>32</v>
      </c>
      <c r="K33" s="13">
        <f t="shared" si="4"/>
        <v>1</v>
      </c>
      <c r="L33" s="20">
        <v>1</v>
      </c>
      <c r="M33" s="8">
        <f t="shared" si="2"/>
        <v>3</v>
      </c>
      <c r="N33" s="20" t="s">
        <v>33</v>
      </c>
      <c r="O33" s="20">
        <f t="shared" si="5"/>
        <v>1</v>
      </c>
      <c r="P33" s="20" t="s">
        <v>34</v>
      </c>
      <c r="Q33" s="21" t="s">
        <v>29</v>
      </c>
      <c r="R33" s="40">
        <f>VLOOKUP(Master19[[#This Row],[Elevated Priority]],Epriority,2,)</f>
        <v>0</v>
      </c>
      <c r="S33" s="20">
        <f>IF(Master19[[#This Row],[Status]]="Active",Master19[[#This Row],[Status_Score]],IF(C33="","",K33+G33+M33+O33+R33-5))</f>
        <v>0</v>
      </c>
    </row>
    <row r="34" spans="1:21" ht="45" hidden="1" x14ac:dyDescent="0.25">
      <c r="A34" s="10">
        <v>33</v>
      </c>
      <c r="B34" s="11" t="s">
        <v>70</v>
      </c>
      <c r="C34" s="11" t="s">
        <v>76</v>
      </c>
      <c r="D34" s="11" t="s">
        <v>77</v>
      </c>
      <c r="E34" s="11" t="s">
        <v>78</v>
      </c>
      <c r="F34" s="11" t="s">
        <v>29</v>
      </c>
      <c r="G34" s="11">
        <f t="shared" si="0"/>
        <v>0</v>
      </c>
      <c r="H34" s="12">
        <v>4000</v>
      </c>
      <c r="I34" s="13">
        <v>2018</v>
      </c>
      <c r="J34" s="11" t="s">
        <v>32</v>
      </c>
      <c r="K34" s="13">
        <f t="shared" si="4"/>
        <v>1</v>
      </c>
      <c r="L34" s="20">
        <v>1</v>
      </c>
      <c r="M34" s="8">
        <f t="shared" si="2"/>
        <v>3</v>
      </c>
      <c r="N34" s="20" t="s">
        <v>37</v>
      </c>
      <c r="O34" s="20">
        <f t="shared" si="5"/>
        <v>3</v>
      </c>
      <c r="P34" s="20" t="s">
        <v>30</v>
      </c>
      <c r="Q34" s="21" t="s">
        <v>29</v>
      </c>
      <c r="R34" s="40">
        <f>VLOOKUP(Master19[[#This Row],[Elevated Priority]],Epriority,2,)</f>
        <v>0</v>
      </c>
      <c r="S34" s="20">
        <f>IF(Master19[[#This Row],[Status]]="Active",Master19[[#This Row],[Status_Score]],IF(C34="","",K34+G34+M34+O34+R34-5))</f>
        <v>2</v>
      </c>
      <c r="U34" t="s">
        <v>653</v>
      </c>
    </row>
    <row r="35" spans="1:21" ht="30" hidden="1" x14ac:dyDescent="0.25">
      <c r="A35" s="10">
        <v>34</v>
      </c>
      <c r="B35" s="11" t="s">
        <v>94</v>
      </c>
      <c r="C35" s="11" t="s">
        <v>99</v>
      </c>
      <c r="D35" s="11" t="s">
        <v>100</v>
      </c>
      <c r="E35" s="11" t="s">
        <v>101</v>
      </c>
      <c r="F35" s="11" t="s">
        <v>29</v>
      </c>
      <c r="G35" s="11">
        <f t="shared" si="0"/>
        <v>0</v>
      </c>
      <c r="H35" s="12">
        <v>1500000</v>
      </c>
      <c r="I35" s="13">
        <v>2018</v>
      </c>
      <c r="J35" s="11" t="s">
        <v>32</v>
      </c>
      <c r="K35" s="13">
        <f t="shared" si="4"/>
        <v>1</v>
      </c>
      <c r="L35" s="20">
        <v>1</v>
      </c>
      <c r="M35" s="8">
        <f t="shared" si="2"/>
        <v>3</v>
      </c>
      <c r="N35" s="20" t="s">
        <v>37</v>
      </c>
      <c r="O35" s="20">
        <f t="shared" si="5"/>
        <v>3</v>
      </c>
      <c r="P35" s="20" t="s">
        <v>30</v>
      </c>
      <c r="Q35" s="21" t="s">
        <v>29</v>
      </c>
      <c r="R35" s="40">
        <f>VLOOKUP(Master19[[#This Row],[Elevated Priority]],Epriority,2,)</f>
        <v>0</v>
      </c>
      <c r="S35" s="20">
        <f>IF(Master19[[#This Row],[Status]]="Active",Master19[[#This Row],[Status_Score]],IF(C35="","",K35+G35+M35+O35+R35-5))</f>
        <v>2</v>
      </c>
    </row>
    <row r="36" spans="1:21" ht="30" hidden="1" x14ac:dyDescent="0.25">
      <c r="A36" s="10">
        <v>35</v>
      </c>
      <c r="B36" s="11" t="s">
        <v>91</v>
      </c>
      <c r="C36" s="11" t="s">
        <v>92</v>
      </c>
      <c r="D36" s="11" t="s">
        <v>93</v>
      </c>
      <c r="E36" s="11" t="s">
        <v>641</v>
      </c>
      <c r="F36" s="11" t="s">
        <v>29</v>
      </c>
      <c r="G36" s="11">
        <f t="shared" si="0"/>
        <v>0</v>
      </c>
      <c r="H36" s="12">
        <v>250000</v>
      </c>
      <c r="I36" s="13">
        <v>2018</v>
      </c>
      <c r="J36" s="11" t="s">
        <v>32</v>
      </c>
      <c r="K36" s="13">
        <f t="shared" si="4"/>
        <v>1</v>
      </c>
      <c r="L36" s="20">
        <v>2</v>
      </c>
      <c r="M36" s="8">
        <f t="shared" si="2"/>
        <v>6</v>
      </c>
      <c r="N36" s="20" t="s">
        <v>33</v>
      </c>
      <c r="O36" s="20">
        <f t="shared" si="5"/>
        <v>1</v>
      </c>
      <c r="P36" s="20" t="s">
        <v>30</v>
      </c>
      <c r="Q36" s="21" t="s">
        <v>29</v>
      </c>
      <c r="R36" s="40">
        <f>VLOOKUP(Master19[[#This Row],[Elevated Priority]],Epriority,2,)</f>
        <v>0</v>
      </c>
      <c r="S36" s="20">
        <f>IF(Master19[[#This Row],[Status]]="Active",Master19[[#This Row],[Status_Score]],IF(C36="","",K36+G36+M36+O36+R36-5))</f>
        <v>3</v>
      </c>
    </row>
    <row r="37" spans="1:21" ht="60" x14ac:dyDescent="0.25">
      <c r="A37" s="10">
        <v>36</v>
      </c>
      <c r="B37" s="11" t="s">
        <v>87</v>
      </c>
      <c r="C37" s="11" t="s">
        <v>102</v>
      </c>
      <c r="D37" s="11" t="s">
        <v>103</v>
      </c>
      <c r="E37" s="11" t="s">
        <v>104</v>
      </c>
      <c r="F37" s="11" t="s">
        <v>29</v>
      </c>
      <c r="G37" s="11">
        <f t="shared" si="0"/>
        <v>0</v>
      </c>
      <c r="H37" s="12"/>
      <c r="I37" s="13">
        <v>2018</v>
      </c>
      <c r="J37" s="11" t="s">
        <v>32</v>
      </c>
      <c r="K37" s="13">
        <f t="shared" si="4"/>
        <v>1</v>
      </c>
      <c r="L37" s="20">
        <v>2</v>
      </c>
      <c r="M37" s="8">
        <f t="shared" si="2"/>
        <v>6</v>
      </c>
      <c r="N37" s="20" t="s">
        <v>37</v>
      </c>
      <c r="O37" s="20">
        <f t="shared" si="5"/>
        <v>3</v>
      </c>
      <c r="P37" s="20" t="s">
        <v>30</v>
      </c>
      <c r="Q37" s="21" t="s">
        <v>29</v>
      </c>
      <c r="R37" s="40">
        <f>VLOOKUP(Master19[[#This Row],[Elevated Priority]],Epriority,2,)</f>
        <v>0</v>
      </c>
      <c r="S37" s="20">
        <f>IF(Master19[[#This Row],[Status]]="Active",Master19[[#This Row],[Status_Score]],IF(C37="","",K37+G37+M37+O37+R37-5))</f>
        <v>5</v>
      </c>
    </row>
    <row r="38" spans="1:21" ht="60" x14ac:dyDescent="0.25">
      <c r="A38" s="10">
        <v>37</v>
      </c>
      <c r="B38" s="11" t="s">
        <v>87</v>
      </c>
      <c r="C38" s="11" t="s">
        <v>105</v>
      </c>
      <c r="D38" s="11" t="s">
        <v>106</v>
      </c>
      <c r="E38" s="11"/>
      <c r="F38" s="11" t="s">
        <v>29</v>
      </c>
      <c r="G38" s="11">
        <f t="shared" si="0"/>
        <v>0</v>
      </c>
      <c r="H38" s="12">
        <v>20000</v>
      </c>
      <c r="I38" s="13">
        <v>2018</v>
      </c>
      <c r="J38" s="11" t="s">
        <v>32</v>
      </c>
      <c r="K38" s="13">
        <f t="shared" si="4"/>
        <v>1</v>
      </c>
      <c r="L38" s="20">
        <v>2</v>
      </c>
      <c r="M38" s="8">
        <f t="shared" si="2"/>
        <v>6</v>
      </c>
      <c r="N38" s="20" t="s">
        <v>37</v>
      </c>
      <c r="O38" s="20">
        <f t="shared" si="5"/>
        <v>3</v>
      </c>
      <c r="P38" s="20" t="s">
        <v>30</v>
      </c>
      <c r="Q38" s="21" t="s">
        <v>29</v>
      </c>
      <c r="R38" s="40">
        <f>VLOOKUP(Master19[[#This Row],[Elevated Priority]],Epriority,2,)</f>
        <v>0</v>
      </c>
      <c r="S38" s="20">
        <f>IF(Master19[[#This Row],[Status]]="Active",Master19[[#This Row],[Status_Score]],IF(C38="","",K38+G38+M38+O38+R38-5))</f>
        <v>5</v>
      </c>
    </row>
    <row r="39" spans="1:21" ht="45" hidden="1" x14ac:dyDescent="0.25">
      <c r="A39" s="10">
        <v>38</v>
      </c>
      <c r="B39" s="11" t="s">
        <v>61</v>
      </c>
      <c r="C39" s="11" t="s">
        <v>119</v>
      </c>
      <c r="D39" s="11" t="s">
        <v>120</v>
      </c>
      <c r="E39" s="11" t="s">
        <v>121</v>
      </c>
      <c r="F39" s="11" t="s">
        <v>29</v>
      </c>
      <c r="G39" s="11">
        <f t="shared" si="0"/>
        <v>0</v>
      </c>
      <c r="H39" s="12">
        <v>125000</v>
      </c>
      <c r="I39" s="13">
        <v>2018</v>
      </c>
      <c r="J39" s="11" t="s">
        <v>36</v>
      </c>
      <c r="K39" s="13">
        <f t="shared" si="4"/>
        <v>10</v>
      </c>
      <c r="L39" s="20">
        <v>1</v>
      </c>
      <c r="M39" s="8">
        <f t="shared" si="2"/>
        <v>3</v>
      </c>
      <c r="N39" s="20" t="s">
        <v>33</v>
      </c>
      <c r="O39" s="20">
        <f t="shared" si="5"/>
        <v>1</v>
      </c>
      <c r="P39" s="20" t="s">
        <v>30</v>
      </c>
      <c r="Q39" s="21" t="s">
        <v>29</v>
      </c>
      <c r="R39" s="40">
        <f>VLOOKUP(Master19[[#This Row],[Elevated Priority]],Epriority,2,)</f>
        <v>0</v>
      </c>
      <c r="S39" s="20">
        <f>IF(Master19[[#This Row],[Status]]="Active",Master19[[#This Row],[Status_Score]],IF(C39="","",K39+G39+M39+O39+R39-5))</f>
        <v>9</v>
      </c>
    </row>
    <row r="40" spans="1:21" ht="45" hidden="1" x14ac:dyDescent="0.25">
      <c r="A40" s="10">
        <v>39</v>
      </c>
      <c r="B40" s="11" t="s">
        <v>70</v>
      </c>
      <c r="C40" s="11" t="s">
        <v>122</v>
      </c>
      <c r="D40" s="11" t="s">
        <v>132</v>
      </c>
      <c r="E40" s="11" t="s">
        <v>133</v>
      </c>
      <c r="F40" s="11" t="s">
        <v>29</v>
      </c>
      <c r="G40" s="11">
        <f t="shared" si="0"/>
        <v>0</v>
      </c>
      <c r="H40" s="12">
        <v>250000</v>
      </c>
      <c r="I40" s="13">
        <v>2018</v>
      </c>
      <c r="J40" s="11" t="s">
        <v>36</v>
      </c>
      <c r="K40" s="13">
        <f t="shared" si="4"/>
        <v>10</v>
      </c>
      <c r="L40" s="20">
        <v>1</v>
      </c>
      <c r="M40" s="8">
        <f t="shared" si="2"/>
        <v>3</v>
      </c>
      <c r="N40" s="20" t="s">
        <v>33</v>
      </c>
      <c r="O40" s="20">
        <f t="shared" si="5"/>
        <v>1</v>
      </c>
      <c r="P40" s="20" t="s">
        <v>30</v>
      </c>
      <c r="Q40" s="21" t="s">
        <v>29</v>
      </c>
      <c r="R40" s="40">
        <f>VLOOKUP(Master19[[#This Row],[Elevated Priority]],Epriority,2,)</f>
        <v>0</v>
      </c>
      <c r="S40" s="20">
        <f>IF(Master19[[#This Row],[Status]]="Active",Master19[[#This Row],[Status_Score]],IF(C40="","",K40+G40+M40+O40+R40-5))</f>
        <v>9</v>
      </c>
    </row>
    <row r="41" spans="1:21" ht="30" hidden="1" x14ac:dyDescent="0.25">
      <c r="A41" s="10">
        <v>40</v>
      </c>
      <c r="B41" s="11" t="s">
        <v>61</v>
      </c>
      <c r="C41" s="11" t="s">
        <v>642</v>
      </c>
      <c r="D41" s="11" t="s">
        <v>643</v>
      </c>
      <c r="E41" s="11" t="s">
        <v>644</v>
      </c>
      <c r="F41" s="11" t="s">
        <v>29</v>
      </c>
      <c r="G41" s="27">
        <f t="shared" si="0"/>
        <v>0</v>
      </c>
      <c r="H41" s="12">
        <v>600000</v>
      </c>
      <c r="I41" s="13">
        <v>2018</v>
      </c>
      <c r="J41" s="11" t="s">
        <v>36</v>
      </c>
      <c r="K41" s="13">
        <f t="shared" si="4"/>
        <v>10</v>
      </c>
      <c r="L41" s="13">
        <v>1</v>
      </c>
      <c r="M41" s="8">
        <f t="shared" si="2"/>
        <v>3</v>
      </c>
      <c r="N41" s="13" t="s">
        <v>33</v>
      </c>
      <c r="O41" s="20">
        <f t="shared" si="5"/>
        <v>1</v>
      </c>
      <c r="P41" s="13" t="s">
        <v>30</v>
      </c>
      <c r="Q41" s="13" t="s">
        <v>29</v>
      </c>
      <c r="R41" s="40">
        <f>VLOOKUP(Master19[[#This Row],[Elevated Priority]],Epriority,2,)</f>
        <v>0</v>
      </c>
      <c r="S41" s="13">
        <f>IF(Master19[[#This Row],[Status]]="Active",Master19[[#This Row],[Status_Score]],IF(C41="","",K41+G41+M41+O41+R41-5))</f>
        <v>9</v>
      </c>
    </row>
    <row r="42" spans="1:21" ht="30" x14ac:dyDescent="0.25">
      <c r="A42" s="10">
        <v>41</v>
      </c>
      <c r="B42" s="11" t="s">
        <v>87</v>
      </c>
      <c r="C42" s="11" t="s">
        <v>124</v>
      </c>
      <c r="D42" s="11" t="s">
        <v>125</v>
      </c>
      <c r="E42" s="11"/>
      <c r="F42" s="11" t="s">
        <v>29</v>
      </c>
      <c r="G42" s="11">
        <f t="shared" si="0"/>
        <v>0</v>
      </c>
      <c r="H42" s="12">
        <v>4000</v>
      </c>
      <c r="I42" s="13">
        <v>2018</v>
      </c>
      <c r="J42" s="11" t="s">
        <v>36</v>
      </c>
      <c r="K42" s="13">
        <f t="shared" si="4"/>
        <v>10</v>
      </c>
      <c r="L42" s="20">
        <v>1</v>
      </c>
      <c r="M42" s="8">
        <f t="shared" si="2"/>
        <v>3</v>
      </c>
      <c r="N42" s="20" t="s">
        <v>33</v>
      </c>
      <c r="O42" s="20">
        <f t="shared" si="5"/>
        <v>1</v>
      </c>
      <c r="P42" s="20" t="s">
        <v>30</v>
      </c>
      <c r="Q42" s="21" t="s">
        <v>29</v>
      </c>
      <c r="R42" s="40">
        <f>VLOOKUP(Master19[[#This Row],[Elevated Priority]],Epriority,2,)</f>
        <v>0</v>
      </c>
      <c r="S42" s="20">
        <f>IF(Master19[[#This Row],[Status]]="Active",Master19[[#This Row],[Status_Score]],IF(C42="","",K42+G42+M42+O42+R42-5))</f>
        <v>9</v>
      </c>
    </row>
    <row r="43" spans="1:21" ht="30" hidden="1" x14ac:dyDescent="0.25">
      <c r="A43" s="10">
        <v>42</v>
      </c>
      <c r="B43" s="11" t="s">
        <v>94</v>
      </c>
      <c r="C43" s="11" t="s">
        <v>134</v>
      </c>
      <c r="D43" s="11" t="s">
        <v>135</v>
      </c>
      <c r="E43" s="11" t="s">
        <v>101</v>
      </c>
      <c r="F43" s="11" t="s">
        <v>29</v>
      </c>
      <c r="G43" s="11">
        <f t="shared" si="0"/>
        <v>0</v>
      </c>
      <c r="H43" s="12">
        <v>1500000</v>
      </c>
      <c r="I43" s="13">
        <v>2018</v>
      </c>
      <c r="J43" s="11" t="s">
        <v>36</v>
      </c>
      <c r="K43" s="13">
        <f t="shared" si="4"/>
        <v>10</v>
      </c>
      <c r="L43" s="20">
        <v>1</v>
      </c>
      <c r="M43" s="8">
        <f t="shared" si="2"/>
        <v>3</v>
      </c>
      <c r="N43" s="20" t="s">
        <v>33</v>
      </c>
      <c r="O43" s="20">
        <f t="shared" si="5"/>
        <v>1</v>
      </c>
      <c r="P43" s="20" t="s">
        <v>30</v>
      </c>
      <c r="Q43" s="21" t="s">
        <v>29</v>
      </c>
      <c r="R43" s="40">
        <f>VLOOKUP(Master19[[#This Row],[Elevated Priority]],Epriority,2,)</f>
        <v>0</v>
      </c>
      <c r="S43" s="20">
        <f>IF(Master19[[#This Row],[Status]]="Active",Master19[[#This Row],[Status_Score]],IF(C43="","",K43+G43+M43+O43+R43-5))</f>
        <v>9</v>
      </c>
    </row>
    <row r="44" spans="1:21" ht="30" hidden="1" x14ac:dyDescent="0.25">
      <c r="A44" s="10">
        <v>43</v>
      </c>
      <c r="B44" s="11" t="s">
        <v>94</v>
      </c>
      <c r="C44" s="11" t="s">
        <v>136</v>
      </c>
      <c r="D44" s="11" t="s">
        <v>137</v>
      </c>
      <c r="E44" s="11" t="s">
        <v>138</v>
      </c>
      <c r="F44" s="11" t="s">
        <v>29</v>
      </c>
      <c r="G44" s="11">
        <f t="shared" si="0"/>
        <v>0</v>
      </c>
      <c r="H44" s="12">
        <v>1500000</v>
      </c>
      <c r="I44" s="13">
        <v>2018</v>
      </c>
      <c r="J44" s="11" t="s">
        <v>36</v>
      </c>
      <c r="K44" s="13">
        <f t="shared" si="4"/>
        <v>10</v>
      </c>
      <c r="L44" s="20">
        <v>1</v>
      </c>
      <c r="M44" s="8">
        <f t="shared" si="2"/>
        <v>3</v>
      </c>
      <c r="N44" s="20" t="s">
        <v>33</v>
      </c>
      <c r="O44" s="20">
        <f t="shared" si="5"/>
        <v>1</v>
      </c>
      <c r="P44" s="20" t="s">
        <v>30</v>
      </c>
      <c r="Q44" s="21" t="s">
        <v>29</v>
      </c>
      <c r="R44" s="40">
        <f>VLOOKUP(Master19[[#This Row],[Elevated Priority]],Epriority,2,)</f>
        <v>0</v>
      </c>
      <c r="S44" s="20">
        <f>IF(Master19[[#This Row],[Status]]="Active",Master19[[#This Row],[Status_Score]],IF(C44="","",K44+G44+M44+O44+R44-5))</f>
        <v>9</v>
      </c>
    </row>
    <row r="45" spans="1:21" ht="30" hidden="1" x14ac:dyDescent="0.25">
      <c r="A45" s="10">
        <v>44</v>
      </c>
      <c r="B45" s="11" t="s">
        <v>94</v>
      </c>
      <c r="C45" s="11" t="s">
        <v>139</v>
      </c>
      <c r="D45" s="11" t="s">
        <v>137</v>
      </c>
      <c r="E45" s="11" t="s">
        <v>138</v>
      </c>
      <c r="F45" s="11" t="s">
        <v>29</v>
      </c>
      <c r="G45" s="11">
        <f t="shared" si="0"/>
        <v>0</v>
      </c>
      <c r="H45" s="12">
        <v>35000</v>
      </c>
      <c r="I45" s="13">
        <v>2018</v>
      </c>
      <c r="J45" s="11" t="s">
        <v>140</v>
      </c>
      <c r="K45" s="13">
        <f t="shared" si="4"/>
        <v>10</v>
      </c>
      <c r="L45" s="20">
        <v>1</v>
      </c>
      <c r="M45" s="8">
        <f t="shared" si="2"/>
        <v>3</v>
      </c>
      <c r="N45" s="20" t="s">
        <v>33</v>
      </c>
      <c r="O45" s="20">
        <f t="shared" si="5"/>
        <v>1</v>
      </c>
      <c r="P45" s="20" t="s">
        <v>30</v>
      </c>
      <c r="Q45" s="21" t="s">
        <v>29</v>
      </c>
      <c r="R45" s="40">
        <f>VLOOKUP(Master19[[#This Row],[Elevated Priority]],Epriority,2,)</f>
        <v>0</v>
      </c>
      <c r="S45" s="20">
        <f>IF(Master19[[#This Row],[Status]]="Active",Master19[[#This Row],[Status_Score]],IF(C45="","",K45+G45+M45+O45+R45-5))</f>
        <v>9</v>
      </c>
    </row>
    <row r="46" spans="1:21" ht="30" hidden="1" x14ac:dyDescent="0.25">
      <c r="A46" s="10">
        <v>45</v>
      </c>
      <c r="B46" s="11" t="s">
        <v>79</v>
      </c>
      <c r="C46" s="11" t="s">
        <v>113</v>
      </c>
      <c r="D46" s="11" t="s">
        <v>114</v>
      </c>
      <c r="E46" s="11" t="s">
        <v>115</v>
      </c>
      <c r="F46" s="11" t="s">
        <v>29</v>
      </c>
      <c r="G46" s="11">
        <f t="shared" si="0"/>
        <v>0</v>
      </c>
      <c r="H46" s="12">
        <v>25000</v>
      </c>
      <c r="I46" s="13">
        <v>2018</v>
      </c>
      <c r="J46" s="11" t="s">
        <v>32</v>
      </c>
      <c r="K46" s="13">
        <f t="shared" si="4"/>
        <v>1</v>
      </c>
      <c r="L46" s="20">
        <v>2</v>
      </c>
      <c r="M46" s="8">
        <f t="shared" si="2"/>
        <v>6</v>
      </c>
      <c r="N46" s="20" t="s">
        <v>41</v>
      </c>
      <c r="O46" s="20">
        <f t="shared" si="5"/>
        <v>4</v>
      </c>
      <c r="P46" s="20" t="s">
        <v>30</v>
      </c>
      <c r="Q46" s="21" t="s">
        <v>29</v>
      </c>
      <c r="R46" s="40">
        <f>VLOOKUP(Master19[[#This Row],[Elevated Priority]],Epriority,2,)</f>
        <v>0</v>
      </c>
      <c r="S46" s="20">
        <f>IF(Master19[[#This Row],[Status]]="Active",Master19[[#This Row],[Status_Score]],IF(C46="","",K46+G46+M46+O46+R46-5))</f>
        <v>6</v>
      </c>
    </row>
    <row r="47" spans="1:21" ht="75" hidden="1" x14ac:dyDescent="0.25">
      <c r="A47" s="10">
        <v>46</v>
      </c>
      <c r="B47" s="11" t="s">
        <v>61</v>
      </c>
      <c r="C47" s="11" t="s">
        <v>116</v>
      </c>
      <c r="D47" s="11" t="s">
        <v>117</v>
      </c>
      <c r="E47" s="11" t="s">
        <v>118</v>
      </c>
      <c r="F47" s="11" t="s">
        <v>29</v>
      </c>
      <c r="G47" s="11">
        <f t="shared" si="0"/>
        <v>0</v>
      </c>
      <c r="H47" s="12">
        <v>750000</v>
      </c>
      <c r="I47" s="13">
        <v>2018</v>
      </c>
      <c r="J47" s="11" t="s">
        <v>32</v>
      </c>
      <c r="K47" s="13">
        <f t="shared" si="4"/>
        <v>1</v>
      </c>
      <c r="L47" s="20">
        <v>2</v>
      </c>
      <c r="M47" s="8">
        <f t="shared" si="2"/>
        <v>6</v>
      </c>
      <c r="N47" s="20" t="s">
        <v>41</v>
      </c>
      <c r="O47" s="20">
        <f t="shared" si="5"/>
        <v>4</v>
      </c>
      <c r="P47" s="20" t="s">
        <v>30</v>
      </c>
      <c r="Q47" s="21" t="s">
        <v>29</v>
      </c>
      <c r="R47" s="40">
        <f>VLOOKUP(Master19[[#This Row],[Elevated Priority]],Epriority,2,)</f>
        <v>0</v>
      </c>
      <c r="S47" s="20">
        <f>IF(Master19[[#This Row],[Status]]="Active",Master19[[#This Row],[Status_Score]],IF(C47="","",K47+G47+M47+O47+R47-5))</f>
        <v>6</v>
      </c>
    </row>
    <row r="48" spans="1:21" ht="30" x14ac:dyDescent="0.25">
      <c r="A48" s="10">
        <v>47</v>
      </c>
      <c r="B48" s="11" t="s">
        <v>87</v>
      </c>
      <c r="C48" s="11" t="s">
        <v>126</v>
      </c>
      <c r="D48" s="11" t="s">
        <v>127</v>
      </c>
      <c r="E48" s="11" t="s">
        <v>128</v>
      </c>
      <c r="F48" s="11" t="s">
        <v>29</v>
      </c>
      <c r="G48" s="11">
        <f t="shared" si="0"/>
        <v>0</v>
      </c>
      <c r="H48" s="12">
        <v>100000</v>
      </c>
      <c r="I48" s="13">
        <v>2018</v>
      </c>
      <c r="J48" s="11" t="s">
        <v>32</v>
      </c>
      <c r="K48" s="13">
        <f t="shared" si="4"/>
        <v>1</v>
      </c>
      <c r="L48" s="20">
        <v>2</v>
      </c>
      <c r="M48" s="8">
        <f t="shared" si="2"/>
        <v>6</v>
      </c>
      <c r="N48" s="20" t="s">
        <v>41</v>
      </c>
      <c r="O48" s="20">
        <f t="shared" si="5"/>
        <v>4</v>
      </c>
      <c r="P48" s="20" t="s">
        <v>34</v>
      </c>
      <c r="Q48" s="21" t="s">
        <v>29</v>
      </c>
      <c r="R48" s="40">
        <f>VLOOKUP(Master19[[#This Row],[Elevated Priority]],Epriority,2,)</f>
        <v>0</v>
      </c>
      <c r="S48" s="20">
        <f>IF(Master19[[#This Row],[Status]]="Active",Master19[[#This Row],[Status_Score]],IF(C48="","",K48+G48+M48+O48+R48-5))</f>
        <v>6</v>
      </c>
    </row>
    <row r="49" spans="1:20" ht="30" x14ac:dyDescent="0.25">
      <c r="A49" s="10">
        <v>48</v>
      </c>
      <c r="B49" s="11" t="s">
        <v>87</v>
      </c>
      <c r="C49" s="11" t="s">
        <v>129</v>
      </c>
      <c r="D49" s="11" t="s">
        <v>130</v>
      </c>
      <c r="E49" s="11" t="s">
        <v>131</v>
      </c>
      <c r="F49" s="11" t="s">
        <v>29</v>
      </c>
      <c r="G49" s="11">
        <f t="shared" si="0"/>
        <v>0</v>
      </c>
      <c r="H49" s="12">
        <v>30000</v>
      </c>
      <c r="I49" s="13">
        <v>2018</v>
      </c>
      <c r="J49" s="11" t="s">
        <v>32</v>
      </c>
      <c r="K49" s="13">
        <f t="shared" si="4"/>
        <v>1</v>
      </c>
      <c r="L49" s="20">
        <v>2</v>
      </c>
      <c r="M49" s="8">
        <f t="shared" si="2"/>
        <v>6</v>
      </c>
      <c r="N49" s="20" t="s">
        <v>41</v>
      </c>
      <c r="O49" s="20">
        <f t="shared" si="5"/>
        <v>4</v>
      </c>
      <c r="P49" s="20" t="s">
        <v>30</v>
      </c>
      <c r="Q49" s="21" t="s">
        <v>29</v>
      </c>
      <c r="R49" s="40">
        <f>VLOOKUP(Master19[[#This Row],[Elevated Priority]],Epriority,2,)</f>
        <v>0</v>
      </c>
      <c r="S49" s="20">
        <f>IF(Master19[[#This Row],[Status]]="Active",Master19[[#This Row],[Status_Score]],IF(C49="","",K49+G49+M49+O49+R49-5))</f>
        <v>6</v>
      </c>
    </row>
    <row r="50" spans="1:20" ht="30" hidden="1" x14ac:dyDescent="0.25">
      <c r="A50" s="10">
        <v>49</v>
      </c>
      <c r="B50" s="11" t="s">
        <v>67</v>
      </c>
      <c r="C50" s="11" t="s">
        <v>425</v>
      </c>
      <c r="D50" s="11" t="s">
        <v>426</v>
      </c>
      <c r="E50" s="11" t="s">
        <v>427</v>
      </c>
      <c r="F50" s="11" t="s">
        <v>29</v>
      </c>
      <c r="G50" s="11">
        <f t="shared" si="0"/>
        <v>0</v>
      </c>
      <c r="H50" s="12">
        <v>275000</v>
      </c>
      <c r="I50" s="13">
        <v>2018</v>
      </c>
      <c r="J50" s="11" t="s">
        <v>36</v>
      </c>
      <c r="K50" s="13">
        <f t="shared" si="4"/>
        <v>10</v>
      </c>
      <c r="L50" s="20">
        <v>2</v>
      </c>
      <c r="M50" s="8">
        <f t="shared" si="2"/>
        <v>6</v>
      </c>
      <c r="N50" s="20" t="s">
        <v>29</v>
      </c>
      <c r="O50" s="20">
        <f t="shared" si="5"/>
        <v>0</v>
      </c>
      <c r="P50" s="20" t="s">
        <v>30</v>
      </c>
      <c r="Q50" s="21" t="s">
        <v>29</v>
      </c>
      <c r="R50" s="40">
        <f>VLOOKUP(Master19[[#This Row],[Elevated Priority]],Epriority,2,)</f>
        <v>0</v>
      </c>
      <c r="S50" s="20">
        <f>IF(Master19[[#This Row],[Status]]="Active",Master19[[#This Row],[Status_Score]],IF(C50="","",K50+G50+M50+O50+R50-5))</f>
        <v>11</v>
      </c>
    </row>
    <row r="51" spans="1:20" ht="120" hidden="1" x14ac:dyDescent="0.25">
      <c r="A51" s="10">
        <v>50</v>
      </c>
      <c r="B51" s="11" t="s">
        <v>70</v>
      </c>
      <c r="C51" s="11" t="s">
        <v>141</v>
      </c>
      <c r="D51" s="11" t="s">
        <v>142</v>
      </c>
      <c r="E51" s="11"/>
      <c r="F51" s="11" t="s">
        <v>29</v>
      </c>
      <c r="G51" s="11">
        <f t="shared" si="0"/>
        <v>0</v>
      </c>
      <c r="H51" s="12">
        <v>100000</v>
      </c>
      <c r="I51" s="13">
        <v>2018</v>
      </c>
      <c r="J51" s="11" t="s">
        <v>36</v>
      </c>
      <c r="K51" s="13">
        <f t="shared" si="4"/>
        <v>10</v>
      </c>
      <c r="L51" s="20">
        <v>1</v>
      </c>
      <c r="M51" s="8">
        <f t="shared" si="2"/>
        <v>3</v>
      </c>
      <c r="N51" s="20" t="s">
        <v>37</v>
      </c>
      <c r="O51" s="20">
        <f t="shared" si="5"/>
        <v>3</v>
      </c>
      <c r="P51" s="20" t="s">
        <v>30</v>
      </c>
      <c r="Q51" s="21" t="s">
        <v>29</v>
      </c>
      <c r="R51" s="40">
        <f>VLOOKUP(Master19[[#This Row],[Elevated Priority]],Epriority,2,)</f>
        <v>0</v>
      </c>
      <c r="S51" s="20">
        <f>IF(Master19[[#This Row],[Status]]="Active",Master19[[#This Row],[Status_Score]],IF(C51="","",K51+G51+M51+O51+R51-5))</f>
        <v>11</v>
      </c>
    </row>
    <row r="52" spans="1:20" ht="30" x14ac:dyDescent="0.25">
      <c r="A52" s="10">
        <v>51</v>
      </c>
      <c r="B52" s="11" t="s">
        <v>87</v>
      </c>
      <c r="C52" s="11" t="s">
        <v>149</v>
      </c>
      <c r="D52" s="11" t="s">
        <v>150</v>
      </c>
      <c r="E52" s="11" t="s">
        <v>151</v>
      </c>
      <c r="F52" s="11" t="s">
        <v>29</v>
      </c>
      <c r="G52" s="11">
        <f t="shared" si="0"/>
        <v>0</v>
      </c>
      <c r="H52" s="12">
        <v>30000</v>
      </c>
      <c r="I52" s="13">
        <v>2018</v>
      </c>
      <c r="J52" s="11" t="s">
        <v>36</v>
      </c>
      <c r="K52" s="13">
        <f t="shared" si="4"/>
        <v>10</v>
      </c>
      <c r="L52" s="20">
        <v>1</v>
      </c>
      <c r="M52" s="8">
        <f t="shared" si="2"/>
        <v>3</v>
      </c>
      <c r="N52" s="20" t="s">
        <v>37</v>
      </c>
      <c r="O52" s="20">
        <f t="shared" si="5"/>
        <v>3</v>
      </c>
      <c r="P52" s="20" t="s">
        <v>30</v>
      </c>
      <c r="Q52" s="21" t="s">
        <v>29</v>
      </c>
      <c r="R52" s="40">
        <f>VLOOKUP(Master19[[#This Row],[Elevated Priority]],Epriority,2,)</f>
        <v>0</v>
      </c>
      <c r="S52" s="20">
        <f>IF(Master19[[#This Row],[Status]]="Active",Master19[[#This Row],[Status_Score]],IF(C52="","",K52+G52+M52+O52+R52-5))</f>
        <v>11</v>
      </c>
    </row>
    <row r="53" spans="1:20" ht="30" hidden="1" x14ac:dyDescent="0.25">
      <c r="A53" s="10">
        <v>52</v>
      </c>
      <c r="B53" s="11" t="s">
        <v>72</v>
      </c>
      <c r="C53" s="11" t="s">
        <v>156</v>
      </c>
      <c r="D53" s="11" t="s">
        <v>157</v>
      </c>
      <c r="E53" s="11" t="s">
        <v>158</v>
      </c>
      <c r="F53" s="11" t="s">
        <v>29</v>
      </c>
      <c r="G53" s="11">
        <f t="shared" si="0"/>
        <v>0</v>
      </c>
      <c r="H53" s="12">
        <v>300000</v>
      </c>
      <c r="I53" s="13">
        <v>2018</v>
      </c>
      <c r="J53" s="11" t="s">
        <v>32</v>
      </c>
      <c r="K53" s="13">
        <f t="shared" si="4"/>
        <v>1</v>
      </c>
      <c r="L53" s="20">
        <v>3</v>
      </c>
      <c r="M53" s="8">
        <f t="shared" si="2"/>
        <v>9</v>
      </c>
      <c r="N53" s="20" t="s">
        <v>41</v>
      </c>
      <c r="O53" s="20">
        <f t="shared" si="5"/>
        <v>4</v>
      </c>
      <c r="P53" s="20" t="s">
        <v>34</v>
      </c>
      <c r="Q53" s="21" t="s">
        <v>29</v>
      </c>
      <c r="R53" s="40">
        <f>VLOOKUP(Master19[[#This Row],[Elevated Priority]],Epriority,2,)</f>
        <v>0</v>
      </c>
      <c r="S53" s="20">
        <f>IF(Master19[[#This Row],[Status]]="Active",Master19[[#This Row],[Status_Score]],IF(C53="","",K53+G53+M53+O53+R53-5))</f>
        <v>9</v>
      </c>
    </row>
    <row r="54" spans="1:20" ht="120" hidden="1" x14ac:dyDescent="0.25">
      <c r="A54" s="10">
        <v>53</v>
      </c>
      <c r="B54" s="104" t="s">
        <v>61</v>
      </c>
      <c r="C54" s="104" t="s">
        <v>629</v>
      </c>
      <c r="D54" s="104" t="s">
        <v>630</v>
      </c>
      <c r="E54" s="105" t="s">
        <v>631</v>
      </c>
      <c r="F54" s="11" t="s">
        <v>29</v>
      </c>
      <c r="G54" s="27">
        <f t="shared" si="0"/>
        <v>0</v>
      </c>
      <c r="H54" s="12">
        <v>750000</v>
      </c>
      <c r="I54" s="13">
        <v>2019</v>
      </c>
      <c r="J54" s="11" t="s">
        <v>36</v>
      </c>
      <c r="K54" s="13">
        <f t="shared" ref="K54:K85" si="6">VLOOKUP(J54,Importance,2,FALSE)</f>
        <v>10</v>
      </c>
      <c r="L54" s="13">
        <v>2</v>
      </c>
      <c r="M54" s="8">
        <f t="shared" si="2"/>
        <v>6</v>
      </c>
      <c r="N54" s="13" t="s">
        <v>37</v>
      </c>
      <c r="O54" s="20">
        <f t="shared" si="5"/>
        <v>3</v>
      </c>
      <c r="P54" s="13" t="s">
        <v>34</v>
      </c>
      <c r="Q54" s="13" t="s">
        <v>29</v>
      </c>
      <c r="R54" s="40">
        <f>VLOOKUP(Master19[[#This Row],[Elevated Priority]],Epriority,2,)</f>
        <v>0</v>
      </c>
      <c r="S54" s="13">
        <f>IF(Master19[[#This Row],[Status]]="Active",Master19[[#This Row],[Status_Score]],IF(C54="","",K54+G54+M54+O54+R54-5))</f>
        <v>14</v>
      </c>
      <c r="T54" s="91"/>
    </row>
    <row r="55" spans="1:20" ht="45" hidden="1" x14ac:dyDescent="0.25">
      <c r="A55" s="10">
        <v>54</v>
      </c>
      <c r="B55" s="11" t="s">
        <v>70</v>
      </c>
      <c r="C55" s="11" t="s">
        <v>228</v>
      </c>
      <c r="D55" s="11" t="s">
        <v>229</v>
      </c>
      <c r="E55" s="11"/>
      <c r="F55" s="11" t="s">
        <v>29</v>
      </c>
      <c r="G55" s="11">
        <f t="shared" si="0"/>
        <v>0</v>
      </c>
      <c r="H55" s="12">
        <v>100000</v>
      </c>
      <c r="I55" s="13">
        <v>2018</v>
      </c>
      <c r="J55" s="11" t="s">
        <v>36</v>
      </c>
      <c r="K55" s="13">
        <f t="shared" si="6"/>
        <v>10</v>
      </c>
      <c r="L55" s="20">
        <v>2</v>
      </c>
      <c r="M55" s="8">
        <f t="shared" si="2"/>
        <v>6</v>
      </c>
      <c r="N55" s="20" t="s">
        <v>37</v>
      </c>
      <c r="O55" s="20">
        <f t="shared" si="5"/>
        <v>3</v>
      </c>
      <c r="P55" s="20" t="s">
        <v>30</v>
      </c>
      <c r="Q55" s="21" t="s">
        <v>29</v>
      </c>
      <c r="R55" s="40">
        <f>VLOOKUP(Master19[[#This Row],[Elevated Priority]],Epriority,2,)</f>
        <v>0</v>
      </c>
      <c r="S55" s="20">
        <f>IF(Master19[[#This Row],[Status]]="Active",Master19[[#This Row],[Status_Score]],IF(C55="","",K55+G55+M55+O55+R55-5))</f>
        <v>14</v>
      </c>
    </row>
    <row r="56" spans="1:20" ht="135" hidden="1" x14ac:dyDescent="0.25">
      <c r="A56" s="10">
        <v>55</v>
      </c>
      <c r="B56" s="11" t="s">
        <v>73</v>
      </c>
      <c r="C56" s="11" t="s">
        <v>196</v>
      </c>
      <c r="D56" s="11" t="s">
        <v>197</v>
      </c>
      <c r="E56" s="11" t="s">
        <v>198</v>
      </c>
      <c r="F56" s="11" t="s">
        <v>29</v>
      </c>
      <c r="G56" s="11">
        <f t="shared" si="0"/>
        <v>0</v>
      </c>
      <c r="H56" s="12">
        <v>25000</v>
      </c>
      <c r="I56" s="13">
        <v>2018</v>
      </c>
      <c r="J56" s="11" t="s">
        <v>36</v>
      </c>
      <c r="K56" s="13">
        <f t="shared" si="6"/>
        <v>10</v>
      </c>
      <c r="L56" s="20">
        <v>2</v>
      </c>
      <c r="M56" s="8">
        <f t="shared" si="2"/>
        <v>6</v>
      </c>
      <c r="N56" s="20" t="s">
        <v>37</v>
      </c>
      <c r="O56" s="20">
        <f t="shared" si="5"/>
        <v>3</v>
      </c>
      <c r="P56" s="20" t="s">
        <v>34</v>
      </c>
      <c r="Q56" s="21" t="s">
        <v>29</v>
      </c>
      <c r="R56" s="40">
        <f>VLOOKUP(Master19[[#This Row],[Elevated Priority]],Epriority,2,)</f>
        <v>0</v>
      </c>
      <c r="S56" s="20">
        <f>IF(Master19[[#This Row],[Status]]="Active",Master19[[#This Row],[Status_Score]],IF(C56="","",K56+G56+M56+O56+R56-5))</f>
        <v>14</v>
      </c>
    </row>
    <row r="57" spans="1:20" ht="45" hidden="1" x14ac:dyDescent="0.25">
      <c r="A57" s="10">
        <v>56</v>
      </c>
      <c r="B57" s="11" t="s">
        <v>65</v>
      </c>
      <c r="C57" s="38" t="s">
        <v>160</v>
      </c>
      <c r="D57" s="38" t="s">
        <v>161</v>
      </c>
      <c r="E57" s="38" t="s">
        <v>162</v>
      </c>
      <c r="F57" s="11" t="s">
        <v>29</v>
      </c>
      <c r="G57" s="11">
        <f t="shared" si="0"/>
        <v>0</v>
      </c>
      <c r="H57" s="12">
        <v>90000</v>
      </c>
      <c r="I57" s="13">
        <v>2018</v>
      </c>
      <c r="J57" s="11" t="s">
        <v>36</v>
      </c>
      <c r="K57" s="13">
        <f t="shared" si="6"/>
        <v>10</v>
      </c>
      <c r="L57" s="20">
        <v>1</v>
      </c>
      <c r="M57" s="8">
        <f t="shared" si="2"/>
        <v>3</v>
      </c>
      <c r="N57" s="20" t="s">
        <v>41</v>
      </c>
      <c r="O57" s="20">
        <f t="shared" si="5"/>
        <v>4</v>
      </c>
      <c r="P57" s="20" t="s">
        <v>30</v>
      </c>
      <c r="Q57" s="21" t="s">
        <v>29</v>
      </c>
      <c r="R57" s="40">
        <f>VLOOKUP(Master19[[#This Row],[Elevated Priority]],Epriority,2,)</f>
        <v>0</v>
      </c>
      <c r="S57" s="20">
        <f>IF(Master19[[#This Row],[Status]]="Active",Master19[[#This Row],[Status_Score]],IF(C57="","",K57+G57+M57+O57+R57-5))</f>
        <v>12</v>
      </c>
    </row>
    <row r="58" spans="1:20" ht="30" hidden="1" x14ac:dyDescent="0.25">
      <c r="A58" s="10">
        <v>57</v>
      </c>
      <c r="B58" s="11" t="s">
        <v>72</v>
      </c>
      <c r="C58" s="38" t="s">
        <v>169</v>
      </c>
      <c r="D58" s="38" t="s">
        <v>170</v>
      </c>
      <c r="E58" s="38" t="s">
        <v>171</v>
      </c>
      <c r="F58" s="23" t="s">
        <v>29</v>
      </c>
      <c r="G58" s="93">
        <f t="shared" si="0"/>
        <v>0</v>
      </c>
      <c r="H58" s="94">
        <v>500000</v>
      </c>
      <c r="I58" s="95">
        <v>2018</v>
      </c>
      <c r="J58" s="93" t="s">
        <v>36</v>
      </c>
      <c r="K58" s="13">
        <f t="shared" si="6"/>
        <v>10</v>
      </c>
      <c r="L58" s="96">
        <v>2</v>
      </c>
      <c r="M58" s="8">
        <f t="shared" si="2"/>
        <v>6</v>
      </c>
      <c r="N58" s="96" t="s">
        <v>41</v>
      </c>
      <c r="O58" s="20">
        <f t="shared" si="5"/>
        <v>4</v>
      </c>
      <c r="P58" s="96" t="s">
        <v>30</v>
      </c>
      <c r="Q58" s="97" t="s">
        <v>29</v>
      </c>
      <c r="R58" s="40">
        <f>VLOOKUP(Master19[[#This Row],[Elevated Priority]],Epriority,2,)</f>
        <v>0</v>
      </c>
      <c r="S58" s="96">
        <f>IF(Master19[[#This Row],[Status]]="Active",Master19[[#This Row],[Status_Score]],IF(C58="","",K58+G58+M58+O58+R58-5))</f>
        <v>15</v>
      </c>
    </row>
    <row r="59" spans="1:20" ht="45" hidden="1" x14ac:dyDescent="0.25">
      <c r="A59" s="10">
        <v>58</v>
      </c>
      <c r="B59" s="11" t="s">
        <v>70</v>
      </c>
      <c r="C59" s="11" t="s">
        <v>363</v>
      </c>
      <c r="D59" s="11" t="s">
        <v>364</v>
      </c>
      <c r="E59" s="11" t="s">
        <v>365</v>
      </c>
      <c r="F59" s="11" t="s">
        <v>29</v>
      </c>
      <c r="G59" s="11">
        <f t="shared" si="0"/>
        <v>0</v>
      </c>
      <c r="H59" s="12">
        <v>250000</v>
      </c>
      <c r="I59" s="13">
        <v>2018</v>
      </c>
      <c r="J59" s="11" t="s">
        <v>36</v>
      </c>
      <c r="K59" s="13">
        <f t="shared" si="6"/>
        <v>10</v>
      </c>
      <c r="L59" s="20">
        <v>2</v>
      </c>
      <c r="M59" s="8">
        <f t="shared" si="2"/>
        <v>6</v>
      </c>
      <c r="N59" s="20" t="s">
        <v>41</v>
      </c>
      <c r="O59" s="20">
        <f t="shared" si="5"/>
        <v>4</v>
      </c>
      <c r="P59" s="20" t="s">
        <v>34</v>
      </c>
      <c r="Q59" s="21" t="s">
        <v>29</v>
      </c>
      <c r="R59" s="40">
        <f>VLOOKUP(Master19[[#This Row],[Elevated Priority]],Epriority,2,)</f>
        <v>0</v>
      </c>
      <c r="S59" s="20">
        <f>IF(Master19[[#This Row],[Status]]="Active",Master19[[#This Row],[Status_Score]],IF(C59="","",K59+G59+M59+O59+R59-5))</f>
        <v>15</v>
      </c>
    </row>
    <row r="60" spans="1:20" ht="60" hidden="1" x14ac:dyDescent="0.25">
      <c r="A60" s="10">
        <v>59</v>
      </c>
      <c r="B60" s="11" t="s">
        <v>70</v>
      </c>
      <c r="C60" s="11" t="s">
        <v>285</v>
      </c>
      <c r="D60" s="11" t="s">
        <v>286</v>
      </c>
      <c r="E60" s="11" t="s">
        <v>287</v>
      </c>
      <c r="F60" s="11" t="s">
        <v>29</v>
      </c>
      <c r="G60" s="11">
        <f t="shared" si="0"/>
        <v>0</v>
      </c>
      <c r="H60" s="12">
        <v>150000</v>
      </c>
      <c r="I60" s="13">
        <v>2018</v>
      </c>
      <c r="J60" s="11" t="s">
        <v>36</v>
      </c>
      <c r="K60" s="13">
        <f t="shared" si="6"/>
        <v>10</v>
      </c>
      <c r="L60" s="20">
        <v>2</v>
      </c>
      <c r="M60" s="8">
        <f t="shared" si="2"/>
        <v>6</v>
      </c>
      <c r="N60" s="20" t="s">
        <v>41</v>
      </c>
      <c r="O60" s="20">
        <f t="shared" si="5"/>
        <v>4</v>
      </c>
      <c r="P60" s="20" t="s">
        <v>30</v>
      </c>
      <c r="Q60" s="21" t="s">
        <v>29</v>
      </c>
      <c r="R60" s="40">
        <f>VLOOKUP(Master19[[#This Row],[Elevated Priority]],Epriority,2,)</f>
        <v>0</v>
      </c>
      <c r="S60" s="20">
        <f>IF(Master19[[#This Row],[Status]]="Active",Master19[[#This Row],[Status_Score]],IF(C60="","",K60+G60+M60+O60+R60-5))</f>
        <v>15</v>
      </c>
    </row>
    <row r="61" spans="1:20" ht="60" x14ac:dyDescent="0.25">
      <c r="A61" s="10">
        <v>60</v>
      </c>
      <c r="B61" s="11" t="s">
        <v>87</v>
      </c>
      <c r="C61" s="38" t="s">
        <v>173</v>
      </c>
      <c r="E61" s="38" t="s">
        <v>174</v>
      </c>
      <c r="F61" s="11" t="s">
        <v>29</v>
      </c>
      <c r="G61" s="11">
        <f t="shared" si="0"/>
        <v>0</v>
      </c>
      <c r="H61" s="12">
        <v>10000</v>
      </c>
      <c r="I61" s="13">
        <v>2018</v>
      </c>
      <c r="J61" s="11" t="s">
        <v>36</v>
      </c>
      <c r="K61" s="13">
        <f t="shared" si="6"/>
        <v>10</v>
      </c>
      <c r="L61" s="20">
        <v>2</v>
      </c>
      <c r="M61" s="8">
        <f t="shared" si="2"/>
        <v>6</v>
      </c>
      <c r="N61" s="20" t="s">
        <v>41</v>
      </c>
      <c r="O61" s="20">
        <f t="shared" si="5"/>
        <v>4</v>
      </c>
      <c r="P61" s="20" t="s">
        <v>30</v>
      </c>
      <c r="Q61" s="21" t="s">
        <v>29</v>
      </c>
      <c r="R61" s="40">
        <f>VLOOKUP(Master19[[#This Row],[Elevated Priority]],Epriority,2,)</f>
        <v>0</v>
      </c>
      <c r="S61" s="20">
        <f>IF(Master19[[#This Row],[Status]]="Active",Master19[[#This Row],[Status_Score]],IF(C61="","",K61+G61+M61+O61+R61-5))</f>
        <v>15</v>
      </c>
    </row>
    <row r="62" spans="1:20" ht="30" x14ac:dyDescent="0.25">
      <c r="A62" s="10">
        <v>61</v>
      </c>
      <c r="B62" s="11" t="s">
        <v>87</v>
      </c>
      <c r="C62" s="11" t="s">
        <v>175</v>
      </c>
      <c r="D62" s="11"/>
      <c r="E62" s="11" t="s">
        <v>176</v>
      </c>
      <c r="F62" s="11" t="s">
        <v>29</v>
      </c>
      <c r="G62" s="11">
        <f t="shared" si="0"/>
        <v>0</v>
      </c>
      <c r="H62" s="12">
        <v>8000</v>
      </c>
      <c r="I62" s="13">
        <v>2018</v>
      </c>
      <c r="J62" s="11" t="s">
        <v>36</v>
      </c>
      <c r="K62" s="13">
        <f t="shared" si="6"/>
        <v>10</v>
      </c>
      <c r="L62" s="20">
        <v>2</v>
      </c>
      <c r="M62" s="8">
        <f t="shared" si="2"/>
        <v>6</v>
      </c>
      <c r="N62" s="20" t="s">
        <v>41</v>
      </c>
      <c r="O62" s="20">
        <f t="shared" ref="O62:O93" si="7">VLOOKUP(N62,Urgency,2,FALSE)</f>
        <v>4</v>
      </c>
      <c r="P62" s="20" t="s">
        <v>30</v>
      </c>
      <c r="Q62" s="21" t="s">
        <v>29</v>
      </c>
      <c r="R62" s="40">
        <f>VLOOKUP(Master19[[#This Row],[Elevated Priority]],Epriority,2,)</f>
        <v>0</v>
      </c>
      <c r="S62" s="20">
        <f>IF(Master19[[#This Row],[Status]]="Active",Master19[[#This Row],[Status_Score]],IF(C62="","",K62+G62+M62+O62+R62-5))</f>
        <v>15</v>
      </c>
    </row>
    <row r="63" spans="1:20" ht="105" hidden="1" x14ac:dyDescent="0.25">
      <c r="A63" s="10">
        <v>62</v>
      </c>
      <c r="B63" s="11" t="s">
        <v>73</v>
      </c>
      <c r="C63" s="68" t="s">
        <v>438</v>
      </c>
      <c r="D63" s="11" t="s">
        <v>439</v>
      </c>
      <c r="E63" s="11" t="s">
        <v>440</v>
      </c>
      <c r="F63" s="11" t="s">
        <v>29</v>
      </c>
      <c r="G63" s="11">
        <f t="shared" si="0"/>
        <v>0</v>
      </c>
      <c r="H63" s="12">
        <v>15000</v>
      </c>
      <c r="I63" s="13">
        <v>2018</v>
      </c>
      <c r="J63" s="11" t="s">
        <v>42</v>
      </c>
      <c r="K63" s="13" t="e">
        <f t="shared" si="6"/>
        <v>#N/A</v>
      </c>
      <c r="L63" s="20">
        <v>3</v>
      </c>
      <c r="M63" s="8">
        <f t="shared" si="2"/>
        <v>9</v>
      </c>
      <c r="N63" s="20" t="s">
        <v>43</v>
      </c>
      <c r="O63" s="20">
        <f t="shared" si="7"/>
        <v>16</v>
      </c>
      <c r="P63" s="20" t="s">
        <v>30</v>
      </c>
      <c r="Q63" s="21" t="s">
        <v>39</v>
      </c>
      <c r="R63" s="40">
        <f>VLOOKUP(Master19[[#This Row],[Elevated Priority]],Epriority,2,)</f>
        <v>-30</v>
      </c>
      <c r="S63" s="20" t="e">
        <f>IF(Master19[[#This Row],[Status]]="Active",Master19[[#This Row],[Status_Score]],IF(C63="","",K63+G63+M63+O63+R63-5))</f>
        <v>#N/A</v>
      </c>
    </row>
    <row r="64" spans="1:20" ht="45" hidden="1" x14ac:dyDescent="0.25">
      <c r="A64" s="10">
        <v>63</v>
      </c>
      <c r="B64" s="11" t="s">
        <v>67</v>
      </c>
      <c r="C64" s="11" t="s">
        <v>428</v>
      </c>
      <c r="D64" s="11" t="s">
        <v>429</v>
      </c>
      <c r="E64" s="11" t="s">
        <v>430</v>
      </c>
      <c r="F64" s="11" t="s">
        <v>29</v>
      </c>
      <c r="G64" s="11">
        <f t="shared" si="0"/>
        <v>0</v>
      </c>
      <c r="H64" s="12">
        <v>75000</v>
      </c>
      <c r="I64" s="13">
        <v>2018</v>
      </c>
      <c r="J64" s="11" t="s">
        <v>40</v>
      </c>
      <c r="K64" s="13" t="e">
        <f t="shared" si="6"/>
        <v>#N/A</v>
      </c>
      <c r="L64" s="20">
        <v>2</v>
      </c>
      <c r="M64" s="8">
        <f t="shared" si="2"/>
        <v>6</v>
      </c>
      <c r="N64" s="20" t="s">
        <v>29</v>
      </c>
      <c r="O64" s="20">
        <f t="shared" si="7"/>
        <v>0</v>
      </c>
      <c r="P64" s="20" t="s">
        <v>30</v>
      </c>
      <c r="Q64" s="21" t="s">
        <v>29</v>
      </c>
      <c r="R64" s="40">
        <f>VLOOKUP(Master19[[#This Row],[Elevated Priority]],Epriority,2,)</f>
        <v>0</v>
      </c>
      <c r="S64" s="20" t="e">
        <f>IF(Master19[[#This Row],[Status]]="Active",Master19[[#This Row],[Status_Score]],IF(C64="","",K64+G64+M64+O64+R64-5))</f>
        <v>#N/A</v>
      </c>
    </row>
    <row r="65" spans="1:21" ht="60" hidden="1" x14ac:dyDescent="0.25">
      <c r="A65" s="10">
        <v>64</v>
      </c>
      <c r="B65" s="11" t="s">
        <v>91</v>
      </c>
      <c r="C65" s="11" t="s">
        <v>357</v>
      </c>
      <c r="D65" s="11" t="s">
        <v>358</v>
      </c>
      <c r="E65" s="11" t="s">
        <v>359</v>
      </c>
      <c r="F65" s="11" t="s">
        <v>29</v>
      </c>
      <c r="G65" s="11">
        <f t="shared" si="0"/>
        <v>0</v>
      </c>
      <c r="H65" s="12">
        <v>250000</v>
      </c>
      <c r="I65" s="13">
        <v>2018</v>
      </c>
      <c r="J65" s="11" t="s">
        <v>40</v>
      </c>
      <c r="K65" s="13" t="e">
        <f t="shared" si="6"/>
        <v>#N/A</v>
      </c>
      <c r="L65" s="20">
        <v>7</v>
      </c>
      <c r="M65" s="8">
        <f t="shared" si="2"/>
        <v>20</v>
      </c>
      <c r="N65" s="20" t="s">
        <v>43</v>
      </c>
      <c r="O65" s="20">
        <f t="shared" si="7"/>
        <v>16</v>
      </c>
      <c r="P65" s="20" t="s">
        <v>30</v>
      </c>
      <c r="Q65" s="21" t="s">
        <v>39</v>
      </c>
      <c r="R65" s="40">
        <f>VLOOKUP(Master19[[#This Row],[Elevated Priority]],Epriority,2,)</f>
        <v>-30</v>
      </c>
      <c r="S65" s="20" t="e">
        <f>IF(Master19[[#This Row],[Status]]="Active",Master19[[#This Row],[Status_Score]],IF(C65="","",K65+G65+M65+O65+R65-5))</f>
        <v>#N/A</v>
      </c>
    </row>
    <row r="66" spans="1:21" ht="45" x14ac:dyDescent="0.25">
      <c r="A66" s="10">
        <v>65</v>
      </c>
      <c r="B66" s="11" t="s">
        <v>87</v>
      </c>
      <c r="C66" s="11" t="s">
        <v>180</v>
      </c>
      <c r="D66" s="11"/>
      <c r="E66" s="11" t="s">
        <v>181</v>
      </c>
      <c r="F66" s="11" t="s">
        <v>29</v>
      </c>
      <c r="G66" s="11">
        <f t="shared" ref="G66:G129" si="8">VLOOKUP(F66,Status_Score,2,FALSE)</f>
        <v>0</v>
      </c>
      <c r="H66" s="12">
        <v>30000</v>
      </c>
      <c r="I66" s="13">
        <v>2018</v>
      </c>
      <c r="J66" s="11" t="s">
        <v>40</v>
      </c>
      <c r="K66" s="13" t="e">
        <f t="shared" si="6"/>
        <v>#N/A</v>
      </c>
      <c r="L66" s="20">
        <v>1</v>
      </c>
      <c r="M66" s="8">
        <f t="shared" ref="M66:M129" si="9">VLOOKUP(L66,Department,2,FALSE)</f>
        <v>3</v>
      </c>
      <c r="N66" s="20" t="s">
        <v>37</v>
      </c>
      <c r="O66" s="20">
        <f t="shared" si="7"/>
        <v>3</v>
      </c>
      <c r="P66" s="20" t="s">
        <v>30</v>
      </c>
      <c r="Q66" s="21" t="s">
        <v>29</v>
      </c>
      <c r="R66" s="40">
        <f>VLOOKUP(Master19[[#This Row],[Elevated Priority]],Epriority,2,)</f>
        <v>0</v>
      </c>
      <c r="S66" s="20" t="e">
        <f>IF(Master19[[#This Row],[Status]]="Active",Master19[[#This Row],[Status_Score]],IF(C66="","",K66+G66+M66+O66+R66-5))</f>
        <v>#N/A</v>
      </c>
    </row>
    <row r="67" spans="1:21" ht="60" hidden="1" x14ac:dyDescent="0.25">
      <c r="A67" s="10">
        <v>66</v>
      </c>
      <c r="B67" s="11" t="s">
        <v>73</v>
      </c>
      <c r="C67" s="11" t="s">
        <v>177</v>
      </c>
      <c r="D67" s="11" t="s">
        <v>178</v>
      </c>
      <c r="E67" s="11" t="s">
        <v>179</v>
      </c>
      <c r="F67" s="11" t="s">
        <v>29</v>
      </c>
      <c r="G67" s="11">
        <f t="shared" si="8"/>
        <v>0</v>
      </c>
      <c r="H67" s="12">
        <v>15000</v>
      </c>
      <c r="I67" s="13">
        <v>2018</v>
      </c>
      <c r="J67" s="11" t="s">
        <v>36</v>
      </c>
      <c r="K67" s="13">
        <f t="shared" si="6"/>
        <v>10</v>
      </c>
      <c r="L67" s="20">
        <v>3</v>
      </c>
      <c r="M67" s="8">
        <f t="shared" si="9"/>
        <v>9</v>
      </c>
      <c r="N67" s="20" t="s">
        <v>41</v>
      </c>
      <c r="O67" s="20">
        <f t="shared" si="7"/>
        <v>4</v>
      </c>
      <c r="P67" s="20" t="s">
        <v>30</v>
      </c>
      <c r="Q67" s="21" t="s">
        <v>29</v>
      </c>
      <c r="R67" s="40">
        <f>VLOOKUP(Master19[[#This Row],[Elevated Priority]],Epriority,2,)</f>
        <v>0</v>
      </c>
      <c r="S67" s="20">
        <f>IF(Master19[[#This Row],[Status]]="Active",Master19[[#This Row],[Status_Score]],IF(C67="","",K67+G67+M67+O67+R67-5))</f>
        <v>18</v>
      </c>
    </row>
    <row r="68" spans="1:21" ht="45" hidden="1" x14ac:dyDescent="0.25">
      <c r="A68" s="10">
        <v>67</v>
      </c>
      <c r="B68" s="11" t="s">
        <v>61</v>
      </c>
      <c r="C68" s="38" t="s">
        <v>182</v>
      </c>
      <c r="D68" s="38" t="s">
        <v>183</v>
      </c>
      <c r="E68" s="38" t="s">
        <v>184</v>
      </c>
      <c r="F68" s="11" t="s">
        <v>29</v>
      </c>
      <c r="G68" s="11">
        <f t="shared" si="8"/>
        <v>0</v>
      </c>
      <c r="H68" s="12">
        <v>450000</v>
      </c>
      <c r="I68" s="13">
        <v>2018</v>
      </c>
      <c r="J68" s="11" t="s">
        <v>36</v>
      </c>
      <c r="K68" s="13">
        <f t="shared" si="6"/>
        <v>10</v>
      </c>
      <c r="L68" s="20">
        <v>3</v>
      </c>
      <c r="M68" s="8">
        <f t="shared" si="9"/>
        <v>9</v>
      </c>
      <c r="N68" s="20" t="s">
        <v>41</v>
      </c>
      <c r="O68" s="20">
        <f t="shared" si="7"/>
        <v>4</v>
      </c>
      <c r="P68" s="20" t="s">
        <v>30</v>
      </c>
      <c r="Q68" s="21" t="s">
        <v>29</v>
      </c>
      <c r="R68" s="40">
        <f>VLOOKUP(Master19[[#This Row],[Elevated Priority]],Epriority,2,)</f>
        <v>0</v>
      </c>
      <c r="S68" s="20">
        <f>IF(Master19[[#This Row],[Status]]="Active",Master19[[#This Row],[Status_Score]],IF(C68="","",K68+G68+M68+O68+R68-5))</f>
        <v>18</v>
      </c>
    </row>
    <row r="69" spans="1:21" hidden="1" x14ac:dyDescent="0.25">
      <c r="A69" s="10">
        <v>68</v>
      </c>
      <c r="B69" s="11" t="s">
        <v>70</v>
      </c>
      <c r="C69" s="11" t="s">
        <v>188</v>
      </c>
      <c r="D69" s="11" t="s">
        <v>189</v>
      </c>
      <c r="E69" s="11" t="s">
        <v>190</v>
      </c>
      <c r="F69" s="11" t="s">
        <v>29</v>
      </c>
      <c r="G69" s="11">
        <f t="shared" si="8"/>
        <v>0</v>
      </c>
      <c r="H69" s="12">
        <v>150000</v>
      </c>
      <c r="I69" s="13">
        <v>2018</v>
      </c>
      <c r="J69" s="11" t="s">
        <v>40</v>
      </c>
      <c r="K69" s="13" t="e">
        <f t="shared" si="6"/>
        <v>#N/A</v>
      </c>
      <c r="L69" s="20" t="s">
        <v>29</v>
      </c>
      <c r="M69" s="8">
        <f t="shared" si="9"/>
        <v>0</v>
      </c>
      <c r="N69" s="20" t="s">
        <v>41</v>
      </c>
      <c r="O69" s="20">
        <f t="shared" si="7"/>
        <v>4</v>
      </c>
      <c r="P69" s="20" t="s">
        <v>30</v>
      </c>
      <c r="Q69" s="21" t="s">
        <v>29</v>
      </c>
      <c r="R69" s="40">
        <f>VLOOKUP(Master19[[#This Row],[Elevated Priority]],Epriority,2,)</f>
        <v>0</v>
      </c>
      <c r="S69" s="20" t="e">
        <f>IF(Master19[[#This Row],[Status]]="Active",Master19[[#This Row],[Status_Score]],IF(C69="","",K69+G69+M69+O69+R69-5))</f>
        <v>#N/A</v>
      </c>
      <c r="T69" s="10"/>
    </row>
    <row r="70" spans="1:21" ht="120" hidden="1" x14ac:dyDescent="0.25">
      <c r="A70" s="10">
        <v>69</v>
      </c>
      <c r="B70" s="11" t="s">
        <v>65</v>
      </c>
      <c r="C70" s="11" t="s">
        <v>191</v>
      </c>
      <c r="D70" s="11" t="s">
        <v>192</v>
      </c>
      <c r="E70" s="11" t="s">
        <v>193</v>
      </c>
      <c r="F70" s="11" t="s">
        <v>29</v>
      </c>
      <c r="G70" s="11">
        <f t="shared" si="8"/>
        <v>0</v>
      </c>
      <c r="H70" s="12">
        <v>300000</v>
      </c>
      <c r="I70" s="13">
        <v>2018</v>
      </c>
      <c r="J70" s="11" t="s">
        <v>32</v>
      </c>
      <c r="K70" s="13">
        <f t="shared" si="6"/>
        <v>1</v>
      </c>
      <c r="L70" s="20">
        <v>4</v>
      </c>
      <c r="M70" s="8">
        <f t="shared" si="9"/>
        <v>12</v>
      </c>
      <c r="N70" s="20" t="s">
        <v>43</v>
      </c>
      <c r="O70" s="20">
        <f t="shared" si="7"/>
        <v>16</v>
      </c>
      <c r="P70" s="20" t="s">
        <v>34</v>
      </c>
      <c r="Q70" s="21" t="s">
        <v>29</v>
      </c>
      <c r="R70" s="40">
        <f>VLOOKUP(Master19[[#This Row],[Elevated Priority]],Epriority,2,)</f>
        <v>0</v>
      </c>
      <c r="S70" s="20">
        <f>IF(Master19[[#This Row],[Status]]="Active",Master19[[#This Row],[Status_Score]],IF(C70="","",K70+G70+M70+O70+R70-5))</f>
        <v>24</v>
      </c>
    </row>
    <row r="71" spans="1:21" ht="30" hidden="1" x14ac:dyDescent="0.25">
      <c r="A71" s="10">
        <v>70</v>
      </c>
      <c r="B71" s="11" t="s">
        <v>79</v>
      </c>
      <c r="C71" s="11" t="s">
        <v>199</v>
      </c>
      <c r="D71" s="11" t="s">
        <v>200</v>
      </c>
      <c r="E71" s="11" t="s">
        <v>201</v>
      </c>
      <c r="F71" s="11" t="s">
        <v>29</v>
      </c>
      <c r="G71" s="11">
        <f t="shared" si="8"/>
        <v>0</v>
      </c>
      <c r="H71" s="12">
        <v>30000</v>
      </c>
      <c r="I71" s="13">
        <v>2018</v>
      </c>
      <c r="J71" s="11" t="s">
        <v>36</v>
      </c>
      <c r="K71" s="13">
        <f t="shared" si="6"/>
        <v>10</v>
      </c>
      <c r="L71" s="20">
        <v>4</v>
      </c>
      <c r="M71" s="8">
        <f t="shared" si="9"/>
        <v>12</v>
      </c>
      <c r="N71" s="20" t="s">
        <v>41</v>
      </c>
      <c r="O71" s="20">
        <f t="shared" si="7"/>
        <v>4</v>
      </c>
      <c r="P71" s="20" t="s">
        <v>30</v>
      </c>
      <c r="Q71" s="21" t="s">
        <v>29</v>
      </c>
      <c r="R71" s="40">
        <f>VLOOKUP(Master19[[#This Row],[Elevated Priority]],Epriority,2,)</f>
        <v>0</v>
      </c>
      <c r="S71" s="20">
        <f>IF(Master19[[#This Row],[Status]]="Active",Master19[[#This Row],[Status_Score]],IF(C71="","",K71+G71+M71+O71+R71-5))</f>
        <v>21</v>
      </c>
      <c r="U71" s="28"/>
    </row>
    <row r="72" spans="1:21" ht="30" hidden="1" x14ac:dyDescent="0.25">
      <c r="A72" s="10">
        <v>71</v>
      </c>
      <c r="B72" s="11" t="s">
        <v>79</v>
      </c>
      <c r="C72" s="11" t="s">
        <v>202</v>
      </c>
      <c r="D72" s="11" t="s">
        <v>203</v>
      </c>
      <c r="E72" s="11" t="s">
        <v>204</v>
      </c>
      <c r="F72" s="11" t="s">
        <v>29</v>
      </c>
      <c r="G72" s="11">
        <f t="shared" si="8"/>
        <v>0</v>
      </c>
      <c r="H72" s="12">
        <v>15000</v>
      </c>
      <c r="I72" s="13">
        <v>2018</v>
      </c>
      <c r="J72" s="11" t="s">
        <v>36</v>
      </c>
      <c r="K72" s="13">
        <f t="shared" si="6"/>
        <v>10</v>
      </c>
      <c r="L72" s="20">
        <v>4</v>
      </c>
      <c r="M72" s="8">
        <f t="shared" si="9"/>
        <v>12</v>
      </c>
      <c r="N72" s="20" t="s">
        <v>41</v>
      </c>
      <c r="O72" s="20">
        <f t="shared" si="7"/>
        <v>4</v>
      </c>
      <c r="P72" s="20" t="s">
        <v>30</v>
      </c>
      <c r="Q72" s="21" t="s">
        <v>29</v>
      </c>
      <c r="R72" s="40">
        <f>VLOOKUP(Master19[[#This Row],[Elevated Priority]],Epriority,2,)</f>
        <v>0</v>
      </c>
      <c r="S72" s="20">
        <f>IF(Master19[[#This Row],[Status]]="Active",Master19[[#This Row],[Status_Score]],IF(C72="","",K72+G72+M72+O72+R72-5))</f>
        <v>21</v>
      </c>
      <c r="U72" t="s">
        <v>657</v>
      </c>
    </row>
    <row r="73" spans="1:21" ht="210" hidden="1" x14ac:dyDescent="0.25">
      <c r="A73" s="10">
        <v>72</v>
      </c>
      <c r="B73" s="11" t="s">
        <v>159</v>
      </c>
      <c r="C73" s="11" t="s">
        <v>262</v>
      </c>
      <c r="D73" s="11" t="s">
        <v>263</v>
      </c>
      <c r="E73" s="11" t="s">
        <v>264</v>
      </c>
      <c r="F73" s="11" t="s">
        <v>29</v>
      </c>
      <c r="G73" s="11">
        <f t="shared" si="8"/>
        <v>0</v>
      </c>
      <c r="H73" s="12">
        <v>500000</v>
      </c>
      <c r="I73" s="13">
        <v>2018</v>
      </c>
      <c r="J73" s="11" t="s">
        <v>40</v>
      </c>
      <c r="K73" s="13" t="e">
        <f t="shared" si="6"/>
        <v>#N/A</v>
      </c>
      <c r="L73" s="20">
        <v>3</v>
      </c>
      <c r="M73" s="8">
        <f t="shared" si="9"/>
        <v>9</v>
      </c>
      <c r="N73" s="20" t="s">
        <v>33</v>
      </c>
      <c r="O73" s="20">
        <f t="shared" si="7"/>
        <v>1</v>
      </c>
      <c r="P73" s="20" t="s">
        <v>30</v>
      </c>
      <c r="Q73" s="21" t="s">
        <v>29</v>
      </c>
      <c r="R73" s="40">
        <f>VLOOKUP(Master19[[#This Row],[Elevated Priority]],Epriority,2,)</f>
        <v>0</v>
      </c>
      <c r="S73" s="20" t="e">
        <f>IF(Master19[[#This Row],[Status]]="Active",Master19[[#This Row],[Status_Score]],IF(C73="","",K73+G73+M73+O73+R73-5))</f>
        <v>#N/A</v>
      </c>
      <c r="U73" t="s">
        <v>661</v>
      </c>
    </row>
    <row r="74" spans="1:21" s="28" customFormat="1" ht="135" hidden="1" x14ac:dyDescent="0.25">
      <c r="A74" s="10">
        <v>73</v>
      </c>
      <c r="B74" s="11" t="s">
        <v>73</v>
      </c>
      <c r="C74" s="11" t="s">
        <v>107</v>
      </c>
      <c r="D74" s="11" t="s">
        <v>108</v>
      </c>
      <c r="E74" s="11" t="s">
        <v>109</v>
      </c>
      <c r="F74" s="11" t="s">
        <v>29</v>
      </c>
      <c r="G74" s="11">
        <f t="shared" si="8"/>
        <v>0</v>
      </c>
      <c r="H74" s="12">
        <v>25000</v>
      </c>
      <c r="I74" s="13">
        <v>2018</v>
      </c>
      <c r="J74" s="11" t="s">
        <v>40</v>
      </c>
      <c r="K74" s="13" t="e">
        <f t="shared" si="6"/>
        <v>#N/A</v>
      </c>
      <c r="L74" s="20">
        <v>1</v>
      </c>
      <c r="M74" s="8">
        <f t="shared" si="9"/>
        <v>3</v>
      </c>
      <c r="N74" s="20" t="s">
        <v>41</v>
      </c>
      <c r="O74" s="20">
        <f t="shared" si="7"/>
        <v>4</v>
      </c>
      <c r="P74" s="20" t="s">
        <v>30</v>
      </c>
      <c r="Q74" s="21" t="s">
        <v>29</v>
      </c>
      <c r="R74" s="40">
        <f>VLOOKUP(Master19[[#This Row],[Elevated Priority]],Epriority,2,)</f>
        <v>0</v>
      </c>
      <c r="S74" s="20" t="e">
        <f>IF(Master19[[#This Row],[Status]]="Active",Master19[[#This Row],[Status_Score]],IF(C74="","",K74+G74+M74+O74+R74-5))</f>
        <v>#N/A</v>
      </c>
      <c r="T74" s="1"/>
      <c r="U74"/>
    </row>
    <row r="75" spans="1:21" ht="30" hidden="1" x14ac:dyDescent="0.25">
      <c r="A75" s="10">
        <v>74</v>
      </c>
      <c r="B75" s="11" t="s">
        <v>65</v>
      </c>
      <c r="C75" s="11" t="s">
        <v>208</v>
      </c>
      <c r="D75" s="11" t="s">
        <v>209</v>
      </c>
      <c r="E75" s="11" t="s">
        <v>210</v>
      </c>
      <c r="F75" s="11" t="s">
        <v>29</v>
      </c>
      <c r="G75" s="11">
        <f t="shared" si="8"/>
        <v>0</v>
      </c>
      <c r="H75" s="12">
        <v>250000</v>
      </c>
      <c r="I75" s="13">
        <v>2018</v>
      </c>
      <c r="J75" s="11" t="s">
        <v>40</v>
      </c>
      <c r="K75" s="13" t="e">
        <f t="shared" si="6"/>
        <v>#N/A</v>
      </c>
      <c r="L75" s="20">
        <v>1</v>
      </c>
      <c r="M75" s="8">
        <f t="shared" si="9"/>
        <v>3</v>
      </c>
      <c r="N75" s="20" t="s">
        <v>41</v>
      </c>
      <c r="O75" s="20">
        <f t="shared" si="7"/>
        <v>4</v>
      </c>
      <c r="P75" s="20" t="s">
        <v>30</v>
      </c>
      <c r="Q75" s="21" t="s">
        <v>29</v>
      </c>
      <c r="R75" s="40">
        <f>VLOOKUP(Master19[[#This Row],[Elevated Priority]],Epriority,2,)</f>
        <v>0</v>
      </c>
      <c r="S75" s="20" t="e">
        <f>IF(Master19[[#This Row],[Status]]="Active",Master19[[#This Row],[Status_Score]],IF(C75="","",K75+G75+M75+O75+R75-5))</f>
        <v>#N/A</v>
      </c>
    </row>
    <row r="76" spans="1:21" ht="360" hidden="1" x14ac:dyDescent="0.25">
      <c r="A76" s="10">
        <v>75</v>
      </c>
      <c r="B76" s="11" t="s">
        <v>659</v>
      </c>
      <c r="C76" s="11" t="s">
        <v>211</v>
      </c>
      <c r="D76" s="11" t="s">
        <v>212</v>
      </c>
      <c r="E76" s="11" t="s">
        <v>213</v>
      </c>
      <c r="F76" s="11" t="s">
        <v>29</v>
      </c>
      <c r="G76" s="11">
        <f t="shared" si="8"/>
        <v>0</v>
      </c>
      <c r="H76" s="12">
        <v>25000</v>
      </c>
      <c r="I76" s="13">
        <v>2018</v>
      </c>
      <c r="J76" s="11" t="s">
        <v>40</v>
      </c>
      <c r="K76" s="13" t="e">
        <f t="shared" si="6"/>
        <v>#N/A</v>
      </c>
      <c r="L76" s="20">
        <v>1</v>
      </c>
      <c r="M76" s="8">
        <f t="shared" si="9"/>
        <v>3</v>
      </c>
      <c r="N76" s="20" t="s">
        <v>41</v>
      </c>
      <c r="O76" s="20">
        <f t="shared" si="7"/>
        <v>4</v>
      </c>
      <c r="P76" s="20" t="s">
        <v>30</v>
      </c>
      <c r="Q76" s="21" t="s">
        <v>29</v>
      </c>
      <c r="R76" s="40">
        <f>VLOOKUP(Master19[[#This Row],[Elevated Priority]],Epriority,2,)</f>
        <v>0</v>
      </c>
      <c r="S76" s="20" t="e">
        <f>IF(Master19[[#This Row],[Status]]="Active",Master19[[#This Row],[Status_Score]],IF(C76="","",K76+G76+M76+O76+R76-5))</f>
        <v>#N/A</v>
      </c>
    </row>
    <row r="77" spans="1:21" ht="30" hidden="1" x14ac:dyDescent="0.25">
      <c r="A77" s="10">
        <v>76</v>
      </c>
      <c r="B77" s="11" t="s">
        <v>214</v>
      </c>
      <c r="C77" s="38" t="s">
        <v>215</v>
      </c>
      <c r="D77" s="38" t="s">
        <v>216</v>
      </c>
      <c r="E77" s="38" t="s">
        <v>658</v>
      </c>
      <c r="F77" s="11" t="s">
        <v>29</v>
      </c>
      <c r="G77" s="11">
        <f t="shared" si="8"/>
        <v>0</v>
      </c>
      <c r="H77" s="12">
        <v>250000</v>
      </c>
      <c r="I77" s="13">
        <v>2018</v>
      </c>
      <c r="J77" s="11" t="s">
        <v>40</v>
      </c>
      <c r="K77" s="13" t="e">
        <f t="shared" si="6"/>
        <v>#N/A</v>
      </c>
      <c r="L77" s="20">
        <v>1</v>
      </c>
      <c r="M77" s="8">
        <f t="shared" si="9"/>
        <v>3</v>
      </c>
      <c r="N77" s="20" t="s">
        <v>41</v>
      </c>
      <c r="O77" s="20">
        <f t="shared" si="7"/>
        <v>4</v>
      </c>
      <c r="P77" s="20" t="s">
        <v>30</v>
      </c>
      <c r="Q77" s="21" t="s">
        <v>29</v>
      </c>
      <c r="R77" s="40">
        <f>VLOOKUP(Master19[[#This Row],[Elevated Priority]],Epriority,2,)</f>
        <v>0</v>
      </c>
      <c r="S77" s="20" t="e">
        <f>IF(Master19[[#This Row],[Status]]="Active",Master19[[#This Row],[Status_Score]],IF(C77="","",K77+G77+M77+O77+R77-5))</f>
        <v>#N/A</v>
      </c>
    </row>
    <row r="78" spans="1:21" ht="105" hidden="1" x14ac:dyDescent="0.25">
      <c r="A78" s="10">
        <v>77</v>
      </c>
      <c r="B78" s="11" t="s">
        <v>73</v>
      </c>
      <c r="C78" s="11" t="s">
        <v>257</v>
      </c>
      <c r="D78" s="11" t="s">
        <v>258</v>
      </c>
      <c r="E78" s="11" t="s">
        <v>259</v>
      </c>
      <c r="F78" s="11" t="s">
        <v>29</v>
      </c>
      <c r="G78" s="11">
        <f t="shared" si="8"/>
        <v>0</v>
      </c>
      <c r="H78" s="12">
        <v>35000</v>
      </c>
      <c r="I78" s="13">
        <v>2018</v>
      </c>
      <c r="J78" s="11" t="s">
        <v>40</v>
      </c>
      <c r="K78" s="13" t="e">
        <f t="shared" si="6"/>
        <v>#N/A</v>
      </c>
      <c r="L78" s="20">
        <v>1</v>
      </c>
      <c r="M78" s="8">
        <f t="shared" si="9"/>
        <v>3</v>
      </c>
      <c r="N78" s="20" t="s">
        <v>41</v>
      </c>
      <c r="O78" s="20">
        <f t="shared" si="7"/>
        <v>4</v>
      </c>
      <c r="P78" s="20" t="s">
        <v>30</v>
      </c>
      <c r="Q78" s="21" t="s">
        <v>29</v>
      </c>
      <c r="R78" s="40">
        <f>VLOOKUP(Master19[[#This Row],[Elevated Priority]],Epriority,2,)</f>
        <v>0</v>
      </c>
      <c r="S78" s="20" t="e">
        <f>IF(Master19[[#This Row],[Status]]="Active",Master19[[#This Row],[Status_Score]],IF(C78="","",K78+G78+M78+O78+R78-5))</f>
        <v>#N/A</v>
      </c>
    </row>
    <row r="79" spans="1:21" ht="45" hidden="1" x14ac:dyDescent="0.25">
      <c r="A79" s="10">
        <v>78</v>
      </c>
      <c r="B79" s="11" t="s">
        <v>61</v>
      </c>
      <c r="C79" s="38" t="s">
        <v>217</v>
      </c>
      <c r="D79" s="38" t="s">
        <v>218</v>
      </c>
      <c r="E79" s="38" t="s">
        <v>219</v>
      </c>
      <c r="F79" s="11" t="s">
        <v>29</v>
      </c>
      <c r="G79" s="11">
        <f t="shared" si="8"/>
        <v>0</v>
      </c>
      <c r="H79" s="12">
        <v>1500000</v>
      </c>
      <c r="I79" s="13">
        <v>2018</v>
      </c>
      <c r="J79" s="11" t="s">
        <v>36</v>
      </c>
      <c r="K79" s="13">
        <f t="shared" si="6"/>
        <v>10</v>
      </c>
      <c r="L79" s="20">
        <v>2</v>
      </c>
      <c r="M79" s="8">
        <f t="shared" si="9"/>
        <v>6</v>
      </c>
      <c r="N79" s="20" t="s">
        <v>43</v>
      </c>
      <c r="O79" s="20">
        <f t="shared" si="7"/>
        <v>16</v>
      </c>
      <c r="P79" s="20" t="s">
        <v>34</v>
      </c>
      <c r="Q79" s="21" t="s">
        <v>29</v>
      </c>
      <c r="R79" s="40">
        <f>VLOOKUP(Master19[[#This Row],[Elevated Priority]],Epriority,2,)</f>
        <v>0</v>
      </c>
      <c r="S79" s="20">
        <f>IF(Master19[[#This Row],[Status]]="Active",Master19[[#This Row],[Status_Score]],IF(C79="","",K79+G79+M79+O79+R79-5))</f>
        <v>27</v>
      </c>
    </row>
    <row r="80" spans="1:21" ht="45" hidden="1" x14ac:dyDescent="0.25">
      <c r="A80" s="10">
        <v>79</v>
      </c>
      <c r="B80" s="11" t="s">
        <v>655</v>
      </c>
      <c r="C80" s="11" t="s">
        <v>584</v>
      </c>
      <c r="D80" s="11" t="s">
        <v>585</v>
      </c>
      <c r="E80" s="11"/>
      <c r="F80" s="11" t="s">
        <v>29</v>
      </c>
      <c r="G80" s="11">
        <f t="shared" si="8"/>
        <v>0</v>
      </c>
      <c r="H80" s="12">
        <v>300000</v>
      </c>
      <c r="I80" s="21">
        <v>2019</v>
      </c>
      <c r="J80" s="11" t="s">
        <v>36</v>
      </c>
      <c r="K80" s="13">
        <f t="shared" si="6"/>
        <v>10</v>
      </c>
      <c r="L80" s="20">
        <v>10</v>
      </c>
      <c r="M80" s="8">
        <f t="shared" si="9"/>
        <v>21</v>
      </c>
      <c r="N80" s="20" t="s">
        <v>33</v>
      </c>
      <c r="O80" s="20">
        <f t="shared" si="7"/>
        <v>1</v>
      </c>
      <c r="P80" s="20" t="s">
        <v>30</v>
      </c>
      <c r="Q80" s="21" t="s">
        <v>29</v>
      </c>
      <c r="R80" s="40">
        <f>VLOOKUP(Master19[[#This Row],[Elevated Priority]],Epriority,2,)</f>
        <v>0</v>
      </c>
      <c r="S80" s="20">
        <f>IF(Master19[[#This Row],[Status]]="Active",Master19[[#This Row],[Status_Score]],IF(C80="","",K80+G80+M80+O80+R80-5))</f>
        <v>27</v>
      </c>
      <c r="T80" s="91"/>
      <c r="U80" t="s">
        <v>654</v>
      </c>
    </row>
    <row r="81" spans="1:21" ht="30" hidden="1" x14ac:dyDescent="0.25">
      <c r="A81" s="10">
        <v>80</v>
      </c>
      <c r="B81" s="11" t="s">
        <v>67</v>
      </c>
      <c r="C81" s="11" t="s">
        <v>205</v>
      </c>
      <c r="D81" s="11" t="s">
        <v>206</v>
      </c>
      <c r="E81" s="11" t="s">
        <v>207</v>
      </c>
      <c r="F81" s="11" t="s">
        <v>29</v>
      </c>
      <c r="G81" s="11">
        <f t="shared" si="8"/>
        <v>0</v>
      </c>
      <c r="H81" s="12">
        <v>2000000</v>
      </c>
      <c r="I81" s="13">
        <v>2018</v>
      </c>
      <c r="J81" s="11" t="s">
        <v>40</v>
      </c>
      <c r="K81" s="13" t="e">
        <f t="shared" si="6"/>
        <v>#N/A</v>
      </c>
      <c r="L81" s="20">
        <v>2</v>
      </c>
      <c r="M81" s="8">
        <f t="shared" si="9"/>
        <v>6</v>
      </c>
      <c r="N81" s="20" t="s">
        <v>41</v>
      </c>
      <c r="O81" s="20">
        <f t="shared" si="7"/>
        <v>4</v>
      </c>
      <c r="P81" s="20" t="s">
        <v>34</v>
      </c>
      <c r="Q81" s="21" t="s">
        <v>29</v>
      </c>
      <c r="R81" s="40">
        <f>VLOOKUP(Master19[[#This Row],[Elevated Priority]],Epriority,2,)</f>
        <v>0</v>
      </c>
      <c r="S81" s="20" t="e">
        <f>IF(Master19[[#This Row],[Status]]="Active",Master19[[#This Row],[Status_Score]],IF(C81="","",K81+G81+M81+O81+R81-5))</f>
        <v>#N/A</v>
      </c>
    </row>
    <row r="82" spans="1:21" ht="120" hidden="1" x14ac:dyDescent="0.25">
      <c r="A82" s="10">
        <v>81</v>
      </c>
      <c r="B82" s="11" t="s">
        <v>220</v>
      </c>
      <c r="C82" s="38" t="s">
        <v>221</v>
      </c>
      <c r="D82" s="62" t="s">
        <v>222</v>
      </c>
      <c r="E82" s="62" t="s">
        <v>223</v>
      </c>
      <c r="F82" s="11" t="s">
        <v>29</v>
      </c>
      <c r="G82" s="11">
        <f t="shared" si="8"/>
        <v>0</v>
      </c>
      <c r="H82" s="12" t="s">
        <v>224</v>
      </c>
      <c r="I82" s="13">
        <v>2018</v>
      </c>
      <c r="J82" s="11" t="s">
        <v>40</v>
      </c>
      <c r="K82" s="13" t="e">
        <f t="shared" si="6"/>
        <v>#N/A</v>
      </c>
      <c r="L82" s="20">
        <v>2</v>
      </c>
      <c r="M82" s="8">
        <f t="shared" si="9"/>
        <v>6</v>
      </c>
      <c r="N82" s="20" t="s">
        <v>41</v>
      </c>
      <c r="O82" s="20">
        <f t="shared" si="7"/>
        <v>4</v>
      </c>
      <c r="P82" s="20" t="s">
        <v>34</v>
      </c>
      <c r="Q82" s="21" t="s">
        <v>29</v>
      </c>
      <c r="R82" s="40">
        <f>VLOOKUP(Master19[[#This Row],[Elevated Priority]],Epriority,2,)</f>
        <v>0</v>
      </c>
      <c r="S82" s="20" t="e">
        <f>IF(Master19[[#This Row],[Status]]="Active",Master19[[#This Row],[Status_Score]],IF(C82="","",K82+G82+M82+O82+R82-5))</f>
        <v>#N/A</v>
      </c>
      <c r="U82" t="s">
        <v>660</v>
      </c>
    </row>
    <row r="83" spans="1:21" ht="90" hidden="1" x14ac:dyDescent="0.25">
      <c r="A83" s="10">
        <v>82</v>
      </c>
      <c r="B83" s="11" t="s">
        <v>214</v>
      </c>
      <c r="C83" s="38" t="s">
        <v>225</v>
      </c>
      <c r="D83" s="38" t="s">
        <v>226</v>
      </c>
      <c r="E83" s="38" t="s">
        <v>227</v>
      </c>
      <c r="F83" s="11" t="s">
        <v>29</v>
      </c>
      <c r="G83" s="11">
        <f t="shared" si="8"/>
        <v>0</v>
      </c>
      <c r="H83" s="12">
        <v>250000</v>
      </c>
      <c r="I83" s="13">
        <v>2018</v>
      </c>
      <c r="J83" s="11" t="s">
        <v>40</v>
      </c>
      <c r="K83" s="13" t="e">
        <f t="shared" si="6"/>
        <v>#N/A</v>
      </c>
      <c r="L83" s="20">
        <v>2</v>
      </c>
      <c r="M83" s="8">
        <f t="shared" si="9"/>
        <v>6</v>
      </c>
      <c r="N83" s="20" t="s">
        <v>41</v>
      </c>
      <c r="O83" s="20">
        <f t="shared" si="7"/>
        <v>4</v>
      </c>
      <c r="P83" s="20" t="s">
        <v>30</v>
      </c>
      <c r="Q83" s="21" t="s">
        <v>29</v>
      </c>
      <c r="R83" s="40">
        <f>VLOOKUP(Master19[[#This Row],[Elevated Priority]],Epriority,2,)</f>
        <v>0</v>
      </c>
      <c r="S83" s="20" t="e">
        <f>IF(Master19[[#This Row],[Status]]="Active",Master19[[#This Row],[Status_Score]],IF(C83="","",K83+G83+M83+O83+R83-5))</f>
        <v>#N/A</v>
      </c>
    </row>
    <row r="84" spans="1:21" ht="105" hidden="1" x14ac:dyDescent="0.25">
      <c r="A84" s="10">
        <v>83</v>
      </c>
      <c r="B84" s="11" t="s">
        <v>152</v>
      </c>
      <c r="C84" s="11" t="s">
        <v>239</v>
      </c>
      <c r="D84" s="11" t="s">
        <v>240</v>
      </c>
      <c r="E84" s="11" t="s">
        <v>241</v>
      </c>
      <c r="F84" s="11" t="s">
        <v>29</v>
      </c>
      <c r="G84" s="11">
        <f t="shared" si="8"/>
        <v>0</v>
      </c>
      <c r="H84" s="12">
        <v>15000</v>
      </c>
      <c r="I84" s="13">
        <v>2018</v>
      </c>
      <c r="J84" s="11" t="s">
        <v>40</v>
      </c>
      <c r="K84" s="13" t="e">
        <f t="shared" si="6"/>
        <v>#N/A</v>
      </c>
      <c r="L84" s="20">
        <v>2</v>
      </c>
      <c r="M84" s="8">
        <f t="shared" si="9"/>
        <v>6</v>
      </c>
      <c r="N84" s="20" t="s">
        <v>41</v>
      </c>
      <c r="O84" s="20">
        <f t="shared" si="7"/>
        <v>4</v>
      </c>
      <c r="P84" s="20" t="s">
        <v>30</v>
      </c>
      <c r="Q84" s="21" t="s">
        <v>29</v>
      </c>
      <c r="R84" s="40">
        <f>VLOOKUP(Master19[[#This Row],[Elevated Priority]],Epriority,2,)</f>
        <v>0</v>
      </c>
      <c r="S84" s="20" t="e">
        <f>IF(Master19[[#This Row],[Status]]="Active",Master19[[#This Row],[Status_Score]],IF(C84="","",K84+G84+M84+O84+R84-5))</f>
        <v>#N/A</v>
      </c>
    </row>
    <row r="85" spans="1:21" ht="30" hidden="1" x14ac:dyDescent="0.25">
      <c r="A85" s="10">
        <v>84</v>
      </c>
      <c r="B85" s="38" t="s">
        <v>94</v>
      </c>
      <c r="C85" s="38" t="s">
        <v>634</v>
      </c>
      <c r="D85" s="38" t="s">
        <v>172</v>
      </c>
      <c r="E85" s="38" t="s">
        <v>635</v>
      </c>
      <c r="F85" s="11" t="s">
        <v>29</v>
      </c>
      <c r="G85" s="11">
        <f t="shared" si="8"/>
        <v>0</v>
      </c>
      <c r="H85" s="12">
        <v>1500000</v>
      </c>
      <c r="I85" s="13">
        <v>2018</v>
      </c>
      <c r="J85" s="11" t="s">
        <v>36</v>
      </c>
      <c r="K85" s="13">
        <f t="shared" si="6"/>
        <v>10</v>
      </c>
      <c r="L85" s="20">
        <v>12</v>
      </c>
      <c r="M85" s="8">
        <f t="shared" si="9"/>
        <v>22</v>
      </c>
      <c r="N85" s="20" t="s">
        <v>37</v>
      </c>
      <c r="O85" s="20">
        <f t="shared" si="7"/>
        <v>3</v>
      </c>
      <c r="P85" s="20" t="s">
        <v>30</v>
      </c>
      <c r="Q85" s="21" t="s">
        <v>29</v>
      </c>
      <c r="R85" s="40">
        <f>VLOOKUP(Master19[[#This Row],[Elevated Priority]],Epriority,2,)</f>
        <v>0</v>
      </c>
      <c r="S85" s="20">
        <f>IF(Master19[[#This Row],[Status]]="Active",Master19[[#This Row],[Status_Score]],IF(C85="","",K85+G85+M85+O85+R85-5))</f>
        <v>30</v>
      </c>
    </row>
    <row r="86" spans="1:21" ht="45" hidden="1" x14ac:dyDescent="0.25">
      <c r="A86" s="10">
        <v>85</v>
      </c>
      <c r="B86" s="11" t="s">
        <v>79</v>
      </c>
      <c r="C86" s="11" t="s">
        <v>245</v>
      </c>
      <c r="D86" s="11" t="s">
        <v>246</v>
      </c>
      <c r="E86" s="11" t="s">
        <v>247</v>
      </c>
      <c r="F86" s="11" t="s">
        <v>29</v>
      </c>
      <c r="G86" s="11">
        <f t="shared" si="8"/>
        <v>0</v>
      </c>
      <c r="H86" s="12">
        <v>20000</v>
      </c>
      <c r="I86" s="13">
        <v>2018</v>
      </c>
      <c r="J86" s="11" t="s">
        <v>40</v>
      </c>
      <c r="K86" s="13" t="e">
        <f t="shared" ref="K86:K117" si="10">VLOOKUP(J86,Importance,2,FALSE)</f>
        <v>#N/A</v>
      </c>
      <c r="L86" s="20">
        <v>4</v>
      </c>
      <c r="M86" s="8">
        <f t="shared" si="9"/>
        <v>12</v>
      </c>
      <c r="N86" s="20" t="s">
        <v>37</v>
      </c>
      <c r="O86" s="20">
        <f t="shared" si="7"/>
        <v>3</v>
      </c>
      <c r="P86" s="20" t="s">
        <v>30</v>
      </c>
      <c r="Q86" s="21" t="s">
        <v>29</v>
      </c>
      <c r="R86" s="40">
        <f>VLOOKUP(Master19[[#This Row],[Elevated Priority]],Epriority,2,)</f>
        <v>0</v>
      </c>
      <c r="S86" s="20" t="e">
        <f>IF(Master19[[#This Row],[Status]]="Active",Master19[[#This Row],[Status_Score]],IF(C86="","",K86+G86+M86+O86+R86-5))</f>
        <v>#N/A</v>
      </c>
    </row>
    <row r="87" spans="1:21" ht="30" hidden="1" x14ac:dyDescent="0.25">
      <c r="A87" s="10">
        <v>86</v>
      </c>
      <c r="B87" s="11" t="s">
        <v>79</v>
      </c>
      <c r="C87" s="11" t="s">
        <v>248</v>
      </c>
      <c r="D87" s="11" t="s">
        <v>249</v>
      </c>
      <c r="E87" s="11" t="s">
        <v>250</v>
      </c>
      <c r="F87" s="11" t="s">
        <v>29</v>
      </c>
      <c r="G87" s="11">
        <f t="shared" si="8"/>
        <v>0</v>
      </c>
      <c r="H87" s="12">
        <v>250000</v>
      </c>
      <c r="I87" s="13">
        <v>2018</v>
      </c>
      <c r="J87" s="11" t="s">
        <v>36</v>
      </c>
      <c r="K87" s="13">
        <f t="shared" si="10"/>
        <v>10</v>
      </c>
      <c r="L87" s="20">
        <v>6</v>
      </c>
      <c r="M87" s="8">
        <f t="shared" si="9"/>
        <v>18</v>
      </c>
      <c r="N87" s="20" t="s">
        <v>41</v>
      </c>
      <c r="O87" s="20">
        <f t="shared" si="7"/>
        <v>4</v>
      </c>
      <c r="P87" s="20" t="s">
        <v>30</v>
      </c>
      <c r="Q87" s="21" t="s">
        <v>29</v>
      </c>
      <c r="R87" s="40">
        <f>VLOOKUP(Master19[[#This Row],[Elevated Priority]],Epriority,2,)</f>
        <v>0</v>
      </c>
      <c r="S87" s="20">
        <f>IF(Master19[[#This Row],[Status]]="Active",Master19[[#This Row],[Status_Score]],IF(C87="","",K87+G87+M87+O87+R87-5))</f>
        <v>27</v>
      </c>
    </row>
    <row r="88" spans="1:21" ht="30" hidden="1" x14ac:dyDescent="0.25">
      <c r="A88" s="10">
        <v>87</v>
      </c>
      <c r="B88" s="11" t="s">
        <v>94</v>
      </c>
      <c r="C88" s="11" t="s">
        <v>604</v>
      </c>
      <c r="D88" s="11" t="s">
        <v>605</v>
      </c>
      <c r="E88" s="69" t="s">
        <v>606</v>
      </c>
      <c r="F88" s="11" t="s">
        <v>29</v>
      </c>
      <c r="G88" s="11">
        <f t="shared" si="8"/>
        <v>0</v>
      </c>
      <c r="H88" s="12">
        <v>500000</v>
      </c>
      <c r="I88" s="21">
        <v>2019</v>
      </c>
      <c r="J88" s="11" t="s">
        <v>36</v>
      </c>
      <c r="K88" s="13">
        <f t="shared" si="10"/>
        <v>10</v>
      </c>
      <c r="L88" s="13">
        <v>18</v>
      </c>
      <c r="M88" s="8">
        <f t="shared" si="9"/>
        <v>25</v>
      </c>
      <c r="N88" s="13" t="s">
        <v>33</v>
      </c>
      <c r="O88" s="20">
        <f t="shared" si="7"/>
        <v>1</v>
      </c>
      <c r="P88" s="13" t="s">
        <v>30</v>
      </c>
      <c r="Q88" s="13" t="s">
        <v>29</v>
      </c>
      <c r="R88" s="40">
        <f>VLOOKUP(Master19[[#This Row],[Elevated Priority]],Epriority,2,)</f>
        <v>0</v>
      </c>
      <c r="S88" s="13">
        <f>IF(Master19[[#This Row],[Status]]="Active",Master19[[#This Row],[Status_Score]],IF(C88="","",K88+G88+M88+O88+R88-5))</f>
        <v>31</v>
      </c>
      <c r="T88" s="91"/>
    </row>
    <row r="89" spans="1:21" x14ac:dyDescent="0.25">
      <c r="A89" s="10">
        <v>88</v>
      </c>
      <c r="B89" s="11" t="s">
        <v>87</v>
      </c>
      <c r="C89" s="11" t="s">
        <v>260</v>
      </c>
      <c r="D89" s="11" t="s">
        <v>261</v>
      </c>
      <c r="E89" s="11"/>
      <c r="F89" s="11" t="s">
        <v>29</v>
      </c>
      <c r="G89" s="11">
        <f t="shared" si="8"/>
        <v>0</v>
      </c>
      <c r="H89" s="12">
        <v>20000</v>
      </c>
      <c r="I89" s="13">
        <v>2018</v>
      </c>
      <c r="J89" s="11" t="s">
        <v>42</v>
      </c>
      <c r="K89" s="13" t="e">
        <f t="shared" si="10"/>
        <v>#N/A</v>
      </c>
      <c r="L89" s="20">
        <v>1</v>
      </c>
      <c r="M89" s="8">
        <f t="shared" si="9"/>
        <v>3</v>
      </c>
      <c r="N89" s="20" t="s">
        <v>37</v>
      </c>
      <c r="O89" s="20">
        <f t="shared" si="7"/>
        <v>3</v>
      </c>
      <c r="P89" s="20" t="s">
        <v>30</v>
      </c>
      <c r="Q89" s="21" t="s">
        <v>29</v>
      </c>
      <c r="R89" s="40">
        <f>VLOOKUP(Master19[[#This Row],[Elevated Priority]],Epriority,2,)</f>
        <v>0</v>
      </c>
      <c r="S89" s="20" t="e">
        <f>IF(Master19[[#This Row],[Status]]="Active",Master19[[#This Row],[Status_Score]],IF(C89="","",K89+G89+M89+O89+R89-5))</f>
        <v>#N/A</v>
      </c>
    </row>
    <row r="90" spans="1:21" ht="75" hidden="1" x14ac:dyDescent="0.25">
      <c r="A90" s="10">
        <v>89</v>
      </c>
      <c r="B90" s="11" t="s">
        <v>79</v>
      </c>
      <c r="C90" s="11" t="s">
        <v>251</v>
      </c>
      <c r="D90" s="11" t="s">
        <v>252</v>
      </c>
      <c r="E90" s="11" t="s">
        <v>253</v>
      </c>
      <c r="F90" s="11" t="s">
        <v>29</v>
      </c>
      <c r="G90" s="11">
        <f t="shared" si="8"/>
        <v>0</v>
      </c>
      <c r="H90" s="12">
        <v>250000</v>
      </c>
      <c r="I90" s="13">
        <v>2018</v>
      </c>
      <c r="J90" s="11" t="s">
        <v>40</v>
      </c>
      <c r="K90" s="13" t="e">
        <f t="shared" si="10"/>
        <v>#N/A</v>
      </c>
      <c r="L90" s="20">
        <v>3</v>
      </c>
      <c r="M90" s="8">
        <f t="shared" si="9"/>
        <v>9</v>
      </c>
      <c r="N90" s="20" t="s">
        <v>41</v>
      </c>
      <c r="O90" s="20">
        <f t="shared" si="7"/>
        <v>4</v>
      </c>
      <c r="P90" s="20" t="s">
        <v>30</v>
      </c>
      <c r="Q90" s="21" t="s">
        <v>29</v>
      </c>
      <c r="R90" s="40">
        <f>VLOOKUP(Master19[[#This Row],[Elevated Priority]],Epriority,2,)</f>
        <v>0</v>
      </c>
      <c r="S90" s="20" t="e">
        <f>IF(Master19[[#This Row],[Status]]="Active",Master19[[#This Row],[Status_Score]],IF(C90="","",K90+G90+M90+O90+R90-5))</f>
        <v>#N/A</v>
      </c>
    </row>
    <row r="91" spans="1:21" ht="30" hidden="1" x14ac:dyDescent="0.25">
      <c r="A91" s="10">
        <v>90</v>
      </c>
      <c r="B91" s="11" t="s">
        <v>79</v>
      </c>
      <c r="C91" s="11" t="s">
        <v>254</v>
      </c>
      <c r="D91" s="11" t="s">
        <v>255</v>
      </c>
      <c r="E91" s="11" t="s">
        <v>256</v>
      </c>
      <c r="F91" s="11" t="s">
        <v>29</v>
      </c>
      <c r="G91" s="11">
        <f t="shared" si="8"/>
        <v>0</v>
      </c>
      <c r="H91" s="12">
        <v>50000</v>
      </c>
      <c r="I91" s="13">
        <v>2018</v>
      </c>
      <c r="J91" s="11" t="s">
        <v>40</v>
      </c>
      <c r="K91" s="13" t="e">
        <f t="shared" si="10"/>
        <v>#N/A</v>
      </c>
      <c r="L91" s="20">
        <v>3</v>
      </c>
      <c r="M91" s="8">
        <f t="shared" si="9"/>
        <v>9</v>
      </c>
      <c r="N91" s="20" t="s">
        <v>41</v>
      </c>
      <c r="O91" s="20">
        <f t="shared" si="7"/>
        <v>4</v>
      </c>
      <c r="P91" s="20" t="s">
        <v>30</v>
      </c>
      <c r="Q91" s="21" t="s">
        <v>29</v>
      </c>
      <c r="R91" s="40">
        <f>VLOOKUP(Master19[[#This Row],[Elevated Priority]],Epriority,2,)</f>
        <v>0</v>
      </c>
      <c r="S91" s="20" t="e">
        <f>IF(Master19[[#This Row],[Status]]="Active",Master19[[#This Row],[Status_Score]],IF(C91="","",K91+G91+M91+O91+R91-5))</f>
        <v>#N/A</v>
      </c>
    </row>
    <row r="92" spans="1:21" ht="45" hidden="1" x14ac:dyDescent="0.25">
      <c r="A92" s="10">
        <v>91</v>
      </c>
      <c r="B92" s="11" t="s">
        <v>61</v>
      </c>
      <c r="C92" s="38" t="s">
        <v>265</v>
      </c>
      <c r="D92" s="38" t="s">
        <v>662</v>
      </c>
      <c r="E92" s="38" t="s">
        <v>266</v>
      </c>
      <c r="F92" s="11" t="s">
        <v>29</v>
      </c>
      <c r="G92" s="11">
        <f t="shared" si="8"/>
        <v>0</v>
      </c>
      <c r="H92" s="12">
        <v>50000</v>
      </c>
      <c r="I92" s="13">
        <v>2018</v>
      </c>
      <c r="J92" s="11" t="s">
        <v>40</v>
      </c>
      <c r="K92" s="13" t="e">
        <f t="shared" si="10"/>
        <v>#N/A</v>
      </c>
      <c r="L92" s="20">
        <v>3</v>
      </c>
      <c r="M92" s="8">
        <f t="shared" si="9"/>
        <v>9</v>
      </c>
      <c r="N92" s="20" t="s">
        <v>41</v>
      </c>
      <c r="O92" s="20">
        <f t="shared" si="7"/>
        <v>4</v>
      </c>
      <c r="P92" s="20" t="s">
        <v>30</v>
      </c>
      <c r="Q92" s="21" t="s">
        <v>29</v>
      </c>
      <c r="R92" s="40">
        <f>VLOOKUP(Master19[[#This Row],[Elevated Priority]],Epriority,2,)</f>
        <v>0</v>
      </c>
      <c r="S92" s="20" t="e">
        <f>IF(Master19[[#This Row],[Status]]="Active",Master19[[#This Row],[Status_Score]],IF(C92="","",K92+G92+M92+O92+R92-5))</f>
        <v>#N/A</v>
      </c>
    </row>
    <row r="93" spans="1:21" ht="135" hidden="1" x14ac:dyDescent="0.25">
      <c r="A93" s="10">
        <v>92</v>
      </c>
      <c r="B93" s="11" t="s">
        <v>152</v>
      </c>
      <c r="C93" s="38" t="s">
        <v>273</v>
      </c>
      <c r="D93" s="38" t="s">
        <v>274</v>
      </c>
      <c r="E93" s="38" t="s">
        <v>275</v>
      </c>
      <c r="F93" s="11" t="s">
        <v>29</v>
      </c>
      <c r="G93" s="11">
        <f t="shared" si="8"/>
        <v>0</v>
      </c>
      <c r="H93" s="12">
        <v>60000</v>
      </c>
      <c r="I93" s="13">
        <v>2018</v>
      </c>
      <c r="J93" s="11" t="s">
        <v>40</v>
      </c>
      <c r="K93" s="13" t="e">
        <f t="shared" si="10"/>
        <v>#N/A</v>
      </c>
      <c r="L93" s="20">
        <v>3</v>
      </c>
      <c r="M93" s="8">
        <f t="shared" si="9"/>
        <v>9</v>
      </c>
      <c r="N93" s="20" t="s">
        <v>41</v>
      </c>
      <c r="O93" s="20">
        <f t="shared" si="7"/>
        <v>4</v>
      </c>
      <c r="P93" s="20" t="s">
        <v>30</v>
      </c>
      <c r="Q93" s="21" t="s">
        <v>29</v>
      </c>
      <c r="R93" s="40">
        <f>VLOOKUP(Master19[[#This Row],[Elevated Priority]],Epriority,2,)</f>
        <v>0</v>
      </c>
      <c r="S93" s="20" t="e">
        <f>IF(Master19[[#This Row],[Status]]="Active",Master19[[#This Row],[Status_Score]],IF(C93="","",K93+G93+M93+O93+R93-5))</f>
        <v>#N/A</v>
      </c>
    </row>
    <row r="94" spans="1:21" ht="30" hidden="1" x14ac:dyDescent="0.25">
      <c r="A94" s="10">
        <v>93</v>
      </c>
      <c r="B94" s="11" t="s">
        <v>70</v>
      </c>
      <c r="C94" s="11" t="s">
        <v>147</v>
      </c>
      <c r="D94" s="11" t="s">
        <v>148</v>
      </c>
      <c r="E94" s="11"/>
      <c r="F94" s="11" t="s">
        <v>29</v>
      </c>
      <c r="G94" s="11">
        <f t="shared" si="8"/>
        <v>0</v>
      </c>
      <c r="H94" s="12">
        <v>75000</v>
      </c>
      <c r="I94" s="13">
        <v>2018</v>
      </c>
      <c r="J94" s="11" t="s">
        <v>32</v>
      </c>
      <c r="K94" s="13">
        <f t="shared" si="10"/>
        <v>1</v>
      </c>
      <c r="L94" s="20">
        <v>7</v>
      </c>
      <c r="M94" s="8">
        <f t="shared" si="9"/>
        <v>20</v>
      </c>
      <c r="N94" s="20" t="s">
        <v>43</v>
      </c>
      <c r="O94" s="20">
        <f t="shared" ref="O94:O125" si="11">VLOOKUP(N94,Urgency,2,FALSE)</f>
        <v>16</v>
      </c>
      <c r="P94" s="20" t="s">
        <v>34</v>
      </c>
      <c r="Q94" s="21" t="s">
        <v>29</v>
      </c>
      <c r="R94" s="40">
        <f>VLOOKUP(Master19[[#This Row],[Elevated Priority]],Epriority,2,)</f>
        <v>0</v>
      </c>
      <c r="S94" s="20">
        <f>IF(Master19[[#This Row],[Status]]="Active",Master19[[#This Row],[Status_Score]],IF(C94="","",K94+G94+M94+O94+R94-5))</f>
        <v>32</v>
      </c>
    </row>
    <row r="95" spans="1:21" ht="60" hidden="1" x14ac:dyDescent="0.25">
      <c r="A95" s="10">
        <v>94</v>
      </c>
      <c r="B95" s="11" t="s">
        <v>299</v>
      </c>
      <c r="C95" s="11" t="s">
        <v>300</v>
      </c>
      <c r="D95" s="11" t="s">
        <v>301</v>
      </c>
      <c r="E95" s="11" t="s">
        <v>302</v>
      </c>
      <c r="F95" s="11" t="s">
        <v>29</v>
      </c>
      <c r="G95" s="11">
        <f t="shared" si="8"/>
        <v>0</v>
      </c>
      <c r="H95" s="22">
        <v>35000</v>
      </c>
      <c r="I95" s="13">
        <v>2018</v>
      </c>
      <c r="J95" s="11" t="s">
        <v>40</v>
      </c>
      <c r="K95" s="13" t="e">
        <f t="shared" si="10"/>
        <v>#N/A</v>
      </c>
      <c r="L95" s="21">
        <v>1</v>
      </c>
      <c r="M95" s="8">
        <f t="shared" si="9"/>
        <v>3</v>
      </c>
      <c r="N95" s="21" t="s">
        <v>43</v>
      </c>
      <c r="O95" s="20">
        <f t="shared" si="11"/>
        <v>16</v>
      </c>
      <c r="P95" s="20" t="s">
        <v>30</v>
      </c>
      <c r="Q95" s="21" t="s">
        <v>29</v>
      </c>
      <c r="R95" s="40">
        <f>VLOOKUP(Master19[[#This Row],[Elevated Priority]],Epriority,2,)</f>
        <v>0</v>
      </c>
      <c r="S95" s="20" t="e">
        <f>IF(Master19[[#This Row],[Status]]="Active",Master19[[#This Row],[Status_Score]],IF(C95="","",K95+G95+M95+O95+R95-5))</f>
        <v>#N/A</v>
      </c>
    </row>
    <row r="96" spans="1:21" ht="285" hidden="1" x14ac:dyDescent="0.25">
      <c r="A96" s="10">
        <v>95</v>
      </c>
      <c r="B96" s="11" t="s">
        <v>73</v>
      </c>
      <c r="C96" s="11" t="s">
        <v>354</v>
      </c>
      <c r="D96" s="11" t="s">
        <v>355</v>
      </c>
      <c r="E96" s="11" t="s">
        <v>356</v>
      </c>
      <c r="F96" s="11" t="s">
        <v>29</v>
      </c>
      <c r="G96" s="11">
        <f t="shared" si="8"/>
        <v>0</v>
      </c>
      <c r="H96" s="12">
        <v>250000</v>
      </c>
      <c r="I96" s="13">
        <v>2018</v>
      </c>
      <c r="J96" s="11" t="s">
        <v>40</v>
      </c>
      <c r="K96" s="13" t="e">
        <f t="shared" si="10"/>
        <v>#N/A</v>
      </c>
      <c r="L96" s="20">
        <v>1</v>
      </c>
      <c r="M96" s="8">
        <f t="shared" si="9"/>
        <v>3</v>
      </c>
      <c r="N96" s="20" t="s">
        <v>43</v>
      </c>
      <c r="O96" s="20">
        <f t="shared" si="11"/>
        <v>16</v>
      </c>
      <c r="P96" s="20" t="s">
        <v>30</v>
      </c>
      <c r="Q96" s="21" t="s">
        <v>29</v>
      </c>
      <c r="R96" s="40">
        <f>VLOOKUP(Master19[[#This Row],[Elevated Priority]],Epriority,2,)</f>
        <v>0</v>
      </c>
      <c r="S96" s="20" t="e">
        <f>IF(Master19[[#This Row],[Status]]="Active",Master19[[#This Row],[Status_Score]],IF(C96="","",K96+G96+M96+O96+R96-5))</f>
        <v>#N/A</v>
      </c>
    </row>
    <row r="97" spans="1:21" ht="30" hidden="1" x14ac:dyDescent="0.25">
      <c r="A97" s="10">
        <v>96</v>
      </c>
      <c r="B97" s="11" t="s">
        <v>214</v>
      </c>
      <c r="C97" s="11" t="s">
        <v>307</v>
      </c>
      <c r="D97" s="11" t="s">
        <v>308</v>
      </c>
      <c r="E97" s="11" t="s">
        <v>309</v>
      </c>
      <c r="F97" s="11" t="s">
        <v>29</v>
      </c>
      <c r="G97" s="11">
        <f t="shared" si="8"/>
        <v>0</v>
      </c>
      <c r="H97" s="12">
        <v>150000</v>
      </c>
      <c r="I97" s="13">
        <v>2018</v>
      </c>
      <c r="J97" s="11" t="s">
        <v>40</v>
      </c>
      <c r="K97" s="13" t="e">
        <f t="shared" si="10"/>
        <v>#N/A</v>
      </c>
      <c r="L97" s="20">
        <v>4</v>
      </c>
      <c r="M97" s="8">
        <f t="shared" si="9"/>
        <v>12</v>
      </c>
      <c r="N97" s="20" t="s">
        <v>41</v>
      </c>
      <c r="O97" s="20">
        <f t="shared" si="11"/>
        <v>4</v>
      </c>
      <c r="P97" s="20" t="s">
        <v>30</v>
      </c>
      <c r="Q97" s="21" t="s">
        <v>29</v>
      </c>
      <c r="R97" s="40">
        <f>VLOOKUP(Master19[[#This Row],[Elevated Priority]],Epriority,2,)</f>
        <v>0</v>
      </c>
      <c r="S97" s="20" t="e">
        <f>IF(Master19[[#This Row],[Status]]="Active",Master19[[#This Row],[Status_Score]],IF(C97="","",K97+G97+M97+O97+R97-5))</f>
        <v>#N/A</v>
      </c>
    </row>
    <row r="98" spans="1:21" ht="30" x14ac:dyDescent="0.25">
      <c r="A98" s="10">
        <v>97</v>
      </c>
      <c r="B98" s="11" t="s">
        <v>87</v>
      </c>
      <c r="C98" s="11" t="s">
        <v>305</v>
      </c>
      <c r="D98" s="11" t="s">
        <v>306</v>
      </c>
      <c r="E98" s="11"/>
      <c r="F98" s="11" t="s">
        <v>29</v>
      </c>
      <c r="G98" s="11">
        <f t="shared" si="8"/>
        <v>0</v>
      </c>
      <c r="H98" s="12"/>
      <c r="I98" s="13">
        <v>2018</v>
      </c>
      <c r="J98" s="11" t="s">
        <v>40</v>
      </c>
      <c r="K98" s="13" t="e">
        <f t="shared" si="10"/>
        <v>#N/A</v>
      </c>
      <c r="L98" s="20">
        <v>4</v>
      </c>
      <c r="M98" s="8">
        <f t="shared" si="9"/>
        <v>12</v>
      </c>
      <c r="N98" s="20" t="s">
        <v>41</v>
      </c>
      <c r="O98" s="20">
        <f t="shared" si="11"/>
        <v>4</v>
      </c>
      <c r="P98" s="20" t="s">
        <v>30</v>
      </c>
      <c r="Q98" s="21" t="s">
        <v>29</v>
      </c>
      <c r="R98" s="40">
        <f>VLOOKUP(Master19[[#This Row],[Elevated Priority]],Epriority,2,)</f>
        <v>0</v>
      </c>
      <c r="S98" s="20" t="e">
        <f>IF(Master19[[#This Row],[Status]]="Active",Master19[[#This Row],[Status_Score]],IF(C98="","",K98+G98+M98+O98+R98-5))</f>
        <v>#N/A</v>
      </c>
    </row>
    <row r="99" spans="1:21" ht="105" hidden="1" x14ac:dyDescent="0.25">
      <c r="A99" s="10">
        <v>98</v>
      </c>
      <c r="B99" s="11" t="s">
        <v>61</v>
      </c>
      <c r="C99" s="11" t="s">
        <v>313</v>
      </c>
      <c r="D99" s="11" t="s">
        <v>314</v>
      </c>
      <c r="E99" s="11" t="s">
        <v>315</v>
      </c>
      <c r="F99" s="11" t="s">
        <v>29</v>
      </c>
      <c r="G99" s="11">
        <f t="shared" si="8"/>
        <v>0</v>
      </c>
      <c r="H99" s="12">
        <v>10000000</v>
      </c>
      <c r="I99" s="13">
        <v>2018</v>
      </c>
      <c r="J99" s="11" t="s">
        <v>42</v>
      </c>
      <c r="K99" s="13" t="e">
        <f t="shared" si="10"/>
        <v>#N/A</v>
      </c>
      <c r="L99" s="20">
        <v>1</v>
      </c>
      <c r="M99" s="8">
        <f t="shared" si="9"/>
        <v>3</v>
      </c>
      <c r="N99" s="20" t="s">
        <v>41</v>
      </c>
      <c r="O99" s="20">
        <f t="shared" si="11"/>
        <v>4</v>
      </c>
      <c r="P99" s="20" t="s">
        <v>34</v>
      </c>
      <c r="Q99" s="21" t="s">
        <v>29</v>
      </c>
      <c r="R99" s="40">
        <f>VLOOKUP(Master19[[#This Row],[Elevated Priority]],Epriority,2,)</f>
        <v>0</v>
      </c>
      <c r="S99" s="20" t="e">
        <f>IF(Master19[[#This Row],[Status]]="Active",Master19[[#This Row],[Status_Score]],IF(C99="","",K99+G99+M99+O99+R99-5))</f>
        <v>#N/A</v>
      </c>
    </row>
    <row r="100" spans="1:21" ht="45" hidden="1" x14ac:dyDescent="0.25">
      <c r="A100" s="10">
        <v>99</v>
      </c>
      <c r="B100" s="11" t="s">
        <v>91</v>
      </c>
      <c r="C100" s="11" t="s">
        <v>242</v>
      </c>
      <c r="D100" s="11" t="s">
        <v>243</v>
      </c>
      <c r="E100" s="11" t="s">
        <v>244</v>
      </c>
      <c r="F100" s="11" t="s">
        <v>29</v>
      </c>
      <c r="G100" s="11">
        <f t="shared" si="8"/>
        <v>0</v>
      </c>
      <c r="H100" s="12">
        <v>350000</v>
      </c>
      <c r="I100" s="13">
        <v>2018</v>
      </c>
      <c r="J100" s="11" t="s">
        <v>36</v>
      </c>
      <c r="K100" s="13">
        <f t="shared" si="10"/>
        <v>10</v>
      </c>
      <c r="L100" s="20">
        <v>5</v>
      </c>
      <c r="M100" s="8">
        <f t="shared" si="9"/>
        <v>15</v>
      </c>
      <c r="N100" s="20" t="s">
        <v>43</v>
      </c>
      <c r="O100" s="20">
        <f t="shared" si="11"/>
        <v>16</v>
      </c>
      <c r="P100" s="20" t="s">
        <v>30</v>
      </c>
      <c r="Q100" s="21" t="s">
        <v>29</v>
      </c>
      <c r="R100" s="40">
        <f>VLOOKUP(Master19[[#This Row],[Elevated Priority]],Epriority,2,)</f>
        <v>0</v>
      </c>
      <c r="S100" s="20">
        <f>IF(Master19[[#This Row],[Status]]="Active",Master19[[#This Row],[Status_Score]],IF(C100="","",K100+G100+M100+O100+R100-5))</f>
        <v>36</v>
      </c>
    </row>
    <row r="101" spans="1:21" ht="45" hidden="1" x14ac:dyDescent="0.25">
      <c r="A101" s="10">
        <v>100</v>
      </c>
      <c r="B101" s="11" t="s">
        <v>79</v>
      </c>
      <c r="C101" s="11" t="s">
        <v>310</v>
      </c>
      <c r="D101" s="11" t="s">
        <v>311</v>
      </c>
      <c r="E101" s="11" t="s">
        <v>312</v>
      </c>
      <c r="F101" s="11" t="s">
        <v>29</v>
      </c>
      <c r="G101" s="11">
        <f t="shared" si="8"/>
        <v>0</v>
      </c>
      <c r="H101" s="12">
        <v>250000</v>
      </c>
      <c r="I101" s="13">
        <v>2018</v>
      </c>
      <c r="J101" s="11" t="s">
        <v>36</v>
      </c>
      <c r="K101" s="13">
        <f t="shared" si="10"/>
        <v>10</v>
      </c>
      <c r="L101" s="20">
        <v>5</v>
      </c>
      <c r="M101" s="8">
        <f t="shared" si="9"/>
        <v>15</v>
      </c>
      <c r="N101" s="20" t="s">
        <v>43</v>
      </c>
      <c r="O101" s="20">
        <f t="shared" si="11"/>
        <v>16</v>
      </c>
      <c r="P101" s="20" t="s">
        <v>34</v>
      </c>
      <c r="Q101" s="21" t="s">
        <v>29</v>
      </c>
      <c r="R101" s="40">
        <f>VLOOKUP(Master19[[#This Row],[Elevated Priority]],Epriority,2,)</f>
        <v>0</v>
      </c>
      <c r="S101" s="20">
        <f>IF(Master19[[#This Row],[Status]]="Active",Master19[[#This Row],[Status_Score]],IF(C101="","",K101+G101+M101+O101+R101-5))</f>
        <v>36</v>
      </c>
    </row>
    <row r="102" spans="1:21" ht="105" hidden="1" x14ac:dyDescent="0.25">
      <c r="A102" s="10">
        <v>101</v>
      </c>
      <c r="B102" s="11" t="s">
        <v>61</v>
      </c>
      <c r="C102" s="11" t="s">
        <v>316</v>
      </c>
      <c r="D102" s="11" t="s">
        <v>317</v>
      </c>
      <c r="E102" s="11" t="s">
        <v>318</v>
      </c>
      <c r="F102" s="11" t="s">
        <v>29</v>
      </c>
      <c r="G102" s="11">
        <f t="shared" si="8"/>
        <v>0</v>
      </c>
      <c r="H102" s="12">
        <v>3000000</v>
      </c>
      <c r="I102" s="13">
        <v>2018</v>
      </c>
      <c r="J102" s="11" t="s">
        <v>40</v>
      </c>
      <c r="K102" s="13" t="e">
        <f t="shared" si="10"/>
        <v>#N/A</v>
      </c>
      <c r="L102" s="20">
        <v>2</v>
      </c>
      <c r="M102" s="8">
        <f t="shared" si="9"/>
        <v>6</v>
      </c>
      <c r="N102" s="20" t="s">
        <v>43</v>
      </c>
      <c r="O102" s="20">
        <f t="shared" si="11"/>
        <v>16</v>
      </c>
      <c r="P102" s="20" t="s">
        <v>34</v>
      </c>
      <c r="Q102" s="21" t="s">
        <v>29</v>
      </c>
      <c r="R102" s="40">
        <f>VLOOKUP(Master19[[#This Row],[Elevated Priority]],Epriority,2,)</f>
        <v>0</v>
      </c>
      <c r="S102" s="20" t="e">
        <f>IF(Master19[[#This Row],[Status]]="Active",Master19[[#This Row],[Status_Score]],IF(C102="","",K102+G102+M102+O102+R102-5))</f>
        <v>#N/A</v>
      </c>
    </row>
    <row r="103" spans="1:21" ht="30" hidden="1" x14ac:dyDescent="0.25">
      <c r="A103" s="10">
        <v>102</v>
      </c>
      <c r="B103" s="11" t="s">
        <v>70</v>
      </c>
      <c r="C103" s="11" t="s">
        <v>294</v>
      </c>
      <c r="D103" s="11" t="s">
        <v>295</v>
      </c>
      <c r="E103" s="11"/>
      <c r="F103" s="11" t="s">
        <v>29</v>
      </c>
      <c r="G103" s="11">
        <f t="shared" si="8"/>
        <v>0</v>
      </c>
      <c r="H103" s="12">
        <v>1000000</v>
      </c>
      <c r="I103" s="13">
        <v>2018</v>
      </c>
      <c r="J103" s="11" t="s">
        <v>42</v>
      </c>
      <c r="K103" s="13" t="e">
        <f t="shared" si="10"/>
        <v>#N/A</v>
      </c>
      <c r="L103" s="20">
        <v>2</v>
      </c>
      <c r="M103" s="8">
        <f t="shared" si="9"/>
        <v>6</v>
      </c>
      <c r="N103" s="20" t="s">
        <v>41</v>
      </c>
      <c r="O103" s="20">
        <f t="shared" si="11"/>
        <v>4</v>
      </c>
      <c r="P103" s="20" t="s">
        <v>30</v>
      </c>
      <c r="Q103" s="21" t="s">
        <v>29</v>
      </c>
      <c r="R103" s="40">
        <f>VLOOKUP(Master19[[#This Row],[Elevated Priority]],Epriority,2,)</f>
        <v>0</v>
      </c>
      <c r="S103" s="20" t="e">
        <f>IF(Master19[[#This Row],[Status]]="Active",Master19[[#This Row],[Status_Score]],IF(C103="","",K103+G103+M103+O103+R103-5))</f>
        <v>#N/A</v>
      </c>
    </row>
    <row r="104" spans="1:21" ht="30" hidden="1" x14ac:dyDescent="0.25">
      <c r="A104" s="10">
        <v>103</v>
      </c>
      <c r="B104" s="11" t="s">
        <v>94</v>
      </c>
      <c r="C104" s="11" t="s">
        <v>583</v>
      </c>
      <c r="D104" s="11" t="s">
        <v>609</v>
      </c>
      <c r="E104" s="11" t="s">
        <v>138</v>
      </c>
      <c r="F104" s="11" t="s">
        <v>29</v>
      </c>
      <c r="G104" s="11">
        <f t="shared" si="8"/>
        <v>0</v>
      </c>
      <c r="H104" s="12"/>
      <c r="I104" s="21">
        <v>2019</v>
      </c>
      <c r="J104" s="11" t="s">
        <v>40</v>
      </c>
      <c r="K104" s="13" t="e">
        <f t="shared" si="10"/>
        <v>#N/A</v>
      </c>
      <c r="L104" s="20">
        <v>9</v>
      </c>
      <c r="M104" s="8">
        <f t="shared" si="9"/>
        <v>21</v>
      </c>
      <c r="N104" s="20" t="s">
        <v>37</v>
      </c>
      <c r="O104" s="20">
        <f t="shared" si="11"/>
        <v>3</v>
      </c>
      <c r="P104" s="20" t="s">
        <v>30</v>
      </c>
      <c r="Q104" s="21" t="s">
        <v>29</v>
      </c>
      <c r="R104" s="40">
        <f>VLOOKUP(Master19[[#This Row],[Elevated Priority]],Epriority,2,)</f>
        <v>0</v>
      </c>
      <c r="S104" s="20" t="e">
        <f>IF(Master19[[#This Row],[Status]]="Active",Master19[[#This Row],[Status_Score]],IF(C104="","",K104+G104+M104+O104+R104-5))</f>
        <v>#N/A</v>
      </c>
      <c r="T104" s="91"/>
      <c r="U104" t="s">
        <v>656</v>
      </c>
    </row>
    <row r="105" spans="1:21" hidden="1" x14ac:dyDescent="0.25">
      <c r="A105" s="10">
        <v>104</v>
      </c>
      <c r="B105" s="11" t="s">
        <v>70</v>
      </c>
      <c r="C105" s="11" t="s">
        <v>327</v>
      </c>
      <c r="D105" s="11"/>
      <c r="E105" s="11"/>
      <c r="F105" s="11" t="s">
        <v>29</v>
      </c>
      <c r="G105" s="11">
        <f t="shared" si="8"/>
        <v>0</v>
      </c>
      <c r="H105" s="12">
        <v>50000</v>
      </c>
      <c r="I105" s="13">
        <v>2018</v>
      </c>
      <c r="J105" s="11" t="s">
        <v>42</v>
      </c>
      <c r="K105" s="13" t="e">
        <f t="shared" si="10"/>
        <v>#N/A</v>
      </c>
      <c r="L105" s="20" t="s">
        <v>29</v>
      </c>
      <c r="M105" s="8">
        <f t="shared" si="9"/>
        <v>0</v>
      </c>
      <c r="N105" s="20" t="s">
        <v>43</v>
      </c>
      <c r="O105" s="20">
        <f t="shared" si="11"/>
        <v>16</v>
      </c>
      <c r="P105" s="20" t="s">
        <v>30</v>
      </c>
      <c r="Q105" s="21" t="s">
        <v>29</v>
      </c>
      <c r="R105" s="40">
        <f>VLOOKUP(Master19[[#This Row],[Elevated Priority]],Epriority,2,)</f>
        <v>0</v>
      </c>
      <c r="S105" s="20" t="e">
        <f>IF(Master19[[#This Row],[Status]]="Active",Master19[[#This Row],[Status_Score]],IF(C105="","",K105+G105+M105+O105+R105-5))</f>
        <v>#N/A</v>
      </c>
    </row>
    <row r="106" spans="1:21" ht="45" hidden="1" x14ac:dyDescent="0.25">
      <c r="A106" s="10">
        <v>105</v>
      </c>
      <c r="B106" s="11" t="s">
        <v>79</v>
      </c>
      <c r="C106" s="11" t="s">
        <v>325</v>
      </c>
      <c r="D106" s="11" t="s">
        <v>326</v>
      </c>
      <c r="E106" s="11" t="s">
        <v>663</v>
      </c>
      <c r="F106" s="11" t="s">
        <v>29</v>
      </c>
      <c r="G106" s="11">
        <f t="shared" si="8"/>
        <v>0</v>
      </c>
      <c r="H106" s="12">
        <v>500000</v>
      </c>
      <c r="I106" s="13">
        <v>2018</v>
      </c>
      <c r="J106" s="11" t="s">
        <v>36</v>
      </c>
      <c r="K106" s="13">
        <f t="shared" si="10"/>
        <v>10</v>
      </c>
      <c r="L106" s="20">
        <v>8</v>
      </c>
      <c r="M106" s="8">
        <f t="shared" si="9"/>
        <v>20</v>
      </c>
      <c r="N106" s="20" t="s">
        <v>43</v>
      </c>
      <c r="O106" s="20">
        <f t="shared" si="11"/>
        <v>16</v>
      </c>
      <c r="P106" s="20" t="s">
        <v>30</v>
      </c>
      <c r="Q106" s="21" t="s">
        <v>29</v>
      </c>
      <c r="R106" s="40">
        <f>VLOOKUP(Master19[[#This Row],[Elevated Priority]],Epriority,2,)</f>
        <v>0</v>
      </c>
      <c r="S106" s="20">
        <f>IF(Master19[[#This Row],[Status]]="Active",Master19[[#This Row],[Status_Score]],IF(C106="","",K106+G106+M106+O106+R106-5))</f>
        <v>41</v>
      </c>
    </row>
    <row r="107" spans="1:21" ht="105" hidden="1" x14ac:dyDescent="0.25">
      <c r="A107" s="10">
        <v>106</v>
      </c>
      <c r="B107" s="11" t="s">
        <v>143</v>
      </c>
      <c r="C107" s="11" t="s">
        <v>333</v>
      </c>
      <c r="D107" s="11" t="s">
        <v>334</v>
      </c>
      <c r="E107" s="11" t="s">
        <v>335</v>
      </c>
      <c r="F107" s="11" t="s">
        <v>29</v>
      </c>
      <c r="G107" s="11">
        <f t="shared" si="8"/>
        <v>0</v>
      </c>
      <c r="H107" s="22">
        <v>40000</v>
      </c>
      <c r="I107" s="13">
        <v>2018</v>
      </c>
      <c r="J107" s="11" t="s">
        <v>44</v>
      </c>
      <c r="K107" s="13" t="e">
        <f t="shared" si="10"/>
        <v>#N/A</v>
      </c>
      <c r="L107" s="21">
        <v>1</v>
      </c>
      <c r="M107" s="8">
        <f t="shared" si="9"/>
        <v>3</v>
      </c>
      <c r="N107" s="21" t="s">
        <v>37</v>
      </c>
      <c r="O107" s="20">
        <f t="shared" si="11"/>
        <v>3</v>
      </c>
      <c r="P107" s="20" t="s">
        <v>30</v>
      </c>
      <c r="Q107" s="21" t="s">
        <v>29</v>
      </c>
      <c r="R107" s="40">
        <f>VLOOKUP(Master19[[#This Row],[Elevated Priority]],Epriority,2,)</f>
        <v>0</v>
      </c>
      <c r="S107" s="20" t="e">
        <f>IF(Master19[[#This Row],[Status]]="Active",Master19[[#This Row],[Status_Score]],IF(C107="","",K107+G107+M107+O107+R107-5))</f>
        <v>#N/A</v>
      </c>
      <c r="U107" t="s">
        <v>664</v>
      </c>
    </row>
    <row r="108" spans="1:21" ht="30" hidden="1" x14ac:dyDescent="0.25">
      <c r="A108" s="10">
        <v>107</v>
      </c>
      <c r="B108" s="11" t="s">
        <v>72</v>
      </c>
      <c r="C108" s="11" t="s">
        <v>336</v>
      </c>
      <c r="D108" s="11" t="s">
        <v>337</v>
      </c>
      <c r="E108" s="11" t="s">
        <v>338</v>
      </c>
      <c r="F108" s="11" t="s">
        <v>29</v>
      </c>
      <c r="G108" s="11">
        <f t="shared" si="8"/>
        <v>0</v>
      </c>
      <c r="H108" s="12">
        <v>2500000</v>
      </c>
      <c r="I108" s="13">
        <v>2018</v>
      </c>
      <c r="J108" s="11" t="s">
        <v>44</v>
      </c>
      <c r="K108" s="13" t="e">
        <f t="shared" si="10"/>
        <v>#N/A</v>
      </c>
      <c r="L108" s="20">
        <v>1</v>
      </c>
      <c r="M108" s="8">
        <f t="shared" si="9"/>
        <v>3</v>
      </c>
      <c r="N108" s="20" t="s">
        <v>37</v>
      </c>
      <c r="O108" s="20">
        <f t="shared" si="11"/>
        <v>3</v>
      </c>
      <c r="P108" s="20" t="s">
        <v>34</v>
      </c>
      <c r="Q108" s="21" t="s">
        <v>29</v>
      </c>
      <c r="R108" s="40">
        <f>VLOOKUP(Master19[[#This Row],[Elevated Priority]],Epriority,2,)</f>
        <v>0</v>
      </c>
      <c r="S108" s="20" t="e">
        <f>IF(Master19[[#This Row],[Status]]="Active",Master19[[#This Row],[Status_Score]],IF(C108="","",K108+G108+M108+O108+R108-5))</f>
        <v>#N/A</v>
      </c>
    </row>
    <row r="109" spans="1:21" ht="45" hidden="1" x14ac:dyDescent="0.25">
      <c r="A109" s="10">
        <v>108</v>
      </c>
      <c r="B109" s="11" t="s">
        <v>220</v>
      </c>
      <c r="C109" s="11" t="s">
        <v>339</v>
      </c>
      <c r="D109" s="11" t="s">
        <v>340</v>
      </c>
      <c r="E109" s="11" t="s">
        <v>341</v>
      </c>
      <c r="F109" s="11" t="s">
        <v>29</v>
      </c>
      <c r="G109" s="11">
        <f t="shared" si="8"/>
        <v>0</v>
      </c>
      <c r="H109" s="12" t="s">
        <v>224</v>
      </c>
      <c r="I109" s="13">
        <v>2018</v>
      </c>
      <c r="J109" s="11" t="s">
        <v>44</v>
      </c>
      <c r="K109" s="13" t="e">
        <f t="shared" si="10"/>
        <v>#N/A</v>
      </c>
      <c r="L109" s="20">
        <v>1</v>
      </c>
      <c r="M109" s="8">
        <f t="shared" si="9"/>
        <v>3</v>
      </c>
      <c r="N109" s="20" t="s">
        <v>37</v>
      </c>
      <c r="O109" s="20">
        <f t="shared" si="11"/>
        <v>3</v>
      </c>
      <c r="P109" s="20" t="s">
        <v>34</v>
      </c>
      <c r="Q109" s="21" t="s">
        <v>29</v>
      </c>
      <c r="R109" s="40">
        <f>VLOOKUP(Master19[[#This Row],[Elevated Priority]],Epriority,2,)</f>
        <v>0</v>
      </c>
      <c r="S109" s="20" t="e">
        <f>IF(Master19[[#This Row],[Status]]="Active",Master19[[#This Row],[Status_Score]],IF(C109="","",K109+G109+M109+O109+R109-5))</f>
        <v>#N/A</v>
      </c>
    </row>
    <row r="110" spans="1:21" hidden="1" x14ac:dyDescent="0.25">
      <c r="A110" s="10">
        <v>109</v>
      </c>
      <c r="B110" s="11" t="s">
        <v>70</v>
      </c>
      <c r="C110" s="38" t="s">
        <v>276</v>
      </c>
      <c r="D110" s="38" t="s">
        <v>277</v>
      </c>
      <c r="E110" s="38" t="s">
        <v>278</v>
      </c>
      <c r="F110" s="11" t="s">
        <v>29</v>
      </c>
      <c r="G110" s="11">
        <f t="shared" si="8"/>
        <v>0</v>
      </c>
      <c r="H110" s="12">
        <v>10000</v>
      </c>
      <c r="I110" s="13">
        <v>2018</v>
      </c>
      <c r="J110" s="11" t="s">
        <v>42</v>
      </c>
      <c r="K110" s="13" t="e">
        <f t="shared" si="10"/>
        <v>#N/A</v>
      </c>
      <c r="L110" s="20">
        <v>3</v>
      </c>
      <c r="M110" s="8">
        <f t="shared" si="9"/>
        <v>9</v>
      </c>
      <c r="N110" s="20" t="s">
        <v>41</v>
      </c>
      <c r="O110" s="20">
        <f t="shared" si="11"/>
        <v>4</v>
      </c>
      <c r="P110" s="20" t="s">
        <v>30</v>
      </c>
      <c r="Q110" s="21" t="s">
        <v>29</v>
      </c>
      <c r="R110" s="40">
        <f>VLOOKUP(Master19[[#This Row],[Elevated Priority]],Epriority,2,)</f>
        <v>0</v>
      </c>
      <c r="S110" s="20" t="e">
        <f>IF(Master19[[#This Row],[Status]]="Active",Master19[[#This Row],[Status_Score]],IF(C110="","",K110+G110+M110+O110+R110-5))</f>
        <v>#N/A</v>
      </c>
    </row>
    <row r="111" spans="1:21" ht="45" hidden="1" x14ac:dyDescent="0.25">
      <c r="A111" s="10">
        <v>110</v>
      </c>
      <c r="B111" s="11" t="s">
        <v>70</v>
      </c>
      <c r="C111" s="11" t="s">
        <v>279</v>
      </c>
      <c r="D111" s="11" t="s">
        <v>280</v>
      </c>
      <c r="E111" s="11" t="s">
        <v>281</v>
      </c>
      <c r="F111" s="11" t="s">
        <v>29</v>
      </c>
      <c r="G111" s="11">
        <f t="shared" si="8"/>
        <v>0</v>
      </c>
      <c r="H111" s="12">
        <v>200000</v>
      </c>
      <c r="I111" s="13">
        <v>2018</v>
      </c>
      <c r="J111" s="11" t="s">
        <v>42</v>
      </c>
      <c r="K111" s="13" t="e">
        <f t="shared" si="10"/>
        <v>#N/A</v>
      </c>
      <c r="L111" s="20">
        <v>3</v>
      </c>
      <c r="M111" s="8">
        <f t="shared" si="9"/>
        <v>9</v>
      </c>
      <c r="N111" s="20" t="s">
        <v>41</v>
      </c>
      <c r="O111" s="20">
        <f t="shared" si="11"/>
        <v>4</v>
      </c>
      <c r="P111" s="20" t="s">
        <v>30</v>
      </c>
      <c r="Q111" s="21" t="s">
        <v>29</v>
      </c>
      <c r="R111" s="40">
        <f>VLOOKUP(Master19[[#This Row],[Elevated Priority]],Epriority,2,)</f>
        <v>0</v>
      </c>
      <c r="S111" s="20" t="e">
        <f>IF(Master19[[#This Row],[Status]]="Active",Master19[[#This Row],[Status_Score]],IF(C111="","",K111+G111+M111+O111+R111-5))</f>
        <v>#N/A</v>
      </c>
    </row>
    <row r="112" spans="1:21" ht="45" hidden="1" x14ac:dyDescent="0.25">
      <c r="A112" s="10">
        <v>111</v>
      </c>
      <c r="B112" s="11" t="s">
        <v>70</v>
      </c>
      <c r="C112" s="11" t="s">
        <v>282</v>
      </c>
      <c r="D112" s="11" t="s">
        <v>283</v>
      </c>
      <c r="E112" s="11" t="s">
        <v>284</v>
      </c>
      <c r="F112" s="11" t="s">
        <v>29</v>
      </c>
      <c r="G112" s="11">
        <f t="shared" si="8"/>
        <v>0</v>
      </c>
      <c r="H112" s="12">
        <v>60000</v>
      </c>
      <c r="I112" s="13">
        <v>2018</v>
      </c>
      <c r="J112" s="11" t="s">
        <v>42</v>
      </c>
      <c r="K112" s="13" t="e">
        <f t="shared" si="10"/>
        <v>#N/A</v>
      </c>
      <c r="L112" s="20">
        <v>3</v>
      </c>
      <c r="M112" s="8">
        <f t="shared" si="9"/>
        <v>9</v>
      </c>
      <c r="N112" s="20" t="s">
        <v>41</v>
      </c>
      <c r="O112" s="20">
        <f t="shared" si="11"/>
        <v>4</v>
      </c>
      <c r="P112" s="20" t="s">
        <v>30</v>
      </c>
      <c r="Q112" s="21" t="s">
        <v>29</v>
      </c>
      <c r="R112" s="40">
        <f>VLOOKUP(Master19[[#This Row],[Elevated Priority]],Epriority,2,)</f>
        <v>0</v>
      </c>
      <c r="S112" s="20" t="e">
        <f>IF(Master19[[#This Row],[Status]]="Active",Master19[[#This Row],[Status_Score]],IF(C112="","",K112+G112+M112+O112+R112-5))</f>
        <v>#N/A</v>
      </c>
    </row>
    <row r="113" spans="1:21" ht="150" hidden="1" x14ac:dyDescent="0.25">
      <c r="A113" s="10">
        <v>112</v>
      </c>
      <c r="B113" s="11" t="s">
        <v>61</v>
      </c>
      <c r="C113" s="11" t="s">
        <v>342</v>
      </c>
      <c r="D113" s="11" t="s">
        <v>343</v>
      </c>
      <c r="E113" s="11" t="s">
        <v>344</v>
      </c>
      <c r="F113" s="11" t="s">
        <v>29</v>
      </c>
      <c r="G113" s="11">
        <f t="shared" si="8"/>
        <v>0</v>
      </c>
      <c r="H113" s="12">
        <v>75000</v>
      </c>
      <c r="I113" s="13">
        <v>2018</v>
      </c>
      <c r="J113" s="11" t="s">
        <v>42</v>
      </c>
      <c r="K113" s="13" t="e">
        <f t="shared" si="10"/>
        <v>#N/A</v>
      </c>
      <c r="L113" s="20">
        <v>3</v>
      </c>
      <c r="M113" s="8">
        <f t="shared" si="9"/>
        <v>9</v>
      </c>
      <c r="N113" s="20" t="s">
        <v>41</v>
      </c>
      <c r="O113" s="20">
        <f t="shared" si="11"/>
        <v>4</v>
      </c>
      <c r="P113" s="20" t="s">
        <v>30</v>
      </c>
      <c r="Q113" s="21" t="s">
        <v>29</v>
      </c>
      <c r="R113" s="40">
        <f>VLOOKUP(Master19[[#This Row],[Elevated Priority]],Epriority,2,)</f>
        <v>0</v>
      </c>
      <c r="S113" s="20" t="e">
        <f>IF(Master19[[#This Row],[Status]]="Active",Master19[[#This Row],[Status_Score]],IF(C113="","",K113+G113+M113+O113+R113-5))</f>
        <v>#N/A</v>
      </c>
    </row>
    <row r="114" spans="1:21" ht="30" hidden="1" x14ac:dyDescent="0.25">
      <c r="A114" s="10">
        <v>113</v>
      </c>
      <c r="B114" s="11" t="s">
        <v>61</v>
      </c>
      <c r="C114" s="11" t="s">
        <v>345</v>
      </c>
      <c r="D114" s="11" t="s">
        <v>346</v>
      </c>
      <c r="E114" s="11" t="s">
        <v>347</v>
      </c>
      <c r="F114" s="11" t="s">
        <v>29</v>
      </c>
      <c r="G114" s="11">
        <f t="shared" si="8"/>
        <v>0</v>
      </c>
      <c r="H114" s="12">
        <v>75000</v>
      </c>
      <c r="I114" s="13">
        <v>2018</v>
      </c>
      <c r="J114" s="11" t="s">
        <v>42</v>
      </c>
      <c r="K114" s="13" t="e">
        <f t="shared" si="10"/>
        <v>#N/A</v>
      </c>
      <c r="L114" s="20">
        <v>3</v>
      </c>
      <c r="M114" s="8">
        <f t="shared" si="9"/>
        <v>9</v>
      </c>
      <c r="N114" s="20" t="s">
        <v>41</v>
      </c>
      <c r="O114" s="20">
        <f t="shared" si="11"/>
        <v>4</v>
      </c>
      <c r="P114" s="20" t="s">
        <v>30</v>
      </c>
      <c r="Q114" s="21" t="s">
        <v>29</v>
      </c>
      <c r="R114" s="40">
        <f>VLOOKUP(Master19[[#This Row],[Elevated Priority]],Epriority,2,)</f>
        <v>0</v>
      </c>
      <c r="S114" s="20" t="e">
        <f>IF(Master19[[#This Row],[Status]]="Active",Master19[[#This Row],[Status_Score]],IF(C114="","",K114+G114+M114+O114+R114-5))</f>
        <v>#N/A</v>
      </c>
    </row>
    <row r="115" spans="1:21" ht="90" hidden="1" x14ac:dyDescent="0.25">
      <c r="A115" s="10">
        <v>114</v>
      </c>
      <c r="B115" s="11" t="s">
        <v>61</v>
      </c>
      <c r="C115" s="11" t="s">
        <v>348</v>
      </c>
      <c r="D115" s="11" t="s">
        <v>349</v>
      </c>
      <c r="E115" s="11" t="s">
        <v>350</v>
      </c>
      <c r="F115" s="11" t="s">
        <v>29</v>
      </c>
      <c r="G115" s="11">
        <f t="shared" si="8"/>
        <v>0</v>
      </c>
      <c r="H115" s="12">
        <v>125000</v>
      </c>
      <c r="I115" s="13">
        <v>2018</v>
      </c>
      <c r="J115" s="11" t="s">
        <v>42</v>
      </c>
      <c r="K115" s="13" t="e">
        <f t="shared" si="10"/>
        <v>#N/A</v>
      </c>
      <c r="L115" s="20">
        <v>3</v>
      </c>
      <c r="M115" s="8">
        <f t="shared" si="9"/>
        <v>9</v>
      </c>
      <c r="N115" s="20" t="s">
        <v>41</v>
      </c>
      <c r="O115" s="20">
        <f t="shared" si="11"/>
        <v>4</v>
      </c>
      <c r="P115" s="20" t="s">
        <v>30</v>
      </c>
      <c r="Q115" s="21" t="s">
        <v>29</v>
      </c>
      <c r="R115" s="40">
        <f>VLOOKUP(Master19[[#This Row],[Elevated Priority]],Epriority,2,)</f>
        <v>0</v>
      </c>
      <c r="S115" s="20" t="e">
        <f>IF(Master19[[#This Row],[Status]]="Active",Master19[[#This Row],[Status_Score]],IF(C115="","",K115+G115+M115+O115+R115-5))</f>
        <v>#N/A</v>
      </c>
    </row>
    <row r="116" spans="1:21" ht="30" hidden="1" x14ac:dyDescent="0.25">
      <c r="A116" s="10">
        <v>115</v>
      </c>
      <c r="B116" s="11" t="s">
        <v>94</v>
      </c>
      <c r="C116" s="11" t="s">
        <v>232</v>
      </c>
      <c r="D116" s="11" t="s">
        <v>233</v>
      </c>
      <c r="E116" s="11" t="s">
        <v>138</v>
      </c>
      <c r="F116" s="11" t="s">
        <v>29</v>
      </c>
      <c r="G116" s="11">
        <f t="shared" si="8"/>
        <v>0</v>
      </c>
      <c r="H116" s="12">
        <v>1500000</v>
      </c>
      <c r="I116" s="13">
        <v>2018</v>
      </c>
      <c r="J116" s="11" t="s">
        <v>40</v>
      </c>
      <c r="K116" s="13" t="e">
        <f t="shared" si="10"/>
        <v>#N/A</v>
      </c>
      <c r="L116" s="20">
        <v>7</v>
      </c>
      <c r="M116" s="8">
        <f t="shared" si="9"/>
        <v>20</v>
      </c>
      <c r="N116" s="20" t="s">
        <v>41</v>
      </c>
      <c r="O116" s="20">
        <f t="shared" si="11"/>
        <v>4</v>
      </c>
      <c r="P116" s="20" t="s">
        <v>30</v>
      </c>
      <c r="Q116" s="21" t="s">
        <v>29</v>
      </c>
      <c r="R116" s="40">
        <f>VLOOKUP(Master19[[#This Row],[Elevated Priority]],Epriority,2,)</f>
        <v>0</v>
      </c>
      <c r="S116" s="20" t="e">
        <f>IF(Master19[[#This Row],[Status]]="Active",Master19[[#This Row],[Status_Score]],IF(C116="","",K116+G116+M116+O116+R116-5))</f>
        <v>#N/A</v>
      </c>
    </row>
    <row r="117" spans="1:21" ht="30" hidden="1" x14ac:dyDescent="0.25">
      <c r="A117" s="10">
        <v>116</v>
      </c>
      <c r="B117" s="11" t="s">
        <v>94</v>
      </c>
      <c r="C117" s="11" t="s">
        <v>234</v>
      </c>
      <c r="D117" s="11" t="s">
        <v>233</v>
      </c>
      <c r="E117" s="11" t="s">
        <v>138</v>
      </c>
      <c r="F117" s="11" t="s">
        <v>29</v>
      </c>
      <c r="G117" s="11">
        <f t="shared" si="8"/>
        <v>0</v>
      </c>
      <c r="H117" s="12">
        <v>1500000</v>
      </c>
      <c r="I117" s="13">
        <v>2018</v>
      </c>
      <c r="J117" s="11" t="s">
        <v>40</v>
      </c>
      <c r="K117" s="13" t="e">
        <f t="shared" si="10"/>
        <v>#N/A</v>
      </c>
      <c r="L117" s="20">
        <v>8</v>
      </c>
      <c r="M117" s="8">
        <f t="shared" si="9"/>
        <v>20</v>
      </c>
      <c r="N117" s="20" t="s">
        <v>41</v>
      </c>
      <c r="O117" s="20">
        <f t="shared" si="11"/>
        <v>4</v>
      </c>
      <c r="P117" s="20" t="s">
        <v>30</v>
      </c>
      <c r="Q117" s="21" t="s">
        <v>29</v>
      </c>
      <c r="R117" s="40">
        <f>VLOOKUP(Master19[[#This Row],[Elevated Priority]],Epriority,2,)</f>
        <v>0</v>
      </c>
      <c r="S117" s="20" t="e">
        <f>IF(Master19[[#This Row],[Status]]="Active",Master19[[#This Row],[Status_Score]],IF(C117="","",K117+G117+M117+O117+R117-5))</f>
        <v>#N/A</v>
      </c>
    </row>
    <row r="118" spans="1:21" ht="60" hidden="1" x14ac:dyDescent="0.25">
      <c r="A118" s="10">
        <v>117</v>
      </c>
      <c r="B118" s="11" t="s">
        <v>70</v>
      </c>
      <c r="C118" s="11" t="s">
        <v>351</v>
      </c>
      <c r="D118" s="11" t="s">
        <v>352</v>
      </c>
      <c r="E118" s="11" t="s">
        <v>353</v>
      </c>
      <c r="F118" s="11" t="s">
        <v>29</v>
      </c>
      <c r="G118" s="11">
        <f t="shared" si="8"/>
        <v>0</v>
      </c>
      <c r="H118" s="12">
        <v>2500000</v>
      </c>
      <c r="I118" s="13">
        <v>2018</v>
      </c>
      <c r="J118" s="11" t="s">
        <v>44</v>
      </c>
      <c r="K118" s="13" t="e">
        <f t="shared" ref="K118:K149" si="12">VLOOKUP(J118,Importance,2,FALSE)</f>
        <v>#N/A</v>
      </c>
      <c r="L118" s="20" t="s">
        <v>29</v>
      </c>
      <c r="M118" s="8">
        <f t="shared" si="9"/>
        <v>0</v>
      </c>
      <c r="N118" s="20" t="s">
        <v>41</v>
      </c>
      <c r="O118" s="20">
        <f t="shared" si="11"/>
        <v>4</v>
      </c>
      <c r="P118" s="20" t="s">
        <v>34</v>
      </c>
      <c r="Q118" s="21" t="s">
        <v>29</v>
      </c>
      <c r="R118" s="40">
        <f>VLOOKUP(Master19[[#This Row],[Elevated Priority]],Epriority,2,)</f>
        <v>0</v>
      </c>
      <c r="S118" s="20" t="e">
        <f>IF(Master19[[#This Row],[Status]]="Active",Master19[[#This Row],[Status_Score]],IF(C118="","",K118+G118+M118+O118+R118-5))</f>
        <v>#N/A</v>
      </c>
    </row>
    <row r="119" spans="1:21" ht="75" hidden="1" x14ac:dyDescent="0.25">
      <c r="A119" s="10">
        <v>118</v>
      </c>
      <c r="B119" s="11" t="s">
        <v>70</v>
      </c>
      <c r="C119" s="11" t="s">
        <v>360</v>
      </c>
      <c r="D119" s="11" t="s">
        <v>361</v>
      </c>
      <c r="E119" s="11" t="s">
        <v>362</v>
      </c>
      <c r="F119" s="11" t="s">
        <v>29</v>
      </c>
      <c r="G119" s="11">
        <f t="shared" si="8"/>
        <v>0</v>
      </c>
      <c r="H119" s="12">
        <v>100000</v>
      </c>
      <c r="I119" s="13">
        <v>2018</v>
      </c>
      <c r="J119" s="11" t="s">
        <v>44</v>
      </c>
      <c r="K119" s="13" t="e">
        <f t="shared" si="12"/>
        <v>#N/A</v>
      </c>
      <c r="L119" s="20" t="s">
        <v>29</v>
      </c>
      <c r="M119" s="8">
        <f t="shared" si="9"/>
        <v>0</v>
      </c>
      <c r="N119" s="20" t="s">
        <v>41</v>
      </c>
      <c r="O119" s="20">
        <f t="shared" si="11"/>
        <v>4</v>
      </c>
      <c r="P119" s="20" t="s">
        <v>34</v>
      </c>
      <c r="Q119" s="21" t="s">
        <v>29</v>
      </c>
      <c r="R119" s="40">
        <f>VLOOKUP(Master19[[#This Row],[Elevated Priority]],Epriority,2,)</f>
        <v>0</v>
      </c>
      <c r="S119" s="20" t="e">
        <f>IF(Master19[[#This Row],[Status]]="Active",Master19[[#This Row],[Status_Score]],IF(C119="","",K119+G119+M119+O119+R119-5))</f>
        <v>#N/A</v>
      </c>
      <c r="U119" t="s">
        <v>665</v>
      </c>
    </row>
    <row r="120" spans="1:21" ht="30" hidden="1" x14ac:dyDescent="0.25">
      <c r="A120" s="10">
        <v>119</v>
      </c>
      <c r="B120" s="11" t="s">
        <v>70</v>
      </c>
      <c r="C120" s="11" t="s">
        <v>366</v>
      </c>
      <c r="D120" s="11" t="s">
        <v>367</v>
      </c>
      <c r="E120" s="11" t="s">
        <v>368</v>
      </c>
      <c r="F120" s="11" t="s">
        <v>29</v>
      </c>
      <c r="G120" s="11">
        <f t="shared" si="8"/>
        <v>0</v>
      </c>
      <c r="H120" s="12">
        <v>5000</v>
      </c>
      <c r="I120" s="13">
        <v>2018</v>
      </c>
      <c r="J120" s="11" t="s">
        <v>44</v>
      </c>
      <c r="K120" s="13" t="e">
        <f t="shared" si="12"/>
        <v>#N/A</v>
      </c>
      <c r="L120" s="20" t="s">
        <v>29</v>
      </c>
      <c r="M120" s="8">
        <f t="shared" si="9"/>
        <v>0</v>
      </c>
      <c r="N120" s="20" t="s">
        <v>41</v>
      </c>
      <c r="O120" s="20">
        <f t="shared" si="11"/>
        <v>4</v>
      </c>
      <c r="P120" s="20" t="s">
        <v>30</v>
      </c>
      <c r="Q120" s="21" t="s">
        <v>29</v>
      </c>
      <c r="R120" s="40">
        <f>VLOOKUP(Master19[[#This Row],[Elevated Priority]],Epriority,2,)</f>
        <v>0</v>
      </c>
      <c r="S120" s="20" t="e">
        <f>IF(Master19[[#This Row],[Status]]="Active",Master19[[#This Row],[Status_Score]],IF(C120="","",K120+G120+M120+O120+R120-5))</f>
        <v>#N/A</v>
      </c>
    </row>
    <row r="121" spans="1:21" ht="60" hidden="1" x14ac:dyDescent="0.25">
      <c r="A121" s="10">
        <v>120</v>
      </c>
      <c r="B121" s="104" t="s">
        <v>61</v>
      </c>
      <c r="C121" s="11" t="s">
        <v>632</v>
      </c>
      <c r="D121" s="11" t="s">
        <v>636</v>
      </c>
      <c r="E121" s="69" t="s">
        <v>633</v>
      </c>
      <c r="F121" s="11" t="s">
        <v>29</v>
      </c>
      <c r="G121" s="27">
        <f t="shared" si="8"/>
        <v>0</v>
      </c>
      <c r="H121" s="12"/>
      <c r="I121" s="13">
        <v>2019</v>
      </c>
      <c r="J121" s="11" t="s">
        <v>44</v>
      </c>
      <c r="K121" s="13" t="e">
        <f t="shared" si="12"/>
        <v>#N/A</v>
      </c>
      <c r="L121" s="13" t="s">
        <v>29</v>
      </c>
      <c r="M121" s="8">
        <f t="shared" si="9"/>
        <v>0</v>
      </c>
      <c r="N121" s="13" t="s">
        <v>41</v>
      </c>
      <c r="O121" s="20">
        <f t="shared" si="11"/>
        <v>4</v>
      </c>
      <c r="P121" s="13" t="s">
        <v>34</v>
      </c>
      <c r="Q121" s="13" t="s">
        <v>29</v>
      </c>
      <c r="R121" s="40">
        <f>VLOOKUP(Master19[[#This Row],[Elevated Priority]],Epriority,2,)</f>
        <v>0</v>
      </c>
      <c r="S121" s="13" t="e">
        <f>IF(Master19[[#This Row],[Status]]="Active",Master19[[#This Row],[Status_Score]],IF(C121="","",K121+G121+M121+O121+R121-5))</f>
        <v>#N/A</v>
      </c>
      <c r="T121" s="91"/>
    </row>
    <row r="122" spans="1:21" ht="45" hidden="1" x14ac:dyDescent="0.25">
      <c r="A122" s="10">
        <v>121</v>
      </c>
      <c r="B122" s="11" t="s">
        <v>94</v>
      </c>
      <c r="C122" s="11" t="s">
        <v>607</v>
      </c>
      <c r="D122" s="11" t="s">
        <v>608</v>
      </c>
      <c r="E122" s="11" t="s">
        <v>138</v>
      </c>
      <c r="F122" s="11" t="s">
        <v>29</v>
      </c>
      <c r="G122" s="11">
        <f t="shared" si="8"/>
        <v>0</v>
      </c>
      <c r="H122" s="12">
        <v>250000</v>
      </c>
      <c r="I122" s="21">
        <v>2019</v>
      </c>
      <c r="J122" s="11" t="s">
        <v>40</v>
      </c>
      <c r="K122" s="13" t="e">
        <f t="shared" si="12"/>
        <v>#N/A</v>
      </c>
      <c r="L122" s="13">
        <v>22</v>
      </c>
      <c r="M122" s="8">
        <f t="shared" si="9"/>
        <v>27</v>
      </c>
      <c r="N122" s="13" t="s">
        <v>33</v>
      </c>
      <c r="O122" s="20">
        <f t="shared" si="11"/>
        <v>1</v>
      </c>
      <c r="P122" s="13" t="s">
        <v>30</v>
      </c>
      <c r="Q122" s="13" t="s">
        <v>29</v>
      </c>
      <c r="R122" s="40">
        <f>VLOOKUP(Master19[[#This Row],[Elevated Priority]],Epriority,2,)</f>
        <v>0</v>
      </c>
      <c r="S122" s="13" t="e">
        <f>IF(Master19[[#This Row],[Status]]="Active",Master19[[#This Row],[Status_Score]],IF(C122="","",K122+G122+M122+O122+R122-5))</f>
        <v>#N/A</v>
      </c>
      <c r="T122" s="91"/>
    </row>
    <row r="123" spans="1:21" ht="45" hidden="1" x14ac:dyDescent="0.25">
      <c r="A123" s="10">
        <v>122</v>
      </c>
      <c r="B123" s="11" t="s">
        <v>70</v>
      </c>
      <c r="C123" s="11" t="s">
        <v>322</v>
      </c>
      <c r="D123" s="11" t="s">
        <v>323</v>
      </c>
      <c r="E123" s="11" t="s">
        <v>324</v>
      </c>
      <c r="F123" s="11" t="s">
        <v>29</v>
      </c>
      <c r="G123" s="11">
        <f t="shared" si="8"/>
        <v>0</v>
      </c>
      <c r="H123" s="12">
        <v>8000000</v>
      </c>
      <c r="I123" s="13">
        <v>2018</v>
      </c>
      <c r="J123" s="11" t="s">
        <v>42</v>
      </c>
      <c r="K123" s="13" t="e">
        <f t="shared" si="12"/>
        <v>#N/A</v>
      </c>
      <c r="L123" s="20">
        <v>1</v>
      </c>
      <c r="M123" s="8">
        <f t="shared" si="9"/>
        <v>3</v>
      </c>
      <c r="N123" s="20" t="s">
        <v>43</v>
      </c>
      <c r="O123" s="20">
        <f t="shared" si="11"/>
        <v>16</v>
      </c>
      <c r="P123" s="20" t="s">
        <v>34</v>
      </c>
      <c r="Q123" s="21" t="s">
        <v>29</v>
      </c>
      <c r="R123" s="40">
        <f>VLOOKUP(Master19[[#This Row],[Elevated Priority]],Epriority,2,)</f>
        <v>0</v>
      </c>
      <c r="S123" s="20" t="e">
        <f>IF(Master19[[#This Row],[Status]]="Active",Master19[[#This Row],[Status_Score]],IF(C123="","",K123+G123+M123+O123+R123-5))</f>
        <v>#N/A</v>
      </c>
      <c r="U123" t="s">
        <v>666</v>
      </c>
    </row>
    <row r="124" spans="1:21" ht="60" hidden="1" x14ac:dyDescent="0.25">
      <c r="A124" s="10">
        <v>123</v>
      </c>
      <c r="B124" s="11" t="s">
        <v>61</v>
      </c>
      <c r="C124" s="11" t="s">
        <v>369</v>
      </c>
      <c r="D124" s="11" t="s">
        <v>370</v>
      </c>
      <c r="E124" s="11" t="s">
        <v>371</v>
      </c>
      <c r="F124" s="11" t="s">
        <v>29</v>
      </c>
      <c r="G124" s="11">
        <f t="shared" si="8"/>
        <v>0</v>
      </c>
      <c r="H124" s="12">
        <v>250000</v>
      </c>
      <c r="I124" s="13">
        <v>2018</v>
      </c>
      <c r="J124" s="11" t="s">
        <v>42</v>
      </c>
      <c r="K124" s="13" t="e">
        <f t="shared" si="12"/>
        <v>#N/A</v>
      </c>
      <c r="L124" s="20">
        <v>1</v>
      </c>
      <c r="M124" s="8">
        <f t="shared" si="9"/>
        <v>3</v>
      </c>
      <c r="N124" s="20" t="s">
        <v>43</v>
      </c>
      <c r="O124" s="20">
        <f t="shared" si="11"/>
        <v>16</v>
      </c>
      <c r="P124" s="20" t="s">
        <v>30</v>
      </c>
      <c r="Q124" s="21" t="s">
        <v>29</v>
      </c>
      <c r="R124" s="40">
        <f>VLOOKUP(Master19[[#This Row],[Elevated Priority]],Epriority,2,)</f>
        <v>0</v>
      </c>
      <c r="S124" s="20" t="e">
        <f>IF(Master19[[#This Row],[Status]]="Active",Master19[[#This Row],[Status_Score]],IF(C124="","",K124+G124+M124+O124+R124-5))</f>
        <v>#N/A</v>
      </c>
    </row>
    <row r="125" spans="1:21" ht="30" hidden="1" x14ac:dyDescent="0.25">
      <c r="A125" s="10">
        <v>124</v>
      </c>
      <c r="B125" s="11" t="s">
        <v>65</v>
      </c>
      <c r="C125" s="11" t="s">
        <v>375</v>
      </c>
      <c r="D125" s="11" t="s">
        <v>376</v>
      </c>
      <c r="E125" s="11" t="s">
        <v>377</v>
      </c>
      <c r="F125" s="11" t="s">
        <v>29</v>
      </c>
      <c r="G125" s="11">
        <f t="shared" si="8"/>
        <v>0</v>
      </c>
      <c r="H125" s="12">
        <v>110000</v>
      </c>
      <c r="I125" s="13">
        <v>2018</v>
      </c>
      <c r="J125" s="11" t="s">
        <v>44</v>
      </c>
      <c r="K125" s="13" t="e">
        <f t="shared" si="12"/>
        <v>#N/A</v>
      </c>
      <c r="L125" s="20">
        <v>2</v>
      </c>
      <c r="M125" s="8">
        <f t="shared" si="9"/>
        <v>6</v>
      </c>
      <c r="N125" s="20" t="s">
        <v>37</v>
      </c>
      <c r="O125" s="20">
        <f t="shared" si="11"/>
        <v>3</v>
      </c>
      <c r="P125" s="20" t="s">
        <v>30</v>
      </c>
      <c r="Q125" s="21" t="s">
        <v>29</v>
      </c>
      <c r="R125" s="40">
        <f>VLOOKUP(Master19[[#This Row],[Elevated Priority]],Epriority,2,)</f>
        <v>0</v>
      </c>
      <c r="S125" s="20" t="e">
        <f>IF(Master19[[#This Row],[Status]]="Active",Master19[[#This Row],[Status_Score]],IF(C125="","",K125+G125+M125+O125+R125-5))</f>
        <v>#N/A</v>
      </c>
    </row>
    <row r="126" spans="1:21" ht="75" hidden="1" x14ac:dyDescent="0.25">
      <c r="A126" s="10">
        <v>125</v>
      </c>
      <c r="B126" s="11" t="s">
        <v>70</v>
      </c>
      <c r="C126" s="11" t="s">
        <v>288</v>
      </c>
      <c r="D126" s="11" t="s">
        <v>289</v>
      </c>
      <c r="E126" s="11" t="s">
        <v>290</v>
      </c>
      <c r="F126" s="11" t="s">
        <v>29</v>
      </c>
      <c r="G126" s="11">
        <f t="shared" si="8"/>
        <v>0</v>
      </c>
      <c r="H126" s="12">
        <v>40000</v>
      </c>
      <c r="I126" s="13">
        <v>2018</v>
      </c>
      <c r="J126" s="11" t="s">
        <v>42</v>
      </c>
      <c r="K126" s="13" t="e">
        <f t="shared" si="12"/>
        <v>#N/A</v>
      </c>
      <c r="L126" s="20">
        <v>4</v>
      </c>
      <c r="M126" s="8">
        <f t="shared" si="9"/>
        <v>12</v>
      </c>
      <c r="N126" s="20" t="s">
        <v>41</v>
      </c>
      <c r="O126" s="20">
        <f t="shared" ref="O126:O157" si="13">VLOOKUP(N126,Urgency,2,FALSE)</f>
        <v>4</v>
      </c>
      <c r="P126" s="20" t="s">
        <v>30</v>
      </c>
      <c r="Q126" s="21" t="s">
        <v>29</v>
      </c>
      <c r="R126" s="40">
        <f>VLOOKUP(Master19[[#This Row],[Elevated Priority]],Epriority,2,)</f>
        <v>0</v>
      </c>
      <c r="S126" s="20" t="e">
        <f>IF(Master19[[#This Row],[Status]]="Active",Master19[[#This Row],[Status_Score]],IF(C126="","",K126+G126+M126+O126+R126-5))</f>
        <v>#N/A</v>
      </c>
    </row>
    <row r="127" spans="1:21" hidden="1" x14ac:dyDescent="0.25">
      <c r="A127" s="10">
        <v>126</v>
      </c>
      <c r="B127" s="11" t="s">
        <v>70</v>
      </c>
      <c r="C127" s="11" t="s">
        <v>291</v>
      </c>
      <c r="D127" s="11" t="s">
        <v>292</v>
      </c>
      <c r="E127" s="11" t="s">
        <v>293</v>
      </c>
      <c r="F127" s="11" t="s">
        <v>29</v>
      </c>
      <c r="G127" s="11">
        <f t="shared" si="8"/>
        <v>0</v>
      </c>
      <c r="H127" s="12">
        <v>5000</v>
      </c>
      <c r="I127" s="13">
        <v>2018</v>
      </c>
      <c r="J127" s="11" t="s">
        <v>42</v>
      </c>
      <c r="K127" s="13" t="e">
        <f t="shared" si="12"/>
        <v>#N/A</v>
      </c>
      <c r="L127" s="20">
        <v>4</v>
      </c>
      <c r="M127" s="8">
        <f t="shared" si="9"/>
        <v>12</v>
      </c>
      <c r="N127" s="20" t="s">
        <v>41</v>
      </c>
      <c r="O127" s="20">
        <f t="shared" si="13"/>
        <v>4</v>
      </c>
      <c r="P127" s="20" t="s">
        <v>30</v>
      </c>
      <c r="Q127" s="21" t="s">
        <v>29</v>
      </c>
      <c r="R127" s="40">
        <f>VLOOKUP(Master19[[#This Row],[Elevated Priority]],Epriority,2,)</f>
        <v>0</v>
      </c>
      <c r="S127" s="20" t="e">
        <f>IF(Master19[[#This Row],[Status]]="Active",Master19[[#This Row],[Status_Score]],IF(C127="","",K127+G127+M127+O127+R127-5))</f>
        <v>#N/A</v>
      </c>
    </row>
    <row r="128" spans="1:21" ht="75" hidden="1" x14ac:dyDescent="0.25">
      <c r="A128" s="10">
        <v>127</v>
      </c>
      <c r="B128" s="11" t="s">
        <v>70</v>
      </c>
      <c r="C128" s="11" t="s">
        <v>296</v>
      </c>
      <c r="D128" s="11" t="s">
        <v>297</v>
      </c>
      <c r="E128" s="11" t="s">
        <v>298</v>
      </c>
      <c r="F128" s="11" t="s">
        <v>29</v>
      </c>
      <c r="G128" s="11">
        <f t="shared" si="8"/>
        <v>0</v>
      </c>
      <c r="H128" s="12">
        <v>25000</v>
      </c>
      <c r="I128" s="13">
        <v>2018</v>
      </c>
      <c r="J128" s="11" t="s">
        <v>42</v>
      </c>
      <c r="K128" s="13" t="e">
        <f t="shared" si="12"/>
        <v>#N/A</v>
      </c>
      <c r="L128" s="20">
        <v>4</v>
      </c>
      <c r="M128" s="8">
        <f t="shared" si="9"/>
        <v>12</v>
      </c>
      <c r="N128" s="20" t="s">
        <v>41</v>
      </c>
      <c r="O128" s="20">
        <f t="shared" si="13"/>
        <v>4</v>
      </c>
      <c r="P128" s="20" t="s">
        <v>30</v>
      </c>
      <c r="Q128" s="21" t="s">
        <v>29</v>
      </c>
      <c r="R128" s="40">
        <f>VLOOKUP(Master19[[#This Row],[Elevated Priority]],Epriority,2,)</f>
        <v>0</v>
      </c>
      <c r="S128" s="20" t="e">
        <f>IF(Master19[[#This Row],[Status]]="Active",Master19[[#This Row],[Status_Score]],IF(C128="","",K128+G128+M128+O128+R128-5))</f>
        <v>#N/A</v>
      </c>
      <c r="U128" t="s">
        <v>667</v>
      </c>
    </row>
    <row r="129" spans="1:21" ht="30" hidden="1" x14ac:dyDescent="0.25">
      <c r="A129" s="10">
        <v>128</v>
      </c>
      <c r="B129" s="11" t="s">
        <v>94</v>
      </c>
      <c r="C129" s="11" t="s">
        <v>668</v>
      </c>
      <c r="D129" s="11" t="s">
        <v>231</v>
      </c>
      <c r="E129" s="11"/>
      <c r="F129" s="11" t="s">
        <v>29</v>
      </c>
      <c r="G129" s="11">
        <f t="shared" si="8"/>
        <v>0</v>
      </c>
      <c r="H129" s="12">
        <v>850000</v>
      </c>
      <c r="I129" s="13">
        <v>2018</v>
      </c>
      <c r="J129" s="11" t="s">
        <v>40</v>
      </c>
      <c r="K129" s="13" t="e">
        <f t="shared" si="12"/>
        <v>#N/A</v>
      </c>
      <c r="L129" s="20">
        <v>13</v>
      </c>
      <c r="M129" s="8">
        <f t="shared" si="9"/>
        <v>23</v>
      </c>
      <c r="N129" s="20" t="s">
        <v>41</v>
      </c>
      <c r="O129" s="20">
        <f t="shared" si="13"/>
        <v>4</v>
      </c>
      <c r="P129" s="20" t="s">
        <v>30</v>
      </c>
      <c r="Q129" s="21" t="s">
        <v>29</v>
      </c>
      <c r="R129" s="40">
        <f>VLOOKUP(Master19[[#This Row],[Elevated Priority]],Epriority,2,)</f>
        <v>0</v>
      </c>
      <c r="S129" s="20" t="e">
        <f>IF(Master19[[#This Row],[Status]]="Active",Master19[[#This Row],[Status_Score]],IF(C129="","",K129+G129+M129+O129+R129-5))</f>
        <v>#N/A</v>
      </c>
    </row>
    <row r="130" spans="1:21" ht="30" hidden="1" x14ac:dyDescent="0.25">
      <c r="A130" s="10">
        <v>129</v>
      </c>
      <c r="B130" s="11" t="s">
        <v>94</v>
      </c>
      <c r="C130" s="11" t="s">
        <v>267</v>
      </c>
      <c r="D130" s="11" t="s">
        <v>268</v>
      </c>
      <c r="E130" s="11" t="s">
        <v>269</v>
      </c>
      <c r="F130" s="11" t="s">
        <v>29</v>
      </c>
      <c r="G130" s="11">
        <f t="shared" ref="G130:G193" si="14">VLOOKUP(F130,Status_Score,2,FALSE)</f>
        <v>0</v>
      </c>
      <c r="H130" s="12">
        <v>850000</v>
      </c>
      <c r="I130" s="13">
        <v>2018</v>
      </c>
      <c r="J130" s="11" t="s">
        <v>40</v>
      </c>
      <c r="K130" s="13" t="e">
        <f t="shared" si="12"/>
        <v>#N/A</v>
      </c>
      <c r="L130" s="20">
        <v>14</v>
      </c>
      <c r="M130" s="8">
        <f t="shared" ref="M130:M193" si="15">VLOOKUP(L130,Department,2,FALSE)</f>
        <v>23</v>
      </c>
      <c r="N130" s="20" t="s">
        <v>41</v>
      </c>
      <c r="O130" s="20">
        <f t="shared" si="13"/>
        <v>4</v>
      </c>
      <c r="P130" s="20" t="s">
        <v>30</v>
      </c>
      <c r="Q130" s="21" t="s">
        <v>29</v>
      </c>
      <c r="R130" s="40">
        <f>VLOOKUP(Master19[[#This Row],[Elevated Priority]],Epriority,2,)</f>
        <v>0</v>
      </c>
      <c r="S130" s="20" t="e">
        <f>IF(Master19[[#This Row],[Status]]="Active",Master19[[#This Row],[Status_Score]],IF(C130="","",K130+G130+M130+O130+R130-5))</f>
        <v>#N/A</v>
      </c>
    </row>
    <row r="131" spans="1:21" ht="75" hidden="1" x14ac:dyDescent="0.25">
      <c r="A131" s="10">
        <v>130</v>
      </c>
      <c r="B131" s="11" t="s">
        <v>143</v>
      </c>
      <c r="C131" s="38" t="s">
        <v>163</v>
      </c>
      <c r="D131" s="38" t="s">
        <v>164</v>
      </c>
      <c r="E131" s="38" t="s">
        <v>165</v>
      </c>
      <c r="F131" s="11" t="s">
        <v>29</v>
      </c>
      <c r="G131" s="11">
        <f t="shared" si="14"/>
        <v>0</v>
      </c>
      <c r="H131" s="22">
        <v>40000</v>
      </c>
      <c r="I131" s="13">
        <v>2018</v>
      </c>
      <c r="J131" s="11" t="s">
        <v>42</v>
      </c>
      <c r="K131" s="13" t="e">
        <f t="shared" si="12"/>
        <v>#N/A</v>
      </c>
      <c r="L131" s="21">
        <v>2</v>
      </c>
      <c r="M131" s="8">
        <f t="shared" si="15"/>
        <v>6</v>
      </c>
      <c r="N131" s="21" t="s">
        <v>43</v>
      </c>
      <c r="O131" s="20">
        <f t="shared" si="13"/>
        <v>16</v>
      </c>
      <c r="P131" s="20" t="s">
        <v>30</v>
      </c>
      <c r="Q131" s="21" t="s">
        <v>29</v>
      </c>
      <c r="R131" s="40">
        <f>VLOOKUP(Master19[[#This Row],[Elevated Priority]],Epriority,2,)</f>
        <v>0</v>
      </c>
      <c r="S131" s="20" t="e">
        <f>IF(Master19[[#This Row],[Status]]="Active",Master19[[#This Row],[Status_Score]],IF(C131="","",K131+G131+M131+O131+R131-5))</f>
        <v>#N/A</v>
      </c>
    </row>
    <row r="132" spans="1:21" ht="45" hidden="1" x14ac:dyDescent="0.25">
      <c r="A132" s="10">
        <v>131</v>
      </c>
      <c r="B132" s="11" t="s">
        <v>70</v>
      </c>
      <c r="C132" s="11" t="s">
        <v>331</v>
      </c>
      <c r="D132" s="11" t="s">
        <v>332</v>
      </c>
      <c r="E132" s="11" t="s">
        <v>230</v>
      </c>
      <c r="F132" s="11" t="s">
        <v>29</v>
      </c>
      <c r="G132" s="11">
        <f t="shared" si="14"/>
        <v>0</v>
      </c>
      <c r="H132" s="12">
        <v>5000000</v>
      </c>
      <c r="I132" s="13">
        <v>2018</v>
      </c>
      <c r="J132" s="11" t="s">
        <v>42</v>
      </c>
      <c r="K132" s="13" t="e">
        <f t="shared" si="12"/>
        <v>#N/A</v>
      </c>
      <c r="L132" s="20">
        <v>2</v>
      </c>
      <c r="M132" s="8">
        <f t="shared" si="15"/>
        <v>6</v>
      </c>
      <c r="N132" s="20" t="s">
        <v>43</v>
      </c>
      <c r="O132" s="20">
        <f t="shared" si="13"/>
        <v>16</v>
      </c>
      <c r="P132" s="20" t="s">
        <v>34</v>
      </c>
      <c r="Q132" s="21" t="s">
        <v>29</v>
      </c>
      <c r="R132" s="40">
        <f>VLOOKUP(Master19[[#This Row],[Elevated Priority]],Epriority,2,)</f>
        <v>0</v>
      </c>
      <c r="S132" s="20" t="e">
        <f>IF(Master19[[#This Row],[Status]]="Active",Master19[[#This Row],[Status_Score]],IF(C132="","",K132+G132+M132+O132+R132-5))</f>
        <v>#N/A</v>
      </c>
      <c r="U132" t="s">
        <v>666</v>
      </c>
    </row>
    <row r="133" spans="1:21" ht="135" hidden="1" x14ac:dyDescent="0.25">
      <c r="A133" s="10">
        <v>132</v>
      </c>
      <c r="B133" s="11" t="s">
        <v>69</v>
      </c>
      <c r="C133" s="11" t="s">
        <v>378</v>
      </c>
      <c r="D133" s="11" t="s">
        <v>379</v>
      </c>
      <c r="E133" s="11" t="s">
        <v>380</v>
      </c>
      <c r="F133" s="11" t="s">
        <v>29</v>
      </c>
      <c r="G133" s="11">
        <f t="shared" si="14"/>
        <v>0</v>
      </c>
      <c r="H133" s="22">
        <v>20000</v>
      </c>
      <c r="I133" s="13">
        <v>2018</v>
      </c>
      <c r="J133" s="11" t="s">
        <v>44</v>
      </c>
      <c r="K133" s="13" t="e">
        <f t="shared" si="12"/>
        <v>#N/A</v>
      </c>
      <c r="L133" s="21">
        <v>2</v>
      </c>
      <c r="M133" s="8">
        <f t="shared" si="15"/>
        <v>6</v>
      </c>
      <c r="N133" s="21" t="s">
        <v>41</v>
      </c>
      <c r="O133" s="20">
        <f t="shared" si="13"/>
        <v>4</v>
      </c>
      <c r="P133" s="20" t="s">
        <v>34</v>
      </c>
      <c r="Q133" s="21" t="s">
        <v>29</v>
      </c>
      <c r="R133" s="40">
        <f>VLOOKUP(Master19[[#This Row],[Elevated Priority]],Epriority,2,)</f>
        <v>0</v>
      </c>
      <c r="S133" s="20" t="e">
        <f>IF(Master19[[#This Row],[Status]]="Active",Master19[[#This Row],[Status_Score]],IF(C133="","",K133+G133+M133+O133+R133-5))</f>
        <v>#N/A</v>
      </c>
    </row>
    <row r="134" spans="1:21" ht="300" hidden="1" x14ac:dyDescent="0.25">
      <c r="A134" s="10">
        <v>133</v>
      </c>
      <c r="B134" s="11" t="s">
        <v>73</v>
      </c>
      <c r="C134" s="11" t="s">
        <v>547</v>
      </c>
      <c r="D134" s="11" t="s">
        <v>548</v>
      </c>
      <c r="E134" s="11" t="s">
        <v>549</v>
      </c>
      <c r="F134" s="11" t="s">
        <v>29</v>
      </c>
      <c r="G134" s="11">
        <f t="shared" si="14"/>
        <v>0</v>
      </c>
      <c r="H134" s="12">
        <v>65000</v>
      </c>
      <c r="I134" s="13">
        <v>2018</v>
      </c>
      <c r="J134" s="11" t="s">
        <v>44</v>
      </c>
      <c r="K134" s="13" t="e">
        <f t="shared" si="12"/>
        <v>#N/A</v>
      </c>
      <c r="L134" s="20">
        <v>2</v>
      </c>
      <c r="M134" s="8">
        <f t="shared" si="15"/>
        <v>6</v>
      </c>
      <c r="N134" s="20" t="s">
        <v>41</v>
      </c>
      <c r="O134" s="20">
        <f t="shared" si="13"/>
        <v>4</v>
      </c>
      <c r="P134" s="20" t="s">
        <v>34</v>
      </c>
      <c r="Q134" s="21" t="s">
        <v>29</v>
      </c>
      <c r="R134" s="40">
        <f>VLOOKUP(Master19[[#This Row],[Elevated Priority]],Epriority,2,)</f>
        <v>0</v>
      </c>
      <c r="S134" s="20" t="e">
        <f>IF(Master19[[#This Row],[Status]]="Active",Master19[[#This Row],[Status_Score]],IF(C134="","",K134+G134+M134+O134+R134-5))</f>
        <v>#N/A</v>
      </c>
    </row>
    <row r="135" spans="1:21" ht="45" hidden="1" x14ac:dyDescent="0.25">
      <c r="A135" s="10">
        <v>134</v>
      </c>
      <c r="B135" s="11" t="s">
        <v>70</v>
      </c>
      <c r="C135" s="11" t="s">
        <v>303</v>
      </c>
      <c r="D135" s="11" t="s">
        <v>304</v>
      </c>
      <c r="E135" s="11"/>
      <c r="F135" s="11" t="s">
        <v>29</v>
      </c>
      <c r="G135" s="11">
        <f t="shared" si="14"/>
        <v>0</v>
      </c>
      <c r="H135" s="12">
        <v>50000</v>
      </c>
      <c r="I135" s="13">
        <v>2018</v>
      </c>
      <c r="J135" s="11" t="s">
        <v>44</v>
      </c>
      <c r="K135" s="13" t="e">
        <f t="shared" si="12"/>
        <v>#N/A</v>
      </c>
      <c r="L135" s="20">
        <v>5</v>
      </c>
      <c r="M135" s="8">
        <f t="shared" si="15"/>
        <v>15</v>
      </c>
      <c r="N135" s="20" t="s">
        <v>29</v>
      </c>
      <c r="O135" s="20">
        <f t="shared" si="13"/>
        <v>0</v>
      </c>
      <c r="P135" s="20" t="s">
        <v>34</v>
      </c>
      <c r="Q135" s="21" t="s">
        <v>29</v>
      </c>
      <c r="R135" s="40">
        <f>VLOOKUP(Master19[[#This Row],[Elevated Priority]],Epriority,2,)</f>
        <v>0</v>
      </c>
      <c r="S135" s="20" t="e">
        <f>IF(Master19[[#This Row],[Status]]="Active",Master19[[#This Row],[Status_Score]],IF(C135="","",K135+G135+M135+O135+R135-5))</f>
        <v>#N/A</v>
      </c>
    </row>
    <row r="136" spans="1:21" ht="60" hidden="1" x14ac:dyDescent="0.25">
      <c r="A136" s="10">
        <v>135</v>
      </c>
      <c r="B136" s="11" t="s">
        <v>91</v>
      </c>
      <c r="C136" s="11" t="s">
        <v>384</v>
      </c>
      <c r="D136" s="11" t="s">
        <v>385</v>
      </c>
      <c r="E136" s="11" t="s">
        <v>386</v>
      </c>
      <c r="F136" s="11" t="s">
        <v>29</v>
      </c>
      <c r="G136" s="11">
        <f t="shared" si="14"/>
        <v>0</v>
      </c>
      <c r="H136" s="12">
        <v>150000</v>
      </c>
      <c r="I136" s="13">
        <v>2018</v>
      </c>
      <c r="J136" s="11" t="s">
        <v>42</v>
      </c>
      <c r="K136" s="13" t="e">
        <f t="shared" si="12"/>
        <v>#N/A</v>
      </c>
      <c r="L136" s="20">
        <v>3</v>
      </c>
      <c r="M136" s="8">
        <f t="shared" si="15"/>
        <v>9</v>
      </c>
      <c r="N136" s="20" t="s">
        <v>43</v>
      </c>
      <c r="O136" s="20">
        <f t="shared" si="13"/>
        <v>16</v>
      </c>
      <c r="P136" s="20" t="s">
        <v>30</v>
      </c>
      <c r="Q136" s="21" t="s">
        <v>29</v>
      </c>
      <c r="R136" s="40">
        <f>VLOOKUP(Master19[[#This Row],[Elevated Priority]],Epriority,2,)</f>
        <v>0</v>
      </c>
      <c r="S136" s="20" t="e">
        <f>IF(Master19[[#This Row],[Status]]="Active",Master19[[#This Row],[Status_Score]],IF(C136="","",K136+G136+M136+O136+R136-5))</f>
        <v>#N/A</v>
      </c>
    </row>
    <row r="137" spans="1:21" ht="45" hidden="1" x14ac:dyDescent="0.25">
      <c r="A137" s="10">
        <v>136</v>
      </c>
      <c r="B137" s="11" t="s">
        <v>61</v>
      </c>
      <c r="C137" s="11" t="s">
        <v>381</v>
      </c>
      <c r="D137" s="11" t="s">
        <v>382</v>
      </c>
      <c r="E137" s="11" t="s">
        <v>383</v>
      </c>
      <c r="F137" s="11" t="s">
        <v>29</v>
      </c>
      <c r="G137" s="11">
        <f t="shared" si="14"/>
        <v>0</v>
      </c>
      <c r="H137" s="12">
        <v>15000000</v>
      </c>
      <c r="I137" s="13">
        <v>2018</v>
      </c>
      <c r="J137" s="11" t="s">
        <v>40</v>
      </c>
      <c r="K137" s="13" t="e">
        <f t="shared" si="12"/>
        <v>#N/A</v>
      </c>
      <c r="L137" s="20">
        <v>1</v>
      </c>
      <c r="M137" s="8">
        <f t="shared" si="15"/>
        <v>3</v>
      </c>
      <c r="N137" s="20" t="s">
        <v>45</v>
      </c>
      <c r="O137" s="20">
        <f t="shared" si="13"/>
        <v>32</v>
      </c>
      <c r="P137" s="20" t="s">
        <v>34</v>
      </c>
      <c r="Q137" s="21" t="s">
        <v>29</v>
      </c>
      <c r="R137" s="40">
        <f>VLOOKUP(Master19[[#This Row],[Elevated Priority]],Epriority,2,)</f>
        <v>0</v>
      </c>
      <c r="S137" s="20" t="e">
        <f>IF(Master19[[#This Row],[Status]]="Active",Master19[[#This Row],[Status_Score]],IF(C137="","",K137+G137+M137+O137+R137-5))</f>
        <v>#N/A</v>
      </c>
    </row>
    <row r="138" spans="1:21" ht="75" hidden="1" x14ac:dyDescent="0.25">
      <c r="A138" s="10">
        <v>137</v>
      </c>
      <c r="B138" s="11" t="s">
        <v>94</v>
      </c>
      <c r="C138" s="11" t="s">
        <v>588</v>
      </c>
      <c r="D138" s="11" t="s">
        <v>589</v>
      </c>
      <c r="E138" s="11"/>
      <c r="F138" s="11" t="s">
        <v>29</v>
      </c>
      <c r="G138" s="11">
        <f t="shared" si="14"/>
        <v>0</v>
      </c>
      <c r="H138" s="12">
        <v>25000</v>
      </c>
      <c r="I138" s="21">
        <v>2019</v>
      </c>
      <c r="J138" s="11" t="s">
        <v>42</v>
      </c>
      <c r="K138" s="13" t="e">
        <f t="shared" si="12"/>
        <v>#N/A</v>
      </c>
      <c r="L138" s="20">
        <v>6</v>
      </c>
      <c r="M138" s="8">
        <f t="shared" si="15"/>
        <v>18</v>
      </c>
      <c r="N138" s="20" t="s">
        <v>41</v>
      </c>
      <c r="O138" s="20">
        <f t="shared" si="13"/>
        <v>4</v>
      </c>
      <c r="P138" s="20" t="s">
        <v>30</v>
      </c>
      <c r="Q138" s="21" t="s">
        <v>29</v>
      </c>
      <c r="R138" s="40">
        <f>VLOOKUP(Master19[[#This Row],[Elevated Priority]],Epriority,2,)</f>
        <v>0</v>
      </c>
      <c r="S138" s="20" t="e">
        <f>IF(Master19[[#This Row],[Status]]="Active",Master19[[#This Row],[Status_Score]],IF(C138="","",K138+G138+M138+O138+R138-5))</f>
        <v>#N/A</v>
      </c>
      <c r="T138" s="91"/>
    </row>
    <row r="139" spans="1:21" ht="75" hidden="1" x14ac:dyDescent="0.25">
      <c r="A139" s="10">
        <v>138</v>
      </c>
      <c r="B139" s="11" t="s">
        <v>70</v>
      </c>
      <c r="C139" s="11" t="s">
        <v>399</v>
      </c>
      <c r="D139" s="11" t="s">
        <v>400</v>
      </c>
      <c r="E139" s="11" t="s">
        <v>401</v>
      </c>
      <c r="F139" s="11" t="s">
        <v>29</v>
      </c>
      <c r="G139" s="11">
        <f t="shared" si="14"/>
        <v>0</v>
      </c>
      <c r="H139" s="12">
        <v>1500000</v>
      </c>
      <c r="I139" s="13">
        <v>2018</v>
      </c>
      <c r="J139" s="11" t="s">
        <v>44</v>
      </c>
      <c r="K139" s="13" t="e">
        <f t="shared" si="12"/>
        <v>#N/A</v>
      </c>
      <c r="L139" s="20" t="s">
        <v>29</v>
      </c>
      <c r="M139" s="8">
        <f t="shared" si="15"/>
        <v>0</v>
      </c>
      <c r="N139" s="20" t="s">
        <v>43</v>
      </c>
      <c r="O139" s="20">
        <f t="shared" si="13"/>
        <v>16</v>
      </c>
      <c r="P139" s="20" t="s">
        <v>34</v>
      </c>
      <c r="Q139" s="21" t="s">
        <v>29</v>
      </c>
      <c r="R139" s="40">
        <f>VLOOKUP(Master19[[#This Row],[Elevated Priority]],Epriority,2,)</f>
        <v>0</v>
      </c>
      <c r="S139" s="20" t="e">
        <f>IF(Master19[[#This Row],[Status]]="Active",Master19[[#This Row],[Status_Score]],IF(C139="","",K139+G139+M139+O139+R139-5))</f>
        <v>#N/A</v>
      </c>
      <c r="U139" t="s">
        <v>669</v>
      </c>
    </row>
    <row r="140" spans="1:21" ht="45" hidden="1" x14ac:dyDescent="0.25">
      <c r="A140" s="10">
        <v>139</v>
      </c>
      <c r="B140" s="11" t="s">
        <v>65</v>
      </c>
      <c r="C140" s="11" t="s">
        <v>387</v>
      </c>
      <c r="D140" s="11" t="s">
        <v>388</v>
      </c>
      <c r="E140" s="11" t="s">
        <v>389</v>
      </c>
      <c r="F140" s="11" t="s">
        <v>29</v>
      </c>
      <c r="G140" s="11">
        <f t="shared" si="14"/>
        <v>0</v>
      </c>
      <c r="H140" s="12">
        <v>375000</v>
      </c>
      <c r="I140" s="13">
        <v>2018</v>
      </c>
      <c r="J140" s="11" t="s">
        <v>44</v>
      </c>
      <c r="K140" s="13" t="e">
        <f t="shared" si="12"/>
        <v>#N/A</v>
      </c>
      <c r="L140" s="20" t="s">
        <v>29</v>
      </c>
      <c r="M140" s="8">
        <f t="shared" si="15"/>
        <v>0</v>
      </c>
      <c r="N140" s="20" t="s">
        <v>43</v>
      </c>
      <c r="O140" s="20">
        <f t="shared" si="13"/>
        <v>16</v>
      </c>
      <c r="P140" s="20" t="s">
        <v>34</v>
      </c>
      <c r="Q140" s="21" t="s">
        <v>29</v>
      </c>
      <c r="R140" s="40">
        <f>VLOOKUP(Master19[[#This Row],[Elevated Priority]],Epriority,2,)</f>
        <v>0</v>
      </c>
      <c r="S140" s="20" t="e">
        <f>IF(Master19[[#This Row],[Status]]="Active",Master19[[#This Row],[Status_Score]],IF(C140="","",K140+G140+M140+O140+R140-5))</f>
        <v>#N/A</v>
      </c>
    </row>
    <row r="141" spans="1:21" ht="75" hidden="1" x14ac:dyDescent="0.25">
      <c r="A141" s="10">
        <v>140</v>
      </c>
      <c r="B141" s="11" t="s">
        <v>70</v>
      </c>
      <c r="C141" s="11" t="s">
        <v>405</v>
      </c>
      <c r="D141" s="11" t="s">
        <v>406</v>
      </c>
      <c r="E141" s="11" t="s">
        <v>407</v>
      </c>
      <c r="F141" s="11" t="s">
        <v>29</v>
      </c>
      <c r="G141" s="11">
        <f t="shared" si="14"/>
        <v>0</v>
      </c>
      <c r="H141" s="12">
        <v>175000</v>
      </c>
      <c r="I141" s="13">
        <v>2018</v>
      </c>
      <c r="J141" s="11" t="s">
        <v>44</v>
      </c>
      <c r="K141" s="13" t="e">
        <f t="shared" si="12"/>
        <v>#N/A</v>
      </c>
      <c r="L141" s="20" t="s">
        <v>29</v>
      </c>
      <c r="M141" s="8">
        <f t="shared" si="15"/>
        <v>0</v>
      </c>
      <c r="N141" s="20" t="s">
        <v>43</v>
      </c>
      <c r="O141" s="20">
        <f t="shared" si="13"/>
        <v>16</v>
      </c>
      <c r="P141" s="20" t="s">
        <v>34</v>
      </c>
      <c r="Q141" s="21" t="s">
        <v>29</v>
      </c>
      <c r="R141" s="40">
        <f>VLOOKUP(Master19[[#This Row],[Elevated Priority]],Epriority,2,)</f>
        <v>0</v>
      </c>
      <c r="S141" s="20" t="e">
        <f>IF(Master19[[#This Row],[Status]]="Active",Master19[[#This Row],[Status_Score]],IF(C141="","",K141+G141+M141+O141+R141-5))</f>
        <v>#N/A</v>
      </c>
      <c r="U141" t="s">
        <v>669</v>
      </c>
    </row>
    <row r="142" spans="1:21" ht="60" hidden="1" x14ac:dyDescent="0.25">
      <c r="A142" s="10">
        <v>141</v>
      </c>
      <c r="B142" s="11" t="s">
        <v>91</v>
      </c>
      <c r="C142" s="11" t="s">
        <v>393</v>
      </c>
      <c r="D142" s="11" t="s">
        <v>394</v>
      </c>
      <c r="E142" s="11" t="s">
        <v>395</v>
      </c>
      <c r="F142" s="11" t="s">
        <v>29</v>
      </c>
      <c r="G142" s="11">
        <f t="shared" si="14"/>
        <v>0</v>
      </c>
      <c r="H142" s="12">
        <v>85000</v>
      </c>
      <c r="I142" s="13">
        <v>2018</v>
      </c>
      <c r="J142" s="11" t="s">
        <v>40</v>
      </c>
      <c r="K142" s="13" t="e">
        <f t="shared" si="12"/>
        <v>#N/A</v>
      </c>
      <c r="L142" s="20">
        <v>7</v>
      </c>
      <c r="M142" s="8">
        <f t="shared" si="15"/>
        <v>20</v>
      </c>
      <c r="N142" s="20" t="s">
        <v>43</v>
      </c>
      <c r="O142" s="20">
        <f t="shared" si="13"/>
        <v>16</v>
      </c>
      <c r="P142" s="20" t="s">
        <v>30</v>
      </c>
      <c r="Q142" s="21" t="s">
        <v>29</v>
      </c>
      <c r="R142" s="40">
        <f>VLOOKUP(Master19[[#This Row],[Elevated Priority]],Epriority,2,)</f>
        <v>0</v>
      </c>
      <c r="S142" s="20" t="e">
        <f>IF(Master19[[#This Row],[Status]]="Active",Master19[[#This Row],[Status_Score]],IF(C142="","",K142+G142+M142+O142+R142-5))</f>
        <v>#N/A</v>
      </c>
    </row>
    <row r="143" spans="1:21" ht="45" hidden="1" x14ac:dyDescent="0.25">
      <c r="A143" s="10">
        <v>142</v>
      </c>
      <c r="B143" s="11" t="s">
        <v>61</v>
      </c>
      <c r="C143" s="11" t="s">
        <v>396</v>
      </c>
      <c r="D143" s="11" t="s">
        <v>397</v>
      </c>
      <c r="E143" s="11" t="s">
        <v>398</v>
      </c>
      <c r="F143" s="11" t="s">
        <v>29</v>
      </c>
      <c r="G143" s="11">
        <f t="shared" si="14"/>
        <v>0</v>
      </c>
      <c r="H143" s="12">
        <v>300000</v>
      </c>
      <c r="I143" s="13">
        <v>2018</v>
      </c>
      <c r="J143" s="11" t="s">
        <v>40</v>
      </c>
      <c r="K143" s="13" t="e">
        <f t="shared" si="12"/>
        <v>#N/A</v>
      </c>
      <c r="L143" s="20">
        <v>7</v>
      </c>
      <c r="M143" s="8">
        <f t="shared" si="15"/>
        <v>20</v>
      </c>
      <c r="N143" s="20" t="s">
        <v>43</v>
      </c>
      <c r="O143" s="20">
        <f t="shared" si="13"/>
        <v>16</v>
      </c>
      <c r="P143" s="20" t="s">
        <v>30</v>
      </c>
      <c r="Q143" s="21" t="s">
        <v>29</v>
      </c>
      <c r="R143" s="40">
        <f>VLOOKUP(Master19[[#This Row],[Elevated Priority]],Epriority,2,)</f>
        <v>0</v>
      </c>
      <c r="S143" s="20" t="e">
        <f>IF(Master19[[#This Row],[Status]]="Active",Master19[[#This Row],[Status_Score]],IF(C143="","",K143+G143+M143+O143+R143-5))</f>
        <v>#N/A</v>
      </c>
    </row>
    <row r="144" spans="1:21" ht="30" hidden="1" x14ac:dyDescent="0.25">
      <c r="A144" s="10">
        <v>143</v>
      </c>
      <c r="B144" s="11" t="s">
        <v>94</v>
      </c>
      <c r="C144" s="11" t="s">
        <v>610</v>
      </c>
      <c r="D144" s="11"/>
      <c r="E144" s="11" t="s">
        <v>138</v>
      </c>
      <c r="F144" s="11" t="s">
        <v>29</v>
      </c>
      <c r="G144" s="11">
        <f t="shared" si="14"/>
        <v>0</v>
      </c>
      <c r="H144" s="12">
        <v>20000</v>
      </c>
      <c r="I144" s="21">
        <v>2019</v>
      </c>
      <c r="J144" s="11" t="s">
        <v>40</v>
      </c>
      <c r="K144" s="13" t="e">
        <f t="shared" si="12"/>
        <v>#N/A</v>
      </c>
      <c r="L144" s="20">
        <v>26</v>
      </c>
      <c r="M144" s="8">
        <f t="shared" si="15"/>
        <v>29</v>
      </c>
      <c r="N144" s="20" t="s">
        <v>41</v>
      </c>
      <c r="O144" s="20">
        <f t="shared" si="13"/>
        <v>4</v>
      </c>
      <c r="P144" s="20" t="s">
        <v>30</v>
      </c>
      <c r="Q144" s="21" t="s">
        <v>29</v>
      </c>
      <c r="R144" s="40">
        <f>VLOOKUP(Master19[[#This Row],[Elevated Priority]],Epriority,2,)</f>
        <v>0</v>
      </c>
      <c r="S144" s="20" t="e">
        <f>IF(Master19[[#This Row],[Status]]="Active",Master19[[#This Row],[Status_Score]],IF(C144="","",K144+G144+M144+O144+R144-5))</f>
        <v>#N/A</v>
      </c>
      <c r="T144" s="91"/>
    </row>
    <row r="145" spans="1:21" ht="105" hidden="1" x14ac:dyDescent="0.25">
      <c r="A145" s="10">
        <v>144</v>
      </c>
      <c r="B145" s="11" t="s">
        <v>143</v>
      </c>
      <c r="C145" s="11" t="s">
        <v>144</v>
      </c>
      <c r="D145" s="11" t="s">
        <v>145</v>
      </c>
      <c r="E145" s="11" t="s">
        <v>146</v>
      </c>
      <c r="F145" s="11" t="s">
        <v>29</v>
      </c>
      <c r="G145" s="11">
        <f t="shared" si="14"/>
        <v>0</v>
      </c>
      <c r="H145" s="22">
        <v>50000</v>
      </c>
      <c r="I145" s="13">
        <v>2018</v>
      </c>
      <c r="J145" s="11" t="s">
        <v>44</v>
      </c>
      <c r="K145" s="13" t="e">
        <f t="shared" si="12"/>
        <v>#N/A</v>
      </c>
      <c r="L145" s="21">
        <v>3</v>
      </c>
      <c r="M145" s="8">
        <f t="shared" si="15"/>
        <v>9</v>
      </c>
      <c r="N145" s="21" t="s">
        <v>41</v>
      </c>
      <c r="O145" s="20">
        <f t="shared" si="13"/>
        <v>4</v>
      </c>
      <c r="P145" s="20" t="s">
        <v>34</v>
      </c>
      <c r="Q145" s="21" t="s">
        <v>29</v>
      </c>
      <c r="R145" s="40">
        <f>VLOOKUP(Master19[[#This Row],[Elevated Priority]],Epriority,2,)</f>
        <v>0</v>
      </c>
      <c r="S145" s="20" t="e">
        <f>IF(Master19[[#This Row],[Status]]="Active",Master19[[#This Row],[Status_Score]],IF(C145="","",K145+G145+M145+O145+R145-5))</f>
        <v>#N/A</v>
      </c>
      <c r="U145" t="s">
        <v>670</v>
      </c>
    </row>
    <row r="146" spans="1:21" ht="30" hidden="1" x14ac:dyDescent="0.25">
      <c r="A146" s="10">
        <v>145</v>
      </c>
      <c r="B146" s="11" t="s">
        <v>94</v>
      </c>
      <c r="C146" s="11" t="s">
        <v>235</v>
      </c>
      <c r="D146" s="11" t="s">
        <v>236</v>
      </c>
      <c r="E146" s="11" t="s">
        <v>138</v>
      </c>
      <c r="F146" s="11" t="s">
        <v>29</v>
      </c>
      <c r="G146" s="11">
        <f t="shared" si="14"/>
        <v>0</v>
      </c>
      <c r="H146" s="12">
        <v>150000</v>
      </c>
      <c r="I146" s="13">
        <v>2018</v>
      </c>
      <c r="J146" s="11" t="s">
        <v>40</v>
      </c>
      <c r="K146" s="13" t="e">
        <f t="shared" si="12"/>
        <v>#N/A</v>
      </c>
      <c r="L146" s="20">
        <v>25</v>
      </c>
      <c r="M146" s="8">
        <f t="shared" si="15"/>
        <v>29</v>
      </c>
      <c r="N146" s="20" t="s">
        <v>41</v>
      </c>
      <c r="O146" s="20">
        <f t="shared" si="13"/>
        <v>4</v>
      </c>
      <c r="P146" s="20" t="s">
        <v>30</v>
      </c>
      <c r="Q146" s="21" t="s">
        <v>29</v>
      </c>
      <c r="R146" s="40">
        <f>VLOOKUP(Master19[[#This Row],[Elevated Priority]],Epriority,2,)</f>
        <v>0</v>
      </c>
      <c r="S146" s="20" t="e">
        <f>IF(Master19[[#This Row],[Status]]="Active",Master19[[#This Row],[Status_Score]],IF(C146="","",K146+G146+M146+O146+R146-5))</f>
        <v>#N/A</v>
      </c>
    </row>
    <row r="147" spans="1:21" ht="30" hidden="1" x14ac:dyDescent="0.25">
      <c r="A147" s="10">
        <v>146</v>
      </c>
      <c r="B147" s="93" t="s">
        <v>94</v>
      </c>
      <c r="C147" s="93" t="s">
        <v>611</v>
      </c>
      <c r="D147" s="93" t="s">
        <v>612</v>
      </c>
      <c r="E147" s="93" t="s">
        <v>138</v>
      </c>
      <c r="F147" s="11" t="s">
        <v>29</v>
      </c>
      <c r="G147" s="11">
        <f t="shared" si="14"/>
        <v>0</v>
      </c>
      <c r="H147" s="12">
        <v>250000</v>
      </c>
      <c r="I147" s="21">
        <v>2019</v>
      </c>
      <c r="J147" s="11" t="s">
        <v>40</v>
      </c>
      <c r="K147" s="13" t="e">
        <f t="shared" si="12"/>
        <v>#N/A</v>
      </c>
      <c r="L147" s="13">
        <v>27</v>
      </c>
      <c r="M147" s="8">
        <f t="shared" si="15"/>
        <v>30</v>
      </c>
      <c r="N147" s="13" t="s">
        <v>41</v>
      </c>
      <c r="O147" s="20">
        <f t="shared" si="13"/>
        <v>4</v>
      </c>
      <c r="P147" s="13" t="s">
        <v>30</v>
      </c>
      <c r="Q147" s="13" t="s">
        <v>29</v>
      </c>
      <c r="R147" s="40">
        <f>VLOOKUP(Master19[[#This Row],[Elevated Priority]],Epriority,2,)</f>
        <v>0</v>
      </c>
      <c r="S147" s="13" t="e">
        <f>IF(Master19[[#This Row],[Status]]="Active",Master19[[#This Row],[Status_Score]],IF(C147="","",K147+G147+M147+O147+R147-5))</f>
        <v>#N/A</v>
      </c>
      <c r="T147" s="91"/>
    </row>
    <row r="148" spans="1:21" ht="45" hidden="1" x14ac:dyDescent="0.25">
      <c r="A148" s="10">
        <v>147</v>
      </c>
      <c r="B148" s="11" t="s">
        <v>94</v>
      </c>
      <c r="C148" s="11" t="s">
        <v>613</v>
      </c>
      <c r="D148" s="11" t="s">
        <v>614</v>
      </c>
      <c r="E148" s="11" t="s">
        <v>138</v>
      </c>
      <c r="F148" s="11" t="s">
        <v>29</v>
      </c>
      <c r="G148" s="11">
        <f t="shared" si="14"/>
        <v>0</v>
      </c>
      <c r="H148" s="12">
        <v>500000</v>
      </c>
      <c r="I148" s="21">
        <v>2019</v>
      </c>
      <c r="J148" s="11" t="s">
        <v>40</v>
      </c>
      <c r="K148" s="13" t="e">
        <f t="shared" si="12"/>
        <v>#N/A</v>
      </c>
      <c r="L148" s="13">
        <v>28</v>
      </c>
      <c r="M148" s="8">
        <f t="shared" si="15"/>
        <v>30</v>
      </c>
      <c r="N148" s="13" t="s">
        <v>41</v>
      </c>
      <c r="O148" s="20">
        <f t="shared" si="13"/>
        <v>4</v>
      </c>
      <c r="P148" s="13" t="s">
        <v>30</v>
      </c>
      <c r="Q148" s="13" t="s">
        <v>29</v>
      </c>
      <c r="R148" s="40">
        <f>VLOOKUP(Master19[[#This Row],[Elevated Priority]],Epriority,2,)</f>
        <v>0</v>
      </c>
      <c r="S148" s="13" t="e">
        <f>IF(Master19[[#This Row],[Status]]="Active",Master19[[#This Row],[Status_Score]],IF(C148="","",K148+G148+M148+O148+R148-5))</f>
        <v>#N/A</v>
      </c>
      <c r="T148" s="91"/>
    </row>
    <row r="149" spans="1:21" ht="60" hidden="1" x14ac:dyDescent="0.25">
      <c r="A149" s="10">
        <v>148</v>
      </c>
      <c r="B149" s="11" t="s">
        <v>637</v>
      </c>
      <c r="C149" s="11" t="s">
        <v>328</v>
      </c>
      <c r="D149" s="11" t="s">
        <v>329</v>
      </c>
      <c r="E149" s="11" t="s">
        <v>330</v>
      </c>
      <c r="F149" s="11" t="s">
        <v>29</v>
      </c>
      <c r="G149" s="11">
        <f t="shared" si="14"/>
        <v>0</v>
      </c>
      <c r="H149" s="12">
        <v>20000</v>
      </c>
      <c r="I149" s="13">
        <v>2018</v>
      </c>
      <c r="J149" s="11" t="s">
        <v>42</v>
      </c>
      <c r="K149" s="13" t="e">
        <f t="shared" si="12"/>
        <v>#N/A</v>
      </c>
      <c r="L149" s="20">
        <v>4</v>
      </c>
      <c r="M149" s="8">
        <f t="shared" si="15"/>
        <v>12</v>
      </c>
      <c r="N149" s="20" t="s">
        <v>43</v>
      </c>
      <c r="O149" s="20">
        <f t="shared" si="13"/>
        <v>16</v>
      </c>
      <c r="P149" s="20" t="s">
        <v>30</v>
      </c>
      <c r="Q149" s="21" t="s">
        <v>29</v>
      </c>
      <c r="R149" s="40">
        <f>VLOOKUP(Master19[[#This Row],[Elevated Priority]],Epriority,2,)</f>
        <v>0</v>
      </c>
      <c r="S149" s="20" t="e">
        <f>IF(Master19[[#This Row],[Status]]="Active",Master19[[#This Row],[Status_Score]],IF(C149="","",K149+G149+M149+O149+R149-5))</f>
        <v>#N/A</v>
      </c>
    </row>
    <row r="150" spans="1:21" ht="300" hidden="1" x14ac:dyDescent="0.25">
      <c r="A150" s="10">
        <v>149</v>
      </c>
      <c r="B150" s="11" t="s">
        <v>159</v>
      </c>
      <c r="C150" s="11" t="s">
        <v>416</v>
      </c>
      <c r="D150" s="11" t="s">
        <v>417</v>
      </c>
      <c r="E150" s="11" t="s">
        <v>418</v>
      </c>
      <c r="F150" s="11" t="s">
        <v>29</v>
      </c>
      <c r="G150" s="11">
        <f t="shared" si="14"/>
        <v>0</v>
      </c>
      <c r="H150" s="12">
        <v>45000</v>
      </c>
      <c r="I150" s="13">
        <v>2018</v>
      </c>
      <c r="J150" s="11" t="s">
        <v>42</v>
      </c>
      <c r="K150" s="13" t="e">
        <f t="shared" ref="K150:K181" si="16">VLOOKUP(J150,Importance,2,FALSE)</f>
        <v>#N/A</v>
      </c>
      <c r="L150" s="20">
        <v>4</v>
      </c>
      <c r="M150" s="8">
        <f t="shared" si="15"/>
        <v>12</v>
      </c>
      <c r="N150" s="20" t="s">
        <v>43</v>
      </c>
      <c r="O150" s="20">
        <f t="shared" si="13"/>
        <v>16</v>
      </c>
      <c r="P150" s="20" t="s">
        <v>30</v>
      </c>
      <c r="Q150" s="21" t="s">
        <v>29</v>
      </c>
      <c r="R150" s="40">
        <f>VLOOKUP(Master19[[#This Row],[Elevated Priority]],Epriority,2,)</f>
        <v>0</v>
      </c>
      <c r="S150" s="20" t="e">
        <f>IF(Master19[[#This Row],[Status]]="Active",Master19[[#This Row],[Status_Score]],IF(C150="","",K150+G150+M150+O150+R150-5))</f>
        <v>#N/A</v>
      </c>
    </row>
    <row r="151" spans="1:21" ht="60" hidden="1" x14ac:dyDescent="0.25">
      <c r="A151" s="10">
        <v>150</v>
      </c>
      <c r="B151" s="11" t="s">
        <v>299</v>
      </c>
      <c r="C151" s="11" t="s">
        <v>414</v>
      </c>
      <c r="D151" s="11" t="s">
        <v>414</v>
      </c>
      <c r="E151" s="11" t="s">
        <v>415</v>
      </c>
      <c r="F151" s="11" t="s">
        <v>29</v>
      </c>
      <c r="G151" s="11">
        <f t="shared" si="14"/>
        <v>0</v>
      </c>
      <c r="H151" s="22">
        <v>100000</v>
      </c>
      <c r="I151" s="13">
        <v>2018</v>
      </c>
      <c r="J151" s="11" t="s">
        <v>40</v>
      </c>
      <c r="K151" s="13" t="e">
        <f t="shared" si="16"/>
        <v>#N/A</v>
      </c>
      <c r="L151" s="21">
        <v>2</v>
      </c>
      <c r="M151" s="8">
        <f t="shared" si="15"/>
        <v>6</v>
      </c>
      <c r="N151" s="21" t="s">
        <v>45</v>
      </c>
      <c r="O151" s="20">
        <f t="shared" si="13"/>
        <v>32</v>
      </c>
      <c r="P151" s="20" t="s">
        <v>30</v>
      </c>
      <c r="Q151" s="21" t="s">
        <v>29</v>
      </c>
      <c r="R151" s="40">
        <f>VLOOKUP(Master19[[#This Row],[Elevated Priority]],Epriority,2,)</f>
        <v>0</v>
      </c>
      <c r="S151" s="20" t="e">
        <f>IF(Master19[[#This Row],[Status]]="Active",Master19[[#This Row],[Status_Score]],IF(C151="","",K151+G151+M151+O151+R151-5))</f>
        <v>#N/A</v>
      </c>
    </row>
    <row r="152" spans="1:21" ht="30" hidden="1" x14ac:dyDescent="0.25">
      <c r="A152" s="10">
        <v>151</v>
      </c>
      <c r="B152" s="11" t="s">
        <v>91</v>
      </c>
      <c r="C152" s="11" t="s">
        <v>481</v>
      </c>
      <c r="D152" s="11" t="s">
        <v>482</v>
      </c>
      <c r="E152" s="11" t="s">
        <v>483</v>
      </c>
      <c r="F152" s="11" t="s">
        <v>29</v>
      </c>
      <c r="G152" s="11">
        <f t="shared" si="14"/>
        <v>0</v>
      </c>
      <c r="H152" s="12">
        <v>150000</v>
      </c>
      <c r="I152" s="13">
        <v>2018</v>
      </c>
      <c r="J152" s="11" t="s">
        <v>44</v>
      </c>
      <c r="K152" s="13" t="e">
        <f t="shared" si="16"/>
        <v>#N/A</v>
      </c>
      <c r="L152" s="20">
        <v>1</v>
      </c>
      <c r="M152" s="8">
        <f t="shared" si="15"/>
        <v>3</v>
      </c>
      <c r="N152" s="20" t="s">
        <v>43</v>
      </c>
      <c r="O152" s="20">
        <f t="shared" si="13"/>
        <v>16</v>
      </c>
      <c r="P152" s="20" t="s">
        <v>34</v>
      </c>
      <c r="Q152" s="21" t="s">
        <v>29</v>
      </c>
      <c r="R152" s="40">
        <f>VLOOKUP(Master19[[#This Row],[Elevated Priority]],Epriority,2,)</f>
        <v>0</v>
      </c>
      <c r="S152" s="20" t="e">
        <f>IF(Master19[[#This Row],[Status]]="Active",Master19[[#This Row],[Status_Score]],IF(C152="","",K152+G152+M152+O152+R152-5))</f>
        <v>#N/A</v>
      </c>
    </row>
    <row r="153" spans="1:21" ht="30" hidden="1" x14ac:dyDescent="0.25">
      <c r="A153" s="10">
        <v>152</v>
      </c>
      <c r="B153" s="11" t="s">
        <v>67</v>
      </c>
      <c r="C153" s="11" t="s">
        <v>437</v>
      </c>
      <c r="D153" s="11"/>
      <c r="E153" s="11"/>
      <c r="F153" s="11" t="s">
        <v>29</v>
      </c>
      <c r="G153" s="11">
        <f t="shared" si="14"/>
        <v>0</v>
      </c>
      <c r="H153" s="12"/>
      <c r="I153" s="13">
        <v>2018</v>
      </c>
      <c r="J153" s="11" t="s">
        <v>46</v>
      </c>
      <c r="K153" s="13">
        <f t="shared" si="16"/>
        <v>50</v>
      </c>
      <c r="L153" s="20" t="s">
        <v>29</v>
      </c>
      <c r="M153" s="8">
        <f t="shared" si="15"/>
        <v>0</v>
      </c>
      <c r="N153" s="20" t="s">
        <v>29</v>
      </c>
      <c r="O153" s="20">
        <f t="shared" si="13"/>
        <v>0</v>
      </c>
      <c r="P153" s="20" t="s">
        <v>30</v>
      </c>
      <c r="Q153" s="21" t="s">
        <v>29</v>
      </c>
      <c r="R153" s="40">
        <f>VLOOKUP(Master19[[#This Row],[Elevated Priority]],Epriority,2,)</f>
        <v>0</v>
      </c>
      <c r="S153" s="20">
        <f>IF(Master19[[#This Row],[Status]]="Active",Master19[[#This Row],[Status_Score]],IF(C153="","",K153+G153+M153+O153+R153-5))</f>
        <v>45</v>
      </c>
    </row>
    <row r="154" spans="1:21" ht="60" x14ac:dyDescent="0.25">
      <c r="A154" s="10">
        <v>153</v>
      </c>
      <c r="B154" s="11" t="s">
        <v>87</v>
      </c>
      <c r="C154" s="11" t="s">
        <v>422</v>
      </c>
      <c r="D154" s="11" t="s">
        <v>423</v>
      </c>
      <c r="E154" s="11" t="s">
        <v>424</v>
      </c>
      <c r="F154" s="11" t="s">
        <v>29</v>
      </c>
      <c r="G154" s="11">
        <f t="shared" si="14"/>
        <v>0</v>
      </c>
      <c r="H154" s="12"/>
      <c r="I154" s="13">
        <v>2018</v>
      </c>
      <c r="J154" s="11" t="s">
        <v>46</v>
      </c>
      <c r="K154" s="13">
        <f t="shared" si="16"/>
        <v>50</v>
      </c>
      <c r="L154" s="20" t="s">
        <v>29</v>
      </c>
      <c r="M154" s="8">
        <f t="shared" si="15"/>
        <v>0</v>
      </c>
      <c r="N154" s="20" t="s">
        <v>29</v>
      </c>
      <c r="O154" s="20">
        <f t="shared" si="13"/>
        <v>0</v>
      </c>
      <c r="P154" s="20" t="s">
        <v>30</v>
      </c>
      <c r="Q154" s="21" t="s">
        <v>29</v>
      </c>
      <c r="R154" s="40">
        <f>VLOOKUP(Master19[[#This Row],[Elevated Priority]],Epriority,2,)</f>
        <v>0</v>
      </c>
      <c r="S154" s="20">
        <f>IF(Master19[[#This Row],[Status]]="Active",Master19[[#This Row],[Status_Score]],IF(C154="","",K154+G154+M154+O154+R154-5))</f>
        <v>45</v>
      </c>
    </row>
    <row r="155" spans="1:21" ht="30" hidden="1" x14ac:dyDescent="0.25">
      <c r="A155" s="10">
        <v>154</v>
      </c>
      <c r="B155" s="11" t="s">
        <v>94</v>
      </c>
      <c r="C155" s="38" t="s">
        <v>270</v>
      </c>
      <c r="D155" s="38" t="s">
        <v>271</v>
      </c>
      <c r="E155" s="38" t="s">
        <v>272</v>
      </c>
      <c r="F155" s="11" t="s">
        <v>29</v>
      </c>
      <c r="G155" s="11">
        <f t="shared" si="14"/>
        <v>0</v>
      </c>
      <c r="H155" s="12">
        <v>5000</v>
      </c>
      <c r="I155" s="13">
        <v>2018</v>
      </c>
      <c r="J155" s="11" t="s">
        <v>40</v>
      </c>
      <c r="K155" s="13" t="e">
        <f t="shared" si="16"/>
        <v>#N/A</v>
      </c>
      <c r="L155" s="20">
        <v>34</v>
      </c>
      <c r="M155" s="8">
        <f t="shared" si="15"/>
        <v>33</v>
      </c>
      <c r="N155" s="20" t="s">
        <v>41</v>
      </c>
      <c r="O155" s="20">
        <f t="shared" si="13"/>
        <v>4</v>
      </c>
      <c r="P155" s="20" t="s">
        <v>30</v>
      </c>
      <c r="Q155" s="21" t="s">
        <v>29</v>
      </c>
      <c r="R155" s="40">
        <f>VLOOKUP(Master19[[#This Row],[Elevated Priority]],Epriority,2,)</f>
        <v>0</v>
      </c>
      <c r="S155" s="20" t="e">
        <f>IF(Master19[[#This Row],[Status]]="Active",Master19[[#This Row],[Status_Score]],IF(C155="","",K155+G155+M155+O155+R155-5))</f>
        <v>#N/A</v>
      </c>
    </row>
    <row r="156" spans="1:21" hidden="1" x14ac:dyDescent="0.25">
      <c r="A156" s="10">
        <v>155</v>
      </c>
      <c r="B156" s="11" t="s">
        <v>61</v>
      </c>
      <c r="C156" s="11" t="s">
        <v>441</v>
      </c>
      <c r="D156" s="11" t="s">
        <v>442</v>
      </c>
      <c r="E156" s="11" t="s">
        <v>443</v>
      </c>
      <c r="F156" s="11" t="s">
        <v>29</v>
      </c>
      <c r="G156" s="11">
        <f t="shared" si="14"/>
        <v>0</v>
      </c>
      <c r="H156" s="12">
        <v>100000</v>
      </c>
      <c r="I156" s="13">
        <v>2018</v>
      </c>
      <c r="J156" s="11" t="s">
        <v>42</v>
      </c>
      <c r="K156" s="13" t="e">
        <f t="shared" si="16"/>
        <v>#N/A</v>
      </c>
      <c r="L156" s="20">
        <v>5</v>
      </c>
      <c r="M156" s="8">
        <f t="shared" si="15"/>
        <v>15</v>
      </c>
      <c r="N156" s="20" t="s">
        <v>43</v>
      </c>
      <c r="O156" s="20">
        <f t="shared" si="13"/>
        <v>16</v>
      </c>
      <c r="P156" s="20" t="s">
        <v>30</v>
      </c>
      <c r="Q156" s="21" t="s">
        <v>29</v>
      </c>
      <c r="R156" s="40">
        <f>VLOOKUP(Master19[[#This Row],[Elevated Priority]],Epriority,2,)</f>
        <v>0</v>
      </c>
      <c r="S156" s="20" t="e">
        <f>IF(Master19[[#This Row],[Status]]="Active",Master19[[#This Row],[Status_Score]],IF(C156="","",K156+G156+M156+O156+R156-5))</f>
        <v>#N/A</v>
      </c>
    </row>
    <row r="157" spans="1:21" ht="45" hidden="1" x14ac:dyDescent="0.25">
      <c r="A157" s="10">
        <v>156</v>
      </c>
      <c r="B157" s="11" t="s">
        <v>143</v>
      </c>
      <c r="C157" s="38" t="s">
        <v>166</v>
      </c>
      <c r="D157" s="38" t="s">
        <v>167</v>
      </c>
      <c r="E157" s="38" t="s">
        <v>168</v>
      </c>
      <c r="F157" s="11" t="s">
        <v>29</v>
      </c>
      <c r="G157" s="11">
        <f t="shared" si="14"/>
        <v>0</v>
      </c>
      <c r="H157" s="22">
        <v>40000</v>
      </c>
      <c r="I157" s="13">
        <v>2018</v>
      </c>
      <c r="J157" s="11" t="s">
        <v>44</v>
      </c>
      <c r="K157" s="13" t="e">
        <f t="shared" si="16"/>
        <v>#N/A</v>
      </c>
      <c r="L157" s="21">
        <v>5</v>
      </c>
      <c r="M157" s="8">
        <f t="shared" si="15"/>
        <v>15</v>
      </c>
      <c r="N157" s="21" t="s">
        <v>41</v>
      </c>
      <c r="O157" s="20">
        <f t="shared" si="13"/>
        <v>4</v>
      </c>
      <c r="P157" s="20" t="s">
        <v>34</v>
      </c>
      <c r="Q157" s="21" t="s">
        <v>29</v>
      </c>
      <c r="R157" s="40">
        <f>VLOOKUP(Master19[[#This Row],[Elevated Priority]],Epriority,2,)</f>
        <v>0</v>
      </c>
      <c r="S157" s="20" t="e">
        <f>IF(Master19[[#This Row],[Status]]="Active",Master19[[#This Row],[Status_Score]],IF(C157="","",K157+G157+M157+O157+R157-5))</f>
        <v>#N/A</v>
      </c>
    </row>
    <row r="158" spans="1:21" ht="45" hidden="1" x14ac:dyDescent="0.25">
      <c r="A158" s="10">
        <v>157</v>
      </c>
      <c r="B158" s="11" t="s">
        <v>214</v>
      </c>
      <c r="C158" s="11" t="s">
        <v>447</v>
      </c>
      <c r="D158" s="11" t="s">
        <v>448</v>
      </c>
      <c r="E158" s="11" t="s">
        <v>449</v>
      </c>
      <c r="F158" s="11" t="s">
        <v>29</v>
      </c>
      <c r="G158" s="11">
        <f t="shared" si="14"/>
        <v>0</v>
      </c>
      <c r="H158" s="12">
        <v>200000</v>
      </c>
      <c r="I158" s="13">
        <v>2018</v>
      </c>
      <c r="J158" s="11" t="s">
        <v>42</v>
      </c>
      <c r="K158" s="13" t="e">
        <f t="shared" si="16"/>
        <v>#N/A</v>
      </c>
      <c r="L158" s="20">
        <v>6</v>
      </c>
      <c r="M158" s="8">
        <f t="shared" si="15"/>
        <v>18</v>
      </c>
      <c r="N158" s="20" t="s">
        <v>43</v>
      </c>
      <c r="O158" s="20">
        <f t="shared" ref="O158:O189" si="17">VLOOKUP(N158,Urgency,2,FALSE)</f>
        <v>16</v>
      </c>
      <c r="P158" s="20" t="s">
        <v>30</v>
      </c>
      <c r="Q158" s="21" t="s">
        <v>29</v>
      </c>
      <c r="R158" s="40">
        <f>VLOOKUP(Master19[[#This Row],[Elevated Priority]],Epriority,2,)</f>
        <v>0</v>
      </c>
      <c r="S158" s="20" t="e">
        <f>IF(Master19[[#This Row],[Status]]="Active",Master19[[#This Row],[Status_Score]],IF(C158="","",K158+G158+M158+O158+R158-5))</f>
        <v>#N/A</v>
      </c>
    </row>
    <row r="159" spans="1:21" ht="150" hidden="1" x14ac:dyDescent="0.25">
      <c r="A159" s="10">
        <v>158</v>
      </c>
      <c r="B159" s="11" t="s">
        <v>299</v>
      </c>
      <c r="C159" s="11" t="s">
        <v>450</v>
      </c>
      <c r="D159" s="11" t="s">
        <v>451</v>
      </c>
      <c r="E159" s="11" t="s">
        <v>452</v>
      </c>
      <c r="F159" s="11" t="s">
        <v>29</v>
      </c>
      <c r="G159" s="11">
        <f t="shared" si="14"/>
        <v>0</v>
      </c>
      <c r="H159" s="22">
        <v>50000</v>
      </c>
      <c r="I159" s="13">
        <v>2018</v>
      </c>
      <c r="J159" s="11" t="s">
        <v>44</v>
      </c>
      <c r="K159" s="13" t="e">
        <f t="shared" si="16"/>
        <v>#N/A</v>
      </c>
      <c r="L159" s="21">
        <v>3</v>
      </c>
      <c r="M159" s="8">
        <f t="shared" si="15"/>
        <v>9</v>
      </c>
      <c r="N159" s="21" t="s">
        <v>43</v>
      </c>
      <c r="O159" s="20">
        <f t="shared" si="17"/>
        <v>16</v>
      </c>
      <c r="P159" s="20" t="s">
        <v>34</v>
      </c>
      <c r="Q159" s="21" t="s">
        <v>29</v>
      </c>
      <c r="R159" s="40">
        <f>VLOOKUP(Master19[[#This Row],[Elevated Priority]],Epriority,2,)</f>
        <v>0</v>
      </c>
      <c r="S159" s="20" t="e">
        <f>IF(Master19[[#This Row],[Status]]="Active",Master19[[#This Row],[Status_Score]],IF(C159="","",K159+G159+M159+O159+R159-5))</f>
        <v>#N/A</v>
      </c>
    </row>
    <row r="160" spans="1:21" ht="105" hidden="1" x14ac:dyDescent="0.25">
      <c r="A160" s="10">
        <v>159</v>
      </c>
      <c r="B160" s="11" t="s">
        <v>67</v>
      </c>
      <c r="C160" s="11" t="s">
        <v>419</v>
      </c>
      <c r="D160" s="11" t="s">
        <v>420</v>
      </c>
      <c r="E160" s="11" t="s">
        <v>421</v>
      </c>
      <c r="F160" s="11" t="s">
        <v>29</v>
      </c>
      <c r="G160" s="11">
        <f t="shared" si="14"/>
        <v>0</v>
      </c>
      <c r="H160" s="12"/>
      <c r="I160" s="13">
        <v>2018</v>
      </c>
      <c r="J160" s="11" t="s">
        <v>46</v>
      </c>
      <c r="K160" s="13">
        <f t="shared" si="16"/>
        <v>50</v>
      </c>
      <c r="L160" s="20">
        <v>2</v>
      </c>
      <c r="M160" s="8">
        <f t="shared" si="15"/>
        <v>6</v>
      </c>
      <c r="N160" s="20" t="s">
        <v>29</v>
      </c>
      <c r="O160" s="20">
        <f t="shared" si="17"/>
        <v>0</v>
      </c>
      <c r="P160" s="20" t="s">
        <v>34</v>
      </c>
      <c r="Q160" s="21" t="s">
        <v>29</v>
      </c>
      <c r="R160" s="40">
        <f>VLOOKUP(Master19[[#This Row],[Elevated Priority]],Epriority,2,)</f>
        <v>0</v>
      </c>
      <c r="S160" s="20">
        <f>IF(Master19[[#This Row],[Status]]="Active",Master19[[#This Row],[Status_Score]],IF(C160="","",K160+G160+M160+O160+R160-5))</f>
        <v>51</v>
      </c>
    </row>
    <row r="161" spans="1:20" ht="45" hidden="1" x14ac:dyDescent="0.25">
      <c r="A161" s="10">
        <v>160</v>
      </c>
      <c r="B161" s="11" t="s">
        <v>67</v>
      </c>
      <c r="C161" s="11" t="s">
        <v>431</v>
      </c>
      <c r="D161" s="11" t="s">
        <v>432</v>
      </c>
      <c r="E161" s="11" t="s">
        <v>433</v>
      </c>
      <c r="F161" s="11" t="s">
        <v>29</v>
      </c>
      <c r="G161" s="11">
        <f t="shared" si="14"/>
        <v>0</v>
      </c>
      <c r="H161" s="12">
        <v>25000</v>
      </c>
      <c r="I161" s="13">
        <v>2018</v>
      </c>
      <c r="J161" s="11" t="s">
        <v>46</v>
      </c>
      <c r="K161" s="13">
        <f t="shared" si="16"/>
        <v>50</v>
      </c>
      <c r="L161" s="20">
        <v>2</v>
      </c>
      <c r="M161" s="8">
        <f t="shared" si="15"/>
        <v>6</v>
      </c>
      <c r="N161" s="20" t="s">
        <v>29</v>
      </c>
      <c r="O161" s="20">
        <f t="shared" si="17"/>
        <v>0</v>
      </c>
      <c r="P161" s="20" t="s">
        <v>30</v>
      </c>
      <c r="Q161" s="21" t="s">
        <v>29</v>
      </c>
      <c r="R161" s="40">
        <f>VLOOKUP(Master19[[#This Row],[Elevated Priority]],Epriority,2,)</f>
        <v>0</v>
      </c>
      <c r="S161" s="20">
        <f>IF(Master19[[#This Row],[Status]]="Active",Master19[[#This Row],[Status_Score]],IF(C161="","",K161+G161+M161+O161+R161-5))</f>
        <v>51</v>
      </c>
    </row>
    <row r="162" spans="1:20" ht="75" hidden="1" x14ac:dyDescent="0.25">
      <c r="A162" s="10">
        <v>161</v>
      </c>
      <c r="B162" s="11" t="s">
        <v>67</v>
      </c>
      <c r="C162" s="11" t="s">
        <v>434</v>
      </c>
      <c r="D162" s="11" t="s">
        <v>435</v>
      </c>
      <c r="E162" s="11" t="s">
        <v>436</v>
      </c>
      <c r="F162" s="11" t="s">
        <v>29</v>
      </c>
      <c r="G162" s="11">
        <f t="shared" si="14"/>
        <v>0</v>
      </c>
      <c r="H162" s="12"/>
      <c r="I162" s="13">
        <v>2018</v>
      </c>
      <c r="J162" s="11" t="s">
        <v>46</v>
      </c>
      <c r="K162" s="13">
        <f t="shared" si="16"/>
        <v>50</v>
      </c>
      <c r="L162" s="20">
        <v>2</v>
      </c>
      <c r="M162" s="8">
        <f t="shared" si="15"/>
        <v>6</v>
      </c>
      <c r="N162" s="20" t="s">
        <v>29</v>
      </c>
      <c r="O162" s="20">
        <f t="shared" si="17"/>
        <v>0</v>
      </c>
      <c r="P162" s="20" t="s">
        <v>30</v>
      </c>
      <c r="Q162" s="21" t="s">
        <v>29</v>
      </c>
      <c r="R162" s="40">
        <f>VLOOKUP(Master19[[#This Row],[Elevated Priority]],Epriority,2,)</f>
        <v>0</v>
      </c>
      <c r="S162" s="20">
        <f>IF(Master19[[#This Row],[Status]]="Active",Master19[[#This Row],[Status_Score]],IF(C162="","",K162+G162+M162+O162+R162-5))</f>
        <v>51</v>
      </c>
    </row>
    <row r="163" spans="1:20" ht="30" hidden="1" x14ac:dyDescent="0.25">
      <c r="A163" s="10">
        <v>162</v>
      </c>
      <c r="B163" s="11" t="s">
        <v>91</v>
      </c>
      <c r="C163" s="68" t="s">
        <v>453</v>
      </c>
      <c r="D163" s="11" t="s">
        <v>454</v>
      </c>
      <c r="E163" s="11"/>
      <c r="F163" s="11" t="s">
        <v>29</v>
      </c>
      <c r="G163" s="11">
        <f t="shared" si="14"/>
        <v>0</v>
      </c>
      <c r="H163" s="12">
        <v>60000</v>
      </c>
      <c r="I163" s="13">
        <v>2018</v>
      </c>
      <c r="J163" s="11" t="s">
        <v>42</v>
      </c>
      <c r="K163" s="13" t="e">
        <f t="shared" si="16"/>
        <v>#N/A</v>
      </c>
      <c r="L163" s="20">
        <v>8</v>
      </c>
      <c r="M163" s="8">
        <f t="shared" si="15"/>
        <v>20</v>
      </c>
      <c r="N163" s="20" t="s">
        <v>43</v>
      </c>
      <c r="O163" s="20">
        <f t="shared" si="17"/>
        <v>16</v>
      </c>
      <c r="P163" s="20" t="s">
        <v>34</v>
      </c>
      <c r="Q163" s="21" t="s">
        <v>29</v>
      </c>
      <c r="R163" s="40">
        <f>VLOOKUP(Master19[[#This Row],[Elevated Priority]],Epriority,2,)</f>
        <v>0</v>
      </c>
      <c r="S163" s="20" t="e">
        <f>IF(Master19[[#This Row],[Status]]="Active",Master19[[#This Row],[Status_Score]],IF(C163="","",K163+G163+M163+O163+R163-5))</f>
        <v>#N/A</v>
      </c>
    </row>
    <row r="164" spans="1:20" ht="120" hidden="1" x14ac:dyDescent="0.25">
      <c r="A164" s="10">
        <v>163</v>
      </c>
      <c r="B164" s="11" t="s">
        <v>71</v>
      </c>
      <c r="C164" s="11" t="s">
        <v>455</v>
      </c>
      <c r="D164" s="11" t="s">
        <v>456</v>
      </c>
      <c r="E164" s="11" t="s">
        <v>457</v>
      </c>
      <c r="F164" s="11" t="s">
        <v>29</v>
      </c>
      <c r="G164" s="11">
        <f t="shared" si="14"/>
        <v>0</v>
      </c>
      <c r="H164" s="12">
        <v>8000000</v>
      </c>
      <c r="I164" s="13">
        <v>2018</v>
      </c>
      <c r="J164" s="11" t="s">
        <v>46</v>
      </c>
      <c r="K164" s="13">
        <f t="shared" si="16"/>
        <v>50</v>
      </c>
      <c r="L164" s="20">
        <v>1</v>
      </c>
      <c r="M164" s="8">
        <f t="shared" si="15"/>
        <v>3</v>
      </c>
      <c r="N164" s="20" t="s">
        <v>37</v>
      </c>
      <c r="O164" s="20">
        <f t="shared" si="17"/>
        <v>3</v>
      </c>
      <c r="P164" s="20" t="s">
        <v>34</v>
      </c>
      <c r="Q164" s="21" t="s">
        <v>29</v>
      </c>
      <c r="R164" s="40">
        <f>VLOOKUP(Master19[[#This Row],[Elevated Priority]],Epriority,2,)</f>
        <v>0</v>
      </c>
      <c r="S164" s="20">
        <f>IF(Master19[[#This Row],[Status]]="Active",Master19[[#This Row],[Status_Score]],IF(C164="","",K164+G164+M164+O164+R164-5))</f>
        <v>51</v>
      </c>
    </row>
    <row r="165" spans="1:20" ht="30" hidden="1" x14ac:dyDescent="0.25">
      <c r="A165" s="10">
        <v>164</v>
      </c>
      <c r="B165" s="11" t="s">
        <v>214</v>
      </c>
      <c r="C165" s="11" t="s">
        <v>459</v>
      </c>
      <c r="D165" s="11" t="s">
        <v>460</v>
      </c>
      <c r="E165" s="11" t="s">
        <v>461</v>
      </c>
      <c r="F165" s="11" t="s">
        <v>29</v>
      </c>
      <c r="G165" s="11">
        <f t="shared" si="14"/>
        <v>0</v>
      </c>
      <c r="H165" s="12">
        <v>65000</v>
      </c>
      <c r="I165" s="13">
        <v>2018</v>
      </c>
      <c r="J165" s="11" t="s">
        <v>40</v>
      </c>
      <c r="K165" s="13" t="e">
        <f t="shared" si="16"/>
        <v>#N/A</v>
      </c>
      <c r="L165" s="20">
        <v>5</v>
      </c>
      <c r="M165" s="8">
        <f t="shared" si="15"/>
        <v>15</v>
      </c>
      <c r="N165" s="20" t="s">
        <v>45</v>
      </c>
      <c r="O165" s="20">
        <f t="shared" si="17"/>
        <v>32</v>
      </c>
      <c r="P165" s="20" t="s">
        <v>30</v>
      </c>
      <c r="Q165" s="21" t="s">
        <v>29</v>
      </c>
      <c r="R165" s="40">
        <f>VLOOKUP(Master19[[#This Row],[Elevated Priority]],Epriority,2,)</f>
        <v>0</v>
      </c>
      <c r="S165" s="20" t="e">
        <f>IF(Master19[[#This Row],[Status]]="Active",Master19[[#This Row],[Status_Score]],IF(C165="","",K165+G165+M165+O165+R165-5))</f>
        <v>#N/A</v>
      </c>
    </row>
    <row r="166" spans="1:20" ht="30" hidden="1" x14ac:dyDescent="0.25">
      <c r="A166" s="10">
        <v>165</v>
      </c>
      <c r="B166" s="11" t="s">
        <v>94</v>
      </c>
      <c r="C166" s="1" t="s">
        <v>319</v>
      </c>
      <c r="D166" s="1" t="s">
        <v>320</v>
      </c>
      <c r="E166" s="99" t="s">
        <v>321</v>
      </c>
      <c r="F166" s="11" t="s">
        <v>29</v>
      </c>
      <c r="G166" s="11">
        <f t="shared" si="14"/>
        <v>0</v>
      </c>
      <c r="H166" s="12">
        <v>50000</v>
      </c>
      <c r="I166" s="13">
        <v>2018</v>
      </c>
      <c r="J166" s="11" t="s">
        <v>44</v>
      </c>
      <c r="K166" s="13" t="e">
        <f t="shared" si="16"/>
        <v>#N/A</v>
      </c>
      <c r="L166" s="20">
        <v>20</v>
      </c>
      <c r="M166" s="8">
        <f t="shared" si="15"/>
        <v>26</v>
      </c>
      <c r="N166" s="20" t="s">
        <v>33</v>
      </c>
      <c r="O166" s="20">
        <f t="shared" si="17"/>
        <v>1</v>
      </c>
      <c r="P166" s="20" t="s">
        <v>30</v>
      </c>
      <c r="Q166" s="21" t="s">
        <v>29</v>
      </c>
      <c r="R166" s="40">
        <f>VLOOKUP(Master19[[#This Row],[Elevated Priority]],Epriority,2,)</f>
        <v>0</v>
      </c>
      <c r="S166" s="20" t="e">
        <f>IF(Master19[[#This Row],[Status]]="Active",Master19[[#This Row],[Status_Score]],IF(C166="","",K166+G166+M166+O166+R166-5))</f>
        <v>#N/A</v>
      </c>
    </row>
    <row r="167" spans="1:20" ht="60" hidden="1" x14ac:dyDescent="0.25">
      <c r="A167" s="10">
        <v>166</v>
      </c>
      <c r="B167" s="11" t="s">
        <v>65</v>
      </c>
      <c r="C167" s="11" t="s">
        <v>468</v>
      </c>
      <c r="D167" s="11" t="s">
        <v>671</v>
      </c>
      <c r="E167" s="11" t="s">
        <v>469</v>
      </c>
      <c r="F167" s="11" t="s">
        <v>29</v>
      </c>
      <c r="G167" s="11">
        <f t="shared" si="14"/>
        <v>0</v>
      </c>
      <c r="H167" s="12">
        <v>250000</v>
      </c>
      <c r="I167" s="13">
        <v>2018</v>
      </c>
      <c r="J167" s="11" t="s">
        <v>44</v>
      </c>
      <c r="K167" s="13" t="e">
        <f t="shared" si="16"/>
        <v>#N/A</v>
      </c>
      <c r="L167" s="20">
        <v>4</v>
      </c>
      <c r="M167" s="8">
        <f t="shared" si="15"/>
        <v>12</v>
      </c>
      <c r="N167" s="20" t="s">
        <v>43</v>
      </c>
      <c r="O167" s="20">
        <f t="shared" si="17"/>
        <v>16</v>
      </c>
      <c r="P167" s="20" t="s">
        <v>34</v>
      </c>
      <c r="Q167" s="21" t="s">
        <v>29</v>
      </c>
      <c r="R167" s="40">
        <f>VLOOKUP(Master19[[#This Row],[Elevated Priority]],Epriority,2,)</f>
        <v>0</v>
      </c>
      <c r="S167" s="20" t="e">
        <f>IF(Master19[[#This Row],[Status]]="Active",Master19[[#This Row],[Status_Score]],IF(C167="","",K167+G167+M167+O167+R167-5))</f>
        <v>#N/A</v>
      </c>
    </row>
    <row r="168" spans="1:20" ht="30" hidden="1" x14ac:dyDescent="0.25">
      <c r="A168" s="10">
        <v>167</v>
      </c>
      <c r="B168" s="11" t="s">
        <v>79</v>
      </c>
      <c r="C168" s="11" t="s">
        <v>470</v>
      </c>
      <c r="D168" s="11" t="s">
        <v>471</v>
      </c>
      <c r="E168" s="11" t="s">
        <v>472</v>
      </c>
      <c r="F168" s="11" t="s">
        <v>29</v>
      </c>
      <c r="G168" s="11">
        <f t="shared" si="14"/>
        <v>0</v>
      </c>
      <c r="H168" s="12">
        <v>50000</v>
      </c>
      <c r="I168" s="13">
        <v>2018</v>
      </c>
      <c r="J168" s="11" t="s">
        <v>42</v>
      </c>
      <c r="K168" s="13" t="e">
        <f t="shared" si="16"/>
        <v>#N/A</v>
      </c>
      <c r="L168" s="20">
        <v>12</v>
      </c>
      <c r="M168" s="8">
        <f t="shared" si="15"/>
        <v>22</v>
      </c>
      <c r="N168" s="20" t="s">
        <v>43</v>
      </c>
      <c r="O168" s="20">
        <f t="shared" si="17"/>
        <v>16</v>
      </c>
      <c r="P168" s="20" t="s">
        <v>30</v>
      </c>
      <c r="Q168" s="21" t="s">
        <v>29</v>
      </c>
      <c r="R168" s="40">
        <f>VLOOKUP(Master19[[#This Row],[Elevated Priority]],Epriority,2,)</f>
        <v>0</v>
      </c>
      <c r="S168" s="20" t="e">
        <f>IF(Master19[[#This Row],[Status]]="Active",Master19[[#This Row],[Status_Score]],IF(C168="","",K168+G168+M168+O168+R168-5))</f>
        <v>#N/A</v>
      </c>
    </row>
    <row r="169" spans="1:20" ht="45" hidden="1" x14ac:dyDescent="0.25">
      <c r="A169" s="10">
        <v>168</v>
      </c>
      <c r="B169" s="11" t="s">
        <v>61</v>
      </c>
      <c r="C169" s="11" t="s">
        <v>473</v>
      </c>
      <c r="D169" s="11" t="s">
        <v>474</v>
      </c>
      <c r="E169" s="11" t="s">
        <v>475</v>
      </c>
      <c r="F169" s="11" t="s">
        <v>29</v>
      </c>
      <c r="G169" s="11">
        <f t="shared" si="14"/>
        <v>0</v>
      </c>
      <c r="H169" s="12">
        <v>150000</v>
      </c>
      <c r="I169" s="13">
        <v>2018</v>
      </c>
      <c r="J169" s="11" t="s">
        <v>44</v>
      </c>
      <c r="K169" s="13" t="e">
        <f t="shared" si="16"/>
        <v>#N/A</v>
      </c>
      <c r="L169" s="20">
        <v>4</v>
      </c>
      <c r="M169" s="8">
        <f t="shared" si="15"/>
        <v>12</v>
      </c>
      <c r="N169" s="20" t="s">
        <v>43</v>
      </c>
      <c r="O169" s="20">
        <f t="shared" si="17"/>
        <v>16</v>
      </c>
      <c r="P169" s="20" t="s">
        <v>34</v>
      </c>
      <c r="Q169" s="21" t="s">
        <v>29</v>
      </c>
      <c r="R169" s="40">
        <f>VLOOKUP(Master19[[#This Row],[Elevated Priority]],Epriority,2,)</f>
        <v>0</v>
      </c>
      <c r="S169" s="20" t="e">
        <f>IF(Master19[[#This Row],[Status]]="Active",Master19[[#This Row],[Status_Score]],IF(C169="","",K169+G169+M169+O169+R169-5))</f>
        <v>#N/A</v>
      </c>
    </row>
    <row r="170" spans="1:20" ht="135" hidden="1" x14ac:dyDescent="0.25">
      <c r="A170" s="10">
        <v>169</v>
      </c>
      <c r="B170" s="11" t="s">
        <v>61</v>
      </c>
      <c r="C170" s="11" t="s">
        <v>476</v>
      </c>
      <c r="D170" s="11"/>
      <c r="E170" s="11" t="s">
        <v>477</v>
      </c>
      <c r="F170" s="11" t="s">
        <v>29</v>
      </c>
      <c r="G170" s="11">
        <f t="shared" si="14"/>
        <v>0</v>
      </c>
      <c r="H170" s="12">
        <v>350000</v>
      </c>
      <c r="I170" s="13">
        <v>2018</v>
      </c>
      <c r="J170" s="11" t="s">
        <v>44</v>
      </c>
      <c r="K170" s="13" t="e">
        <f t="shared" si="16"/>
        <v>#N/A</v>
      </c>
      <c r="L170" s="20">
        <v>4</v>
      </c>
      <c r="M170" s="8">
        <f t="shared" si="15"/>
        <v>12</v>
      </c>
      <c r="N170" s="20" t="s">
        <v>43</v>
      </c>
      <c r="O170" s="20">
        <f t="shared" si="17"/>
        <v>16</v>
      </c>
      <c r="P170" s="20" t="s">
        <v>34</v>
      </c>
      <c r="Q170" s="21" t="s">
        <v>29</v>
      </c>
      <c r="R170" s="40">
        <f>VLOOKUP(Master19[[#This Row],[Elevated Priority]],Epriority,2,)</f>
        <v>0</v>
      </c>
      <c r="S170" s="20" t="e">
        <f>IF(Master19[[#This Row],[Status]]="Active",Master19[[#This Row],[Status_Score]],IF(C170="","",K170+G170+M170+O170+R170-5))</f>
        <v>#N/A</v>
      </c>
    </row>
    <row r="171" spans="1:20" ht="60" hidden="1" x14ac:dyDescent="0.25">
      <c r="A171" s="10">
        <v>170</v>
      </c>
      <c r="B171" s="11" t="s">
        <v>70</v>
      </c>
      <c r="C171" s="11" t="s">
        <v>444</v>
      </c>
      <c r="D171" s="11" t="s">
        <v>445</v>
      </c>
      <c r="E171" s="11" t="s">
        <v>446</v>
      </c>
      <c r="F171" s="11" t="s">
        <v>29</v>
      </c>
      <c r="G171" s="11">
        <f t="shared" si="14"/>
        <v>0</v>
      </c>
      <c r="H171" s="12">
        <v>5000000</v>
      </c>
      <c r="I171" s="13">
        <v>2018</v>
      </c>
      <c r="J171" s="11" t="s">
        <v>42</v>
      </c>
      <c r="K171" s="13" t="e">
        <f t="shared" si="16"/>
        <v>#N/A</v>
      </c>
      <c r="L171" s="20">
        <v>2</v>
      </c>
      <c r="M171" s="8">
        <f t="shared" si="15"/>
        <v>6</v>
      </c>
      <c r="N171" s="20" t="s">
        <v>45</v>
      </c>
      <c r="O171" s="20">
        <f t="shared" si="17"/>
        <v>32</v>
      </c>
      <c r="P171" s="20" t="s">
        <v>30</v>
      </c>
      <c r="Q171" s="21" t="s">
        <v>29</v>
      </c>
      <c r="R171" s="40">
        <f>VLOOKUP(Master19[[#This Row],[Elevated Priority]],Epriority,2,)</f>
        <v>0</v>
      </c>
      <c r="S171" s="20" t="e">
        <f>IF(Master19[[#This Row],[Status]]="Active",Master19[[#This Row],[Status_Score]],IF(C171="","",K171+G171+M171+O171+R171-5))</f>
        <v>#N/A</v>
      </c>
    </row>
    <row r="172" spans="1:20" ht="45" hidden="1" x14ac:dyDescent="0.25">
      <c r="A172" s="10">
        <v>171</v>
      </c>
      <c r="B172" s="11" t="s">
        <v>70</v>
      </c>
      <c r="C172" s="11" t="s">
        <v>390</v>
      </c>
      <c r="D172" s="11" t="s">
        <v>391</v>
      </c>
      <c r="E172" s="11" t="s">
        <v>392</v>
      </c>
      <c r="F172" s="11" t="s">
        <v>29</v>
      </c>
      <c r="G172" s="11">
        <f t="shared" si="14"/>
        <v>0</v>
      </c>
      <c r="H172" s="12">
        <v>150000</v>
      </c>
      <c r="I172" s="13">
        <v>2018</v>
      </c>
      <c r="J172" s="11" t="s">
        <v>44</v>
      </c>
      <c r="K172" s="13" t="e">
        <f t="shared" si="16"/>
        <v>#N/A</v>
      </c>
      <c r="L172" s="20">
        <v>5</v>
      </c>
      <c r="M172" s="8">
        <f t="shared" si="15"/>
        <v>15</v>
      </c>
      <c r="N172" s="20" t="s">
        <v>43</v>
      </c>
      <c r="O172" s="20">
        <f t="shared" si="17"/>
        <v>16</v>
      </c>
      <c r="P172" s="20" t="s">
        <v>34</v>
      </c>
      <c r="Q172" s="21" t="s">
        <v>29</v>
      </c>
      <c r="R172" s="40">
        <f>VLOOKUP(Master19[[#This Row],[Elevated Priority]],Epriority,2,)</f>
        <v>0</v>
      </c>
      <c r="S172" s="20" t="e">
        <f>IF(Master19[[#This Row],[Status]]="Active",Master19[[#This Row],[Status_Score]],IF(C172="","",K172+G172+M172+O172+R172-5))</f>
        <v>#N/A</v>
      </c>
    </row>
    <row r="173" spans="1:20" ht="30" x14ac:dyDescent="0.25">
      <c r="A173" s="10">
        <v>172</v>
      </c>
      <c r="B173" s="11" t="s">
        <v>87</v>
      </c>
      <c r="C173" s="11" t="s">
        <v>484</v>
      </c>
      <c r="D173" s="11" t="s">
        <v>485</v>
      </c>
      <c r="E173" s="11"/>
      <c r="F173" s="11" t="s">
        <v>29</v>
      </c>
      <c r="G173" s="11">
        <f t="shared" si="14"/>
        <v>0</v>
      </c>
      <c r="H173" s="12"/>
      <c r="I173" s="13">
        <v>2018</v>
      </c>
      <c r="J173" s="11" t="s">
        <v>44</v>
      </c>
      <c r="K173" s="13" t="e">
        <f t="shared" si="16"/>
        <v>#N/A</v>
      </c>
      <c r="L173" s="20">
        <v>5</v>
      </c>
      <c r="M173" s="8">
        <f t="shared" si="15"/>
        <v>15</v>
      </c>
      <c r="N173" s="20" t="s">
        <v>43</v>
      </c>
      <c r="O173" s="20">
        <f t="shared" si="17"/>
        <v>16</v>
      </c>
      <c r="P173" s="20" t="s">
        <v>30</v>
      </c>
      <c r="Q173" s="21" t="s">
        <v>29</v>
      </c>
      <c r="R173" s="40">
        <f>VLOOKUP(Master19[[#This Row],[Elevated Priority]],Epriority,2,)</f>
        <v>0</v>
      </c>
      <c r="S173" s="20" t="e">
        <f>IF(Master19[[#This Row],[Status]]="Active",Master19[[#This Row],[Status_Score]],IF(C173="","",K173+G173+M173+O173+R173-5))</f>
        <v>#N/A</v>
      </c>
    </row>
    <row r="174" spans="1:20" ht="45" hidden="1" x14ac:dyDescent="0.25">
      <c r="A174" s="10">
        <v>173</v>
      </c>
      <c r="B174" s="11" t="s">
        <v>70</v>
      </c>
      <c r="C174" s="11" t="s">
        <v>402</v>
      </c>
      <c r="D174" s="11" t="s">
        <v>403</v>
      </c>
      <c r="E174" s="11" t="s">
        <v>404</v>
      </c>
      <c r="F174" s="11" t="s">
        <v>29</v>
      </c>
      <c r="G174" s="11">
        <f t="shared" si="14"/>
        <v>0</v>
      </c>
      <c r="H174" s="12">
        <v>150000</v>
      </c>
      <c r="I174" s="13">
        <v>2018</v>
      </c>
      <c r="J174" s="11" t="s">
        <v>44</v>
      </c>
      <c r="K174" s="13" t="e">
        <f t="shared" si="16"/>
        <v>#N/A</v>
      </c>
      <c r="L174" s="20">
        <v>5</v>
      </c>
      <c r="M174" s="8">
        <f t="shared" si="15"/>
        <v>15</v>
      </c>
      <c r="N174" s="20" t="s">
        <v>43</v>
      </c>
      <c r="O174" s="20">
        <f t="shared" si="17"/>
        <v>16</v>
      </c>
      <c r="P174" s="20" t="s">
        <v>34</v>
      </c>
      <c r="Q174" s="21" t="s">
        <v>29</v>
      </c>
      <c r="R174" s="40">
        <f>VLOOKUP(Master19[[#This Row],[Elevated Priority]],Epriority,2,)</f>
        <v>0</v>
      </c>
      <c r="S174" s="20" t="e">
        <f>IF(Master19[[#This Row],[Status]]="Active",Master19[[#This Row],[Status_Score]],IF(C174="","",K174+G174+M174+O174+R174-5))</f>
        <v>#N/A</v>
      </c>
    </row>
    <row r="175" spans="1:20" ht="30" hidden="1" x14ac:dyDescent="0.25">
      <c r="A175" s="10">
        <v>174</v>
      </c>
      <c r="B175" s="11" t="s">
        <v>70</v>
      </c>
      <c r="C175" s="11" t="s">
        <v>408</v>
      </c>
      <c r="D175" s="11" t="s">
        <v>409</v>
      </c>
      <c r="E175" s="11" t="s">
        <v>410</v>
      </c>
      <c r="F175" s="11" t="s">
        <v>29</v>
      </c>
      <c r="G175" s="11">
        <f t="shared" si="14"/>
        <v>0</v>
      </c>
      <c r="H175" s="12">
        <v>750000</v>
      </c>
      <c r="I175" s="13">
        <v>2018</v>
      </c>
      <c r="J175" s="11" t="s">
        <v>44</v>
      </c>
      <c r="K175" s="13" t="e">
        <f t="shared" si="16"/>
        <v>#N/A</v>
      </c>
      <c r="L175" s="20">
        <v>5</v>
      </c>
      <c r="M175" s="8">
        <f t="shared" si="15"/>
        <v>15</v>
      </c>
      <c r="N175" s="20" t="s">
        <v>43</v>
      </c>
      <c r="O175" s="20">
        <f t="shared" si="17"/>
        <v>16</v>
      </c>
      <c r="P175" s="20" t="s">
        <v>34</v>
      </c>
      <c r="Q175" s="21" t="s">
        <v>29</v>
      </c>
      <c r="R175" s="40">
        <f>VLOOKUP(Master19[[#This Row],[Elevated Priority]],Epriority,2,)</f>
        <v>0</v>
      </c>
      <c r="S175" s="20" t="e">
        <f>IF(Master19[[#This Row],[Status]]="Active",Master19[[#This Row],[Status_Score]],IF(C175="","",K175+G175+M175+O175+R175-5))</f>
        <v>#N/A</v>
      </c>
    </row>
    <row r="176" spans="1:20" ht="30" hidden="1" x14ac:dyDescent="0.25">
      <c r="A176" s="10">
        <v>175</v>
      </c>
      <c r="B176" s="11" t="s">
        <v>94</v>
      </c>
      <c r="C176" s="11" t="s">
        <v>581</v>
      </c>
      <c r="D176" s="11" t="s">
        <v>582</v>
      </c>
      <c r="E176" s="11"/>
      <c r="F176" s="11" t="s">
        <v>29</v>
      </c>
      <c r="G176" s="11">
        <f t="shared" si="14"/>
        <v>0</v>
      </c>
      <c r="H176" s="12">
        <v>650000</v>
      </c>
      <c r="I176" s="21">
        <v>2019</v>
      </c>
      <c r="J176" s="11" t="s">
        <v>42</v>
      </c>
      <c r="K176" s="13" t="e">
        <f t="shared" si="16"/>
        <v>#N/A</v>
      </c>
      <c r="L176" s="20">
        <v>19</v>
      </c>
      <c r="M176" s="8">
        <f t="shared" si="15"/>
        <v>26</v>
      </c>
      <c r="N176" s="20" t="s">
        <v>43</v>
      </c>
      <c r="O176" s="20">
        <f t="shared" si="17"/>
        <v>16</v>
      </c>
      <c r="P176" s="20" t="s">
        <v>30</v>
      </c>
      <c r="Q176" s="21" t="s">
        <v>29</v>
      </c>
      <c r="R176" s="40">
        <f>VLOOKUP(Master19[[#This Row],[Elevated Priority]],Epriority,2,)</f>
        <v>0</v>
      </c>
      <c r="S176" s="20" t="e">
        <f>IF(Master19[[#This Row],[Status]]="Active",Master19[[#This Row],[Status_Score]],IF(C176="","",K176+G176+M176+O176+R176-5))</f>
        <v>#N/A</v>
      </c>
      <c r="T176" s="91"/>
    </row>
    <row r="177" spans="1:20" ht="45" hidden="1" x14ac:dyDescent="0.25">
      <c r="A177" s="10">
        <v>176</v>
      </c>
      <c r="B177" s="11" t="s">
        <v>91</v>
      </c>
      <c r="C177" s="11" t="s">
        <v>492</v>
      </c>
      <c r="D177" s="11" t="s">
        <v>493</v>
      </c>
      <c r="E177" s="11" t="s">
        <v>494</v>
      </c>
      <c r="F177" s="11" t="s">
        <v>29</v>
      </c>
      <c r="G177" s="11">
        <f t="shared" si="14"/>
        <v>0</v>
      </c>
      <c r="H177" s="12">
        <v>75000</v>
      </c>
      <c r="I177" s="13">
        <v>2018</v>
      </c>
      <c r="J177" s="11" t="s">
        <v>40</v>
      </c>
      <c r="K177" s="13" t="e">
        <f t="shared" si="16"/>
        <v>#N/A</v>
      </c>
      <c r="L177" s="20">
        <v>10</v>
      </c>
      <c r="M177" s="8">
        <f t="shared" si="15"/>
        <v>21</v>
      </c>
      <c r="N177" s="20" t="s">
        <v>45</v>
      </c>
      <c r="O177" s="20">
        <f t="shared" si="17"/>
        <v>32</v>
      </c>
      <c r="P177" s="20" t="s">
        <v>30</v>
      </c>
      <c r="Q177" s="21" t="s">
        <v>29</v>
      </c>
      <c r="R177" s="40">
        <f>VLOOKUP(Master19[[#This Row],[Elevated Priority]],Epriority,2,)</f>
        <v>0</v>
      </c>
      <c r="S177" s="20" t="e">
        <f>IF(Master19[[#This Row],[Status]]="Active",Master19[[#This Row],[Status_Score]],IF(C177="","",K177+G177+M177+O177+R177-5))</f>
        <v>#N/A</v>
      </c>
    </row>
    <row r="178" spans="1:20" ht="90" hidden="1" x14ac:dyDescent="0.25">
      <c r="A178" s="10">
        <v>177</v>
      </c>
      <c r="B178" s="11" t="s">
        <v>71</v>
      </c>
      <c r="C178" s="11" t="s">
        <v>495</v>
      </c>
      <c r="D178" s="11" t="s">
        <v>496</v>
      </c>
      <c r="E178" s="11" t="s">
        <v>497</v>
      </c>
      <c r="F178" s="11" t="s">
        <v>29</v>
      </c>
      <c r="G178" s="11">
        <f t="shared" si="14"/>
        <v>0</v>
      </c>
      <c r="H178" s="12">
        <v>2200000</v>
      </c>
      <c r="I178" s="13">
        <v>2018</v>
      </c>
      <c r="J178" s="11" t="s">
        <v>46</v>
      </c>
      <c r="K178" s="13">
        <f t="shared" si="16"/>
        <v>50</v>
      </c>
      <c r="L178" s="20">
        <v>2</v>
      </c>
      <c r="M178" s="8">
        <f t="shared" si="15"/>
        <v>6</v>
      </c>
      <c r="N178" s="20" t="s">
        <v>41</v>
      </c>
      <c r="O178" s="20">
        <f t="shared" si="17"/>
        <v>4</v>
      </c>
      <c r="P178" s="20" t="s">
        <v>34</v>
      </c>
      <c r="Q178" s="21" t="s">
        <v>29</v>
      </c>
      <c r="R178" s="40">
        <f>VLOOKUP(Master19[[#This Row],[Elevated Priority]],Epriority,2,)</f>
        <v>0</v>
      </c>
      <c r="S178" s="20">
        <f>IF(Master19[[#This Row],[Status]]="Active",Master19[[#This Row],[Status_Score]],IF(C178="","",K178+G178+M178+O178+R178-5))</f>
        <v>55</v>
      </c>
    </row>
    <row r="179" spans="1:20" ht="60" x14ac:dyDescent="0.25">
      <c r="A179" s="10">
        <v>178</v>
      </c>
      <c r="B179" s="11" t="s">
        <v>87</v>
      </c>
      <c r="C179" s="11" t="s">
        <v>500</v>
      </c>
      <c r="D179" s="11" t="s">
        <v>501</v>
      </c>
      <c r="E179" s="11" t="s">
        <v>502</v>
      </c>
      <c r="F179" s="11" t="s">
        <v>29</v>
      </c>
      <c r="G179" s="11">
        <f t="shared" si="14"/>
        <v>0</v>
      </c>
      <c r="H179" s="12">
        <v>15000</v>
      </c>
      <c r="I179" s="13">
        <v>2018</v>
      </c>
      <c r="J179" s="11" t="s">
        <v>44</v>
      </c>
      <c r="K179" s="13" t="e">
        <f t="shared" si="16"/>
        <v>#N/A</v>
      </c>
      <c r="L179" s="20">
        <v>6</v>
      </c>
      <c r="M179" s="8">
        <f t="shared" si="15"/>
        <v>18</v>
      </c>
      <c r="N179" s="20" t="s">
        <v>43</v>
      </c>
      <c r="O179" s="20">
        <f t="shared" si="17"/>
        <v>16</v>
      </c>
      <c r="P179" s="20" t="s">
        <v>34</v>
      </c>
      <c r="Q179" s="21" t="s">
        <v>29</v>
      </c>
      <c r="R179" s="40">
        <f>VLOOKUP(Master19[[#This Row],[Elevated Priority]],Epriority,2,)</f>
        <v>0</v>
      </c>
      <c r="S179" s="20" t="e">
        <f>IF(Master19[[#This Row],[Status]]="Active",Master19[[#This Row],[Status_Score]],IF(C179="","",K179+G179+M179+O179+R179-5))</f>
        <v>#N/A</v>
      </c>
    </row>
    <row r="180" spans="1:20" ht="30" hidden="1" x14ac:dyDescent="0.25">
      <c r="A180" s="10">
        <v>179</v>
      </c>
      <c r="B180" s="11" t="s">
        <v>94</v>
      </c>
      <c r="C180" s="11" t="s">
        <v>411</v>
      </c>
      <c r="D180" s="11" t="s">
        <v>412</v>
      </c>
      <c r="E180" s="11" t="s">
        <v>413</v>
      </c>
      <c r="F180" s="11" t="s">
        <v>29</v>
      </c>
      <c r="G180" s="11">
        <f t="shared" si="14"/>
        <v>0</v>
      </c>
      <c r="H180" s="12">
        <v>150000</v>
      </c>
      <c r="I180" s="13">
        <v>2018</v>
      </c>
      <c r="J180" s="11" t="s">
        <v>44</v>
      </c>
      <c r="K180" s="13" t="e">
        <f t="shared" si="16"/>
        <v>#N/A</v>
      </c>
      <c r="L180" s="20">
        <v>21</v>
      </c>
      <c r="M180" s="8">
        <f t="shared" si="15"/>
        <v>27</v>
      </c>
      <c r="N180" s="20" t="s">
        <v>41</v>
      </c>
      <c r="O180" s="20">
        <f t="shared" si="17"/>
        <v>4</v>
      </c>
      <c r="P180" s="20" t="s">
        <v>30</v>
      </c>
      <c r="Q180" s="21" t="s">
        <v>29</v>
      </c>
      <c r="R180" s="40">
        <f>VLOOKUP(Master19[[#This Row],[Elevated Priority]],Epriority,2,)</f>
        <v>0</v>
      </c>
      <c r="S180" s="20" t="e">
        <f>IF(Master19[[#This Row],[Status]]="Active",Master19[[#This Row],[Status_Score]],IF(C180="","",K180+G180+M180+O180+R180-5))</f>
        <v>#N/A</v>
      </c>
    </row>
    <row r="181" spans="1:20" hidden="1" x14ac:dyDescent="0.25">
      <c r="A181" s="10">
        <v>180</v>
      </c>
      <c r="B181" s="11" t="s">
        <v>65</v>
      </c>
      <c r="C181" s="11" t="s">
        <v>509</v>
      </c>
      <c r="D181" s="11"/>
      <c r="E181" s="11"/>
      <c r="F181" s="11" t="s">
        <v>29</v>
      </c>
      <c r="G181" s="11">
        <f t="shared" si="14"/>
        <v>0</v>
      </c>
      <c r="H181" s="12">
        <v>3500000</v>
      </c>
      <c r="I181" s="13">
        <v>2018</v>
      </c>
      <c r="J181" s="11" t="s">
        <v>44</v>
      </c>
      <c r="K181" s="13" t="e">
        <f t="shared" si="16"/>
        <v>#N/A</v>
      </c>
      <c r="L181" s="20">
        <v>7</v>
      </c>
      <c r="M181" s="8">
        <f t="shared" si="15"/>
        <v>20</v>
      </c>
      <c r="N181" s="20" t="s">
        <v>43</v>
      </c>
      <c r="O181" s="20">
        <f t="shared" si="17"/>
        <v>16</v>
      </c>
      <c r="P181" s="20" t="s">
        <v>34</v>
      </c>
      <c r="Q181" s="21" t="s">
        <v>29</v>
      </c>
      <c r="R181" s="40">
        <f>VLOOKUP(Master19[[#This Row],[Elevated Priority]],Epriority,2,)</f>
        <v>0</v>
      </c>
      <c r="S181" s="20" t="e">
        <f>IF(Master19[[#This Row],[Status]]="Active",Master19[[#This Row],[Status_Score]],IF(C181="","",K181+G181+M181+O181+R181-5))</f>
        <v>#N/A</v>
      </c>
    </row>
    <row r="182" spans="1:20" ht="30" hidden="1" x14ac:dyDescent="0.25">
      <c r="A182" s="10">
        <v>181</v>
      </c>
      <c r="B182" s="11" t="s">
        <v>79</v>
      </c>
      <c r="C182" s="11" t="s">
        <v>510</v>
      </c>
      <c r="D182" s="11" t="s">
        <v>511</v>
      </c>
      <c r="E182" s="11" t="s">
        <v>512</v>
      </c>
      <c r="F182" s="11" t="s">
        <v>29</v>
      </c>
      <c r="G182" s="11">
        <f t="shared" si="14"/>
        <v>0</v>
      </c>
      <c r="H182" s="12">
        <v>15000</v>
      </c>
      <c r="I182" s="13">
        <v>2018</v>
      </c>
      <c r="J182" s="11" t="s">
        <v>40</v>
      </c>
      <c r="K182" s="13" t="e">
        <f t="shared" ref="K182:K213" si="18">VLOOKUP(J182,Importance,2,FALSE)</f>
        <v>#N/A</v>
      </c>
      <c r="L182" s="20">
        <v>16</v>
      </c>
      <c r="M182" s="8">
        <f t="shared" si="15"/>
        <v>24</v>
      </c>
      <c r="N182" s="20" t="s">
        <v>45</v>
      </c>
      <c r="O182" s="20">
        <f t="shared" si="17"/>
        <v>32</v>
      </c>
      <c r="P182" s="20" t="s">
        <v>30</v>
      </c>
      <c r="Q182" s="21" t="s">
        <v>29</v>
      </c>
      <c r="R182" s="40">
        <f>VLOOKUP(Master19[[#This Row],[Elevated Priority]],Epriority,2,)</f>
        <v>0</v>
      </c>
      <c r="S182" s="20" t="e">
        <f>IF(Master19[[#This Row],[Status]]="Active",Master19[[#This Row],[Status_Score]],IF(C182="","",K182+G182+M182+O182+R182-5))</f>
        <v>#N/A</v>
      </c>
    </row>
    <row r="183" spans="1:20" ht="90" hidden="1" x14ac:dyDescent="0.25">
      <c r="A183" s="10">
        <v>182</v>
      </c>
      <c r="B183" s="11" t="s">
        <v>71</v>
      </c>
      <c r="C183" s="11" t="s">
        <v>516</v>
      </c>
      <c r="D183" s="11" t="s">
        <v>517</v>
      </c>
      <c r="E183" s="11" t="s">
        <v>518</v>
      </c>
      <c r="F183" s="11" t="s">
        <v>29</v>
      </c>
      <c r="G183" s="11">
        <f t="shared" si="14"/>
        <v>0</v>
      </c>
      <c r="H183" s="12">
        <v>1500000</v>
      </c>
      <c r="I183" s="13">
        <v>2018</v>
      </c>
      <c r="J183" s="11" t="s">
        <v>46</v>
      </c>
      <c r="K183" s="13">
        <f t="shared" si="18"/>
        <v>50</v>
      </c>
      <c r="L183" s="20">
        <v>3</v>
      </c>
      <c r="M183" s="8">
        <f t="shared" si="15"/>
        <v>9</v>
      </c>
      <c r="N183" s="20" t="s">
        <v>41</v>
      </c>
      <c r="O183" s="20">
        <f t="shared" si="17"/>
        <v>4</v>
      </c>
      <c r="P183" s="20" t="s">
        <v>34</v>
      </c>
      <c r="Q183" s="21" t="s">
        <v>29</v>
      </c>
      <c r="R183" s="40">
        <f>VLOOKUP(Master19[[#This Row],[Elevated Priority]],Epriority,2,)</f>
        <v>0</v>
      </c>
      <c r="S183" s="20">
        <f>IF(Master19[[#This Row],[Status]]="Active",Master19[[#This Row],[Status_Score]],IF(C183="","",K183+G183+M183+O183+R183-5))</f>
        <v>58</v>
      </c>
    </row>
    <row r="184" spans="1:20" ht="105" hidden="1" x14ac:dyDescent="0.25">
      <c r="A184" s="10">
        <v>183</v>
      </c>
      <c r="B184" s="11" t="s">
        <v>61</v>
      </c>
      <c r="C184" s="11" t="s">
        <v>519</v>
      </c>
      <c r="D184" s="11" t="s">
        <v>520</v>
      </c>
      <c r="E184" s="11" t="s">
        <v>521</v>
      </c>
      <c r="F184" s="11" t="s">
        <v>29</v>
      </c>
      <c r="G184" s="11">
        <f t="shared" si="14"/>
        <v>0</v>
      </c>
      <c r="H184" s="12">
        <v>22000000</v>
      </c>
      <c r="I184" s="13">
        <v>2018</v>
      </c>
      <c r="J184" s="11" t="s">
        <v>46</v>
      </c>
      <c r="K184" s="13">
        <f t="shared" si="18"/>
        <v>50</v>
      </c>
      <c r="L184" s="20">
        <v>3</v>
      </c>
      <c r="M184" s="8">
        <f t="shared" si="15"/>
        <v>9</v>
      </c>
      <c r="N184" s="20" t="s">
        <v>41</v>
      </c>
      <c r="O184" s="20">
        <f t="shared" si="17"/>
        <v>4</v>
      </c>
      <c r="P184" s="20" t="s">
        <v>34</v>
      </c>
      <c r="Q184" s="21" t="s">
        <v>29</v>
      </c>
      <c r="R184" s="40">
        <f>VLOOKUP(Master19[[#This Row],[Elevated Priority]],Epriority,2,)</f>
        <v>0</v>
      </c>
      <c r="S184" s="20">
        <f>IF(Master19[[#This Row],[Status]]="Active",Master19[[#This Row],[Status_Score]],IF(C184="","",K184+G184+M184+O184+R184-5))</f>
        <v>58</v>
      </c>
    </row>
    <row r="185" spans="1:20" ht="45" hidden="1" x14ac:dyDescent="0.25">
      <c r="A185" s="10">
        <v>184</v>
      </c>
      <c r="B185" s="11" t="s">
        <v>79</v>
      </c>
      <c r="C185" s="11" t="s">
        <v>513</v>
      </c>
      <c r="D185" s="11" t="s">
        <v>514</v>
      </c>
      <c r="E185" s="11" t="s">
        <v>515</v>
      </c>
      <c r="F185" s="11" t="s">
        <v>29</v>
      </c>
      <c r="G185" s="11">
        <f t="shared" si="14"/>
        <v>0</v>
      </c>
      <c r="H185" s="12">
        <v>50000</v>
      </c>
      <c r="I185" s="13">
        <v>2018</v>
      </c>
      <c r="J185" s="11" t="s">
        <v>44</v>
      </c>
      <c r="K185" s="13" t="e">
        <f t="shared" si="18"/>
        <v>#N/A</v>
      </c>
      <c r="L185" s="20">
        <v>10</v>
      </c>
      <c r="M185" s="8">
        <f t="shared" si="15"/>
        <v>21</v>
      </c>
      <c r="N185" s="20" t="s">
        <v>43</v>
      </c>
      <c r="O185" s="20">
        <f t="shared" si="17"/>
        <v>16</v>
      </c>
      <c r="P185" s="20" t="s">
        <v>34</v>
      </c>
      <c r="Q185" s="21" t="s">
        <v>29</v>
      </c>
      <c r="R185" s="40">
        <f>VLOOKUP(Master19[[#This Row],[Elevated Priority]],Epriority,2,)</f>
        <v>0</v>
      </c>
      <c r="S185" s="20" t="e">
        <f>IF(Master19[[#This Row],[Status]]="Active",Master19[[#This Row],[Status_Score]],IF(C185="","",K185+G185+M185+O185+R185-5))</f>
        <v>#N/A</v>
      </c>
    </row>
    <row r="186" spans="1:20" ht="45" hidden="1" x14ac:dyDescent="0.25">
      <c r="A186" s="10">
        <v>185</v>
      </c>
      <c r="B186" s="11" t="s">
        <v>79</v>
      </c>
      <c r="C186" s="11" t="s">
        <v>525</v>
      </c>
      <c r="D186" s="11" t="s">
        <v>526</v>
      </c>
      <c r="E186" s="11" t="s">
        <v>527</v>
      </c>
      <c r="F186" s="11" t="s">
        <v>29</v>
      </c>
      <c r="G186" s="11">
        <f t="shared" si="14"/>
        <v>0</v>
      </c>
      <c r="H186" s="12">
        <v>35000</v>
      </c>
      <c r="I186" s="13">
        <v>2018</v>
      </c>
      <c r="J186" s="11" t="s">
        <v>44</v>
      </c>
      <c r="K186" s="13" t="e">
        <f t="shared" si="18"/>
        <v>#N/A</v>
      </c>
      <c r="L186" s="20">
        <v>11</v>
      </c>
      <c r="M186" s="8">
        <f t="shared" si="15"/>
        <v>22</v>
      </c>
      <c r="N186" s="20" t="s">
        <v>43</v>
      </c>
      <c r="O186" s="20">
        <f t="shared" si="17"/>
        <v>16</v>
      </c>
      <c r="P186" s="20" t="s">
        <v>34</v>
      </c>
      <c r="Q186" s="21" t="s">
        <v>29</v>
      </c>
      <c r="R186" s="40">
        <f>VLOOKUP(Master19[[#This Row],[Elevated Priority]],Epriority,2,)</f>
        <v>0</v>
      </c>
      <c r="S186" s="20" t="e">
        <f>IF(Master19[[#This Row],[Status]]="Active",Master19[[#This Row],[Status_Score]],IF(C186="","",K186+G186+M186+O186+R186-5))</f>
        <v>#N/A</v>
      </c>
    </row>
    <row r="187" spans="1:20" ht="75" hidden="1" x14ac:dyDescent="0.25">
      <c r="A187" s="10">
        <v>186</v>
      </c>
      <c r="B187" s="11" t="s">
        <v>61</v>
      </c>
      <c r="C187" s="11" t="s">
        <v>528</v>
      </c>
      <c r="D187" s="11" t="s">
        <v>529</v>
      </c>
      <c r="E187" s="11" t="s">
        <v>530</v>
      </c>
      <c r="F187" s="11" t="s">
        <v>29</v>
      </c>
      <c r="G187" s="11">
        <f t="shared" si="14"/>
        <v>0</v>
      </c>
      <c r="H187" s="12">
        <v>4500000</v>
      </c>
      <c r="I187" s="13">
        <v>2018</v>
      </c>
      <c r="J187" s="11" t="s">
        <v>46</v>
      </c>
      <c r="K187" s="13">
        <f t="shared" si="18"/>
        <v>50</v>
      </c>
      <c r="L187" s="20">
        <v>4</v>
      </c>
      <c r="M187" s="8">
        <f t="shared" si="15"/>
        <v>12</v>
      </c>
      <c r="N187" s="20" t="s">
        <v>41</v>
      </c>
      <c r="O187" s="20">
        <f t="shared" si="17"/>
        <v>4</v>
      </c>
      <c r="P187" s="20" t="s">
        <v>34</v>
      </c>
      <c r="Q187" s="21" t="s">
        <v>29</v>
      </c>
      <c r="R187" s="40">
        <f>VLOOKUP(Master19[[#This Row],[Elevated Priority]],Epriority,2,)</f>
        <v>0</v>
      </c>
      <c r="S187" s="20">
        <f>IF(Master19[[#This Row],[Status]]="Active",Master19[[#This Row],[Status_Score]],IF(C187="","",K187+G187+M187+O187+R187-5))</f>
        <v>61</v>
      </c>
    </row>
    <row r="188" spans="1:20" ht="30" hidden="1" x14ac:dyDescent="0.25">
      <c r="A188" s="10">
        <v>187</v>
      </c>
      <c r="B188" s="11" t="s">
        <v>94</v>
      </c>
      <c r="C188" s="11" t="s">
        <v>586</v>
      </c>
      <c r="D188" s="11" t="s">
        <v>587</v>
      </c>
      <c r="E188" s="11"/>
      <c r="F188" s="11" t="s">
        <v>29</v>
      </c>
      <c r="G188" s="11">
        <f t="shared" si="14"/>
        <v>0</v>
      </c>
      <c r="H188" s="12">
        <v>50000</v>
      </c>
      <c r="I188" s="21">
        <v>2019</v>
      </c>
      <c r="J188" s="11" t="s">
        <v>44</v>
      </c>
      <c r="K188" s="13" t="e">
        <f t="shared" si="18"/>
        <v>#N/A</v>
      </c>
      <c r="L188" s="20">
        <v>15</v>
      </c>
      <c r="M188" s="8">
        <f t="shared" si="15"/>
        <v>24</v>
      </c>
      <c r="N188" s="20" t="s">
        <v>43</v>
      </c>
      <c r="O188" s="20">
        <f t="shared" si="17"/>
        <v>16</v>
      </c>
      <c r="P188" s="20" t="s">
        <v>30</v>
      </c>
      <c r="Q188" s="21" t="s">
        <v>29</v>
      </c>
      <c r="R188" s="40">
        <f>VLOOKUP(Master19[[#This Row],[Elevated Priority]],Epriority,2,)</f>
        <v>0</v>
      </c>
      <c r="S188" s="20" t="e">
        <f>IF(Master19[[#This Row],[Status]]="Active",Master19[[#This Row],[Status_Score]],IF(C188="","",K188+G188+M188+O188+R188-5))</f>
        <v>#N/A</v>
      </c>
      <c r="T188" s="91"/>
    </row>
    <row r="189" spans="1:20" ht="30" hidden="1" x14ac:dyDescent="0.25">
      <c r="A189" s="10">
        <v>188</v>
      </c>
      <c r="B189" s="11" t="s">
        <v>94</v>
      </c>
      <c r="C189" s="11" t="s">
        <v>592</v>
      </c>
      <c r="D189" s="11" t="s">
        <v>593</v>
      </c>
      <c r="E189" s="11"/>
      <c r="F189" s="11" t="s">
        <v>29</v>
      </c>
      <c r="G189" s="11">
        <f t="shared" si="14"/>
        <v>0</v>
      </c>
      <c r="H189" s="12">
        <v>350000</v>
      </c>
      <c r="I189" s="21">
        <v>2019</v>
      </c>
      <c r="J189" s="11" t="s">
        <v>44</v>
      </c>
      <c r="K189" s="13" t="e">
        <f t="shared" si="18"/>
        <v>#N/A</v>
      </c>
      <c r="L189" s="20">
        <v>16</v>
      </c>
      <c r="M189" s="8">
        <f t="shared" si="15"/>
        <v>24</v>
      </c>
      <c r="N189" s="20" t="s">
        <v>43</v>
      </c>
      <c r="O189" s="20">
        <f t="shared" si="17"/>
        <v>16</v>
      </c>
      <c r="P189" s="20" t="s">
        <v>34</v>
      </c>
      <c r="Q189" s="21" t="s">
        <v>29</v>
      </c>
      <c r="R189" s="40">
        <f>VLOOKUP(Master19[[#This Row],[Elevated Priority]],Epriority,2,)</f>
        <v>0</v>
      </c>
      <c r="S189" s="20" t="e">
        <f>IF(Master19[[#This Row],[Status]]="Active",Master19[[#This Row],[Status_Score]],IF(C189="","",K189+G189+M189+O189+R189-5))</f>
        <v>#N/A</v>
      </c>
      <c r="T189" s="91"/>
    </row>
    <row r="190" spans="1:20" ht="60" hidden="1" x14ac:dyDescent="0.25">
      <c r="A190" s="10">
        <v>189</v>
      </c>
      <c r="B190" s="11" t="s">
        <v>94</v>
      </c>
      <c r="C190" s="11" t="s">
        <v>590</v>
      </c>
      <c r="D190" s="11" t="s">
        <v>591</v>
      </c>
      <c r="E190" s="11"/>
      <c r="F190" s="11" t="s">
        <v>29</v>
      </c>
      <c r="G190" s="11">
        <f t="shared" si="14"/>
        <v>0</v>
      </c>
      <c r="H190" s="12"/>
      <c r="I190" s="21">
        <v>2019</v>
      </c>
      <c r="J190" s="11" t="s">
        <v>44</v>
      </c>
      <c r="K190" s="13" t="e">
        <f t="shared" si="18"/>
        <v>#N/A</v>
      </c>
      <c r="L190" s="20">
        <v>17</v>
      </c>
      <c r="M190" s="8">
        <f t="shared" si="15"/>
        <v>25</v>
      </c>
      <c r="N190" s="20" t="s">
        <v>43</v>
      </c>
      <c r="O190" s="20">
        <f t="shared" ref="O190:O221" si="19">VLOOKUP(N190,Urgency,2,FALSE)</f>
        <v>16</v>
      </c>
      <c r="P190" s="20" t="s">
        <v>34</v>
      </c>
      <c r="Q190" s="21" t="s">
        <v>29</v>
      </c>
      <c r="R190" s="40">
        <f>VLOOKUP(Master19[[#This Row],[Elevated Priority]],Epriority,2,)</f>
        <v>0</v>
      </c>
      <c r="S190" s="20" t="e">
        <f>IF(Master19[[#This Row],[Status]]="Active",Master19[[#This Row],[Status_Score]],IF(C190="","",K190+G190+M190+O190+R190-5))</f>
        <v>#N/A</v>
      </c>
      <c r="T190" s="91"/>
    </row>
    <row r="191" spans="1:20" ht="75" hidden="1" x14ac:dyDescent="0.25">
      <c r="A191" s="10">
        <v>190</v>
      </c>
      <c r="B191" s="11" t="s">
        <v>67</v>
      </c>
      <c r="C191" s="11" t="s">
        <v>531</v>
      </c>
      <c r="D191" s="11" t="s">
        <v>532</v>
      </c>
      <c r="E191" s="11" t="s">
        <v>533</v>
      </c>
      <c r="F191" s="11" t="s">
        <v>29</v>
      </c>
      <c r="G191" s="11">
        <f t="shared" si="14"/>
        <v>0</v>
      </c>
      <c r="H191" s="12">
        <v>2000000</v>
      </c>
      <c r="I191" s="13">
        <v>2018</v>
      </c>
      <c r="J191" s="11" t="s">
        <v>46</v>
      </c>
      <c r="K191" s="13">
        <f t="shared" si="18"/>
        <v>50</v>
      </c>
      <c r="L191" s="20">
        <v>2</v>
      </c>
      <c r="M191" s="8">
        <f t="shared" si="15"/>
        <v>6</v>
      </c>
      <c r="N191" s="20" t="s">
        <v>43</v>
      </c>
      <c r="O191" s="20">
        <f t="shared" si="19"/>
        <v>16</v>
      </c>
      <c r="P191" s="20" t="s">
        <v>34</v>
      </c>
      <c r="Q191" s="21" t="s">
        <v>29</v>
      </c>
      <c r="R191" s="40">
        <f>VLOOKUP(Master19[[#This Row],[Elevated Priority]],Epriority,2,)</f>
        <v>0</v>
      </c>
      <c r="S191" s="20">
        <f>IF(Master19[[#This Row],[Status]]="Active",Master19[[#This Row],[Status_Score]],IF(C191="","",K191+G191+M191+O191+R191-5))</f>
        <v>67</v>
      </c>
    </row>
    <row r="192" spans="1:20" ht="30" hidden="1" x14ac:dyDescent="0.25">
      <c r="A192" s="10">
        <v>191</v>
      </c>
      <c r="B192" s="11" t="s">
        <v>91</v>
      </c>
      <c r="C192" s="11" t="s">
        <v>534</v>
      </c>
      <c r="D192" s="11"/>
      <c r="E192" s="11"/>
      <c r="F192" s="11" t="s">
        <v>29</v>
      </c>
      <c r="G192" s="11">
        <f t="shared" si="14"/>
        <v>0</v>
      </c>
      <c r="H192" s="12">
        <v>20000</v>
      </c>
      <c r="I192" s="13">
        <v>2018</v>
      </c>
      <c r="J192" s="11" t="s">
        <v>42</v>
      </c>
      <c r="K192" s="13" t="e">
        <f t="shared" si="18"/>
        <v>#N/A</v>
      </c>
      <c r="L192" s="20">
        <v>7</v>
      </c>
      <c r="M192" s="8">
        <f t="shared" si="15"/>
        <v>20</v>
      </c>
      <c r="N192" s="20" t="s">
        <v>45</v>
      </c>
      <c r="O192" s="20">
        <f t="shared" si="19"/>
        <v>32</v>
      </c>
      <c r="P192" s="20" t="s">
        <v>30</v>
      </c>
      <c r="Q192" s="21" t="s">
        <v>29</v>
      </c>
      <c r="R192" s="40">
        <f>VLOOKUP(Master19[[#This Row],[Elevated Priority]],Epriority,2,)</f>
        <v>0</v>
      </c>
      <c r="S192" s="20" t="e">
        <f>IF(Master19[[#This Row],[Status]]="Active",Master19[[#This Row],[Status_Score]],IF(C192="","",K192+G192+M192+O192+R192-5))</f>
        <v>#N/A</v>
      </c>
    </row>
    <row r="193" spans="1:21" ht="45" hidden="1" x14ac:dyDescent="0.25">
      <c r="A193" s="10">
        <v>192</v>
      </c>
      <c r="B193" s="11" t="s">
        <v>67</v>
      </c>
      <c r="C193" s="11" t="s">
        <v>621</v>
      </c>
      <c r="D193" s="11" t="s">
        <v>622</v>
      </c>
      <c r="E193" s="11" t="s">
        <v>623</v>
      </c>
      <c r="F193" s="11" t="s">
        <v>29</v>
      </c>
      <c r="G193" s="27">
        <f t="shared" si="14"/>
        <v>0</v>
      </c>
      <c r="H193" s="106">
        <v>400000</v>
      </c>
      <c r="I193" s="13">
        <v>2019</v>
      </c>
      <c r="J193" s="11" t="s">
        <v>46</v>
      </c>
      <c r="K193" s="13">
        <f t="shared" si="18"/>
        <v>50</v>
      </c>
      <c r="L193" s="13">
        <v>7</v>
      </c>
      <c r="M193" s="8">
        <f t="shared" si="15"/>
        <v>20</v>
      </c>
      <c r="N193" s="13" t="s">
        <v>41</v>
      </c>
      <c r="O193" s="20">
        <f t="shared" si="19"/>
        <v>4</v>
      </c>
      <c r="P193" s="13" t="s">
        <v>34</v>
      </c>
      <c r="Q193" s="13" t="s">
        <v>29</v>
      </c>
      <c r="R193" s="40">
        <f>VLOOKUP(Master19[[#This Row],[Elevated Priority]],Epriority,2,)</f>
        <v>0</v>
      </c>
      <c r="S193" s="13">
        <f>IF(Master19[[#This Row],[Status]]="Active",Master19[[#This Row],[Status_Score]],IF(C193="","",K193+G193+M193+O193+R193-5))</f>
        <v>69</v>
      </c>
      <c r="T193" s="91"/>
    </row>
    <row r="194" spans="1:21" ht="45" hidden="1" x14ac:dyDescent="0.25">
      <c r="A194" s="10">
        <v>193</v>
      </c>
      <c r="B194" s="11" t="s">
        <v>61</v>
      </c>
      <c r="C194" s="11" t="s">
        <v>541</v>
      </c>
      <c r="D194" s="11" t="s">
        <v>542</v>
      </c>
      <c r="E194" s="11" t="s">
        <v>543</v>
      </c>
      <c r="F194" s="11" t="s">
        <v>29</v>
      </c>
      <c r="G194" s="11">
        <f t="shared" ref="G194:G218" si="20">VLOOKUP(F194,Status_Score,2,FALSE)</f>
        <v>0</v>
      </c>
      <c r="H194" s="12">
        <v>10000000</v>
      </c>
      <c r="I194" s="13">
        <v>2018</v>
      </c>
      <c r="J194" s="11" t="s">
        <v>46</v>
      </c>
      <c r="K194" s="13">
        <f t="shared" si="18"/>
        <v>50</v>
      </c>
      <c r="L194" s="20">
        <v>4</v>
      </c>
      <c r="M194" s="8">
        <f t="shared" ref="M194:M221" si="21">VLOOKUP(L194,Department,2,FALSE)</f>
        <v>12</v>
      </c>
      <c r="N194" s="20" t="s">
        <v>43</v>
      </c>
      <c r="O194" s="20">
        <f t="shared" si="19"/>
        <v>16</v>
      </c>
      <c r="P194" s="20" t="s">
        <v>34</v>
      </c>
      <c r="Q194" s="21" t="s">
        <v>29</v>
      </c>
      <c r="R194" s="40">
        <f>VLOOKUP(Master19[[#This Row],[Elevated Priority]],Epriority,2,)</f>
        <v>0</v>
      </c>
      <c r="S194" s="20">
        <f>IF(Master19[[#This Row],[Status]]="Active",Master19[[#This Row],[Status_Score]],IF(C194="","",K194+G194+M194+O194+R194-5))</f>
        <v>73</v>
      </c>
    </row>
    <row r="195" spans="1:21" ht="60" hidden="1" x14ac:dyDescent="0.25">
      <c r="A195" s="10">
        <v>194</v>
      </c>
      <c r="B195" s="11" t="s">
        <v>70</v>
      </c>
      <c r="C195" s="11" t="s">
        <v>486</v>
      </c>
      <c r="D195" s="11" t="s">
        <v>487</v>
      </c>
      <c r="E195" s="11" t="s">
        <v>488</v>
      </c>
      <c r="F195" s="11" t="s">
        <v>29</v>
      </c>
      <c r="G195" s="11">
        <f t="shared" si="20"/>
        <v>0</v>
      </c>
      <c r="H195" s="12">
        <v>1000000</v>
      </c>
      <c r="I195" s="13">
        <v>2018</v>
      </c>
      <c r="J195" s="11" t="s">
        <v>44</v>
      </c>
      <c r="K195" s="13" t="e">
        <f t="shared" si="18"/>
        <v>#N/A</v>
      </c>
      <c r="L195" s="20">
        <v>6</v>
      </c>
      <c r="M195" s="8">
        <f t="shared" si="21"/>
        <v>18</v>
      </c>
      <c r="N195" s="20" t="s">
        <v>45</v>
      </c>
      <c r="O195" s="20">
        <f t="shared" si="19"/>
        <v>32</v>
      </c>
      <c r="P195" s="20" t="s">
        <v>34</v>
      </c>
      <c r="Q195" s="21" t="s">
        <v>29</v>
      </c>
      <c r="R195" s="40">
        <f>VLOOKUP(Master19[[#This Row],[Elevated Priority]],Epriority,2,)</f>
        <v>0</v>
      </c>
      <c r="S195" s="20" t="e">
        <f>IF(Master19[[#This Row],[Status]]="Active",Master19[[#This Row],[Status_Score]],IF(C195="","",K195+G195+M195+O195+R195-5))</f>
        <v>#N/A</v>
      </c>
    </row>
    <row r="196" spans="1:21" ht="45" hidden="1" x14ac:dyDescent="0.25">
      <c r="A196" s="10">
        <v>195</v>
      </c>
      <c r="B196" s="11" t="s">
        <v>65</v>
      </c>
      <c r="C196" s="11" t="s">
        <v>544</v>
      </c>
      <c r="D196" s="11" t="s">
        <v>545</v>
      </c>
      <c r="E196" s="11" t="s">
        <v>546</v>
      </c>
      <c r="F196" s="11" t="s">
        <v>29</v>
      </c>
      <c r="G196" s="11">
        <f t="shared" si="20"/>
        <v>0</v>
      </c>
      <c r="H196" s="12">
        <v>400000</v>
      </c>
      <c r="I196" s="13">
        <v>2018</v>
      </c>
      <c r="J196" s="11" t="s">
        <v>44</v>
      </c>
      <c r="K196" s="13" t="e">
        <f t="shared" si="18"/>
        <v>#N/A</v>
      </c>
      <c r="L196" s="20">
        <v>6</v>
      </c>
      <c r="M196" s="8">
        <f t="shared" si="21"/>
        <v>18</v>
      </c>
      <c r="N196" s="20" t="s">
        <v>45</v>
      </c>
      <c r="O196" s="20">
        <f t="shared" si="19"/>
        <v>32</v>
      </c>
      <c r="P196" s="20" t="s">
        <v>34</v>
      </c>
      <c r="Q196" s="21" t="s">
        <v>29</v>
      </c>
      <c r="R196" s="40">
        <f>VLOOKUP(Master19[[#This Row],[Elevated Priority]],Epriority,2,)</f>
        <v>0</v>
      </c>
      <c r="S196" s="20" t="e">
        <f>IF(Master19[[#This Row],[Status]]="Active",Master19[[#This Row],[Status_Score]],IF(C196="","",K196+G196+M196+O196+R196-5))</f>
        <v>#N/A</v>
      </c>
    </row>
    <row r="197" spans="1:21" ht="45" hidden="1" x14ac:dyDescent="0.25">
      <c r="A197" s="10">
        <v>196</v>
      </c>
      <c r="B197" s="11" t="s">
        <v>67</v>
      </c>
      <c r="C197" s="11" t="s">
        <v>618</v>
      </c>
      <c r="D197" s="11" t="s">
        <v>619</v>
      </c>
      <c r="E197" s="11" t="s">
        <v>620</v>
      </c>
      <c r="F197" s="11" t="s">
        <v>29</v>
      </c>
      <c r="G197" s="27">
        <f t="shared" si="20"/>
        <v>0</v>
      </c>
      <c r="H197" s="106">
        <v>500000</v>
      </c>
      <c r="I197" s="13">
        <v>2019</v>
      </c>
      <c r="J197" s="11" t="s">
        <v>46</v>
      </c>
      <c r="K197" s="13">
        <f t="shared" si="18"/>
        <v>50</v>
      </c>
      <c r="L197" s="13">
        <v>5</v>
      </c>
      <c r="M197" s="8">
        <f t="shared" si="21"/>
        <v>15</v>
      </c>
      <c r="N197" s="13" t="s">
        <v>43</v>
      </c>
      <c r="O197" s="20">
        <f t="shared" si="19"/>
        <v>16</v>
      </c>
      <c r="P197" s="13" t="s">
        <v>34</v>
      </c>
      <c r="Q197" s="13" t="s">
        <v>29</v>
      </c>
      <c r="R197" s="40">
        <f>VLOOKUP(Master19[[#This Row],[Elevated Priority]],Epriority,2,)</f>
        <v>0</v>
      </c>
      <c r="S197" s="13">
        <f>IF(Master19[[#This Row],[Status]]="Active",Master19[[#This Row],[Status_Score]],IF(C197="","",K197+G197+M197+O197+R197-5))</f>
        <v>76</v>
      </c>
      <c r="T197" s="91"/>
    </row>
    <row r="198" spans="1:21" ht="45" hidden="1" x14ac:dyDescent="0.25">
      <c r="A198" s="10">
        <v>197</v>
      </c>
      <c r="B198" s="11" t="s">
        <v>70</v>
      </c>
      <c r="C198" s="11" t="s">
        <v>489</v>
      </c>
      <c r="D198" s="11" t="s">
        <v>490</v>
      </c>
      <c r="E198" s="11" t="s">
        <v>491</v>
      </c>
      <c r="F198" s="11" t="s">
        <v>29</v>
      </c>
      <c r="G198" s="11">
        <f t="shared" si="20"/>
        <v>0</v>
      </c>
      <c r="H198" s="12">
        <v>20000</v>
      </c>
      <c r="I198" s="13">
        <v>2018</v>
      </c>
      <c r="J198" s="11" t="s">
        <v>44</v>
      </c>
      <c r="K198" s="13" t="e">
        <f t="shared" si="18"/>
        <v>#N/A</v>
      </c>
      <c r="L198" s="20">
        <v>8</v>
      </c>
      <c r="M198" s="8">
        <f t="shared" si="21"/>
        <v>20</v>
      </c>
      <c r="N198" s="20" t="s">
        <v>45</v>
      </c>
      <c r="O198" s="20">
        <f t="shared" si="19"/>
        <v>32</v>
      </c>
      <c r="P198" s="20" t="s">
        <v>34</v>
      </c>
      <c r="Q198" s="21" t="s">
        <v>29</v>
      </c>
      <c r="R198" s="40">
        <f>VLOOKUP(Master19[[#This Row],[Elevated Priority]],Epriority,2,)</f>
        <v>0</v>
      </c>
      <c r="S198" s="20" t="e">
        <f>IF(Master19[[#This Row],[Status]]="Active",Master19[[#This Row],[Status_Score]],IF(C198="","",K198+G198+M198+O198+R198-5))</f>
        <v>#N/A</v>
      </c>
    </row>
    <row r="199" spans="1:21" ht="30" hidden="1" x14ac:dyDescent="0.25">
      <c r="A199" s="10">
        <v>198</v>
      </c>
      <c r="B199" s="11" t="s">
        <v>65</v>
      </c>
      <c r="C199" s="11" t="s">
        <v>550</v>
      </c>
      <c r="D199" s="11" t="s">
        <v>551</v>
      </c>
      <c r="E199" s="11"/>
      <c r="F199" s="11" t="s">
        <v>29</v>
      </c>
      <c r="G199" s="11">
        <f t="shared" si="20"/>
        <v>0</v>
      </c>
      <c r="H199" s="12">
        <v>2000000</v>
      </c>
      <c r="I199" s="13">
        <v>2018</v>
      </c>
      <c r="J199" s="11" t="s">
        <v>46</v>
      </c>
      <c r="K199" s="13">
        <f t="shared" si="18"/>
        <v>50</v>
      </c>
      <c r="L199" s="20" t="s">
        <v>29</v>
      </c>
      <c r="M199" s="8">
        <f t="shared" si="21"/>
        <v>0</v>
      </c>
      <c r="N199" s="20" t="s">
        <v>45</v>
      </c>
      <c r="O199" s="20">
        <f t="shared" si="19"/>
        <v>32</v>
      </c>
      <c r="P199" s="20" t="s">
        <v>34</v>
      </c>
      <c r="Q199" s="21" t="s">
        <v>29</v>
      </c>
      <c r="R199" s="40">
        <f>VLOOKUP(Master19[[#This Row],[Elevated Priority]],Epriority,2,)</f>
        <v>0</v>
      </c>
      <c r="S199" s="20">
        <f>IF(Master19[[#This Row],[Status]]="Active",Master19[[#This Row],[Status_Score]],IF(C199="","",K199+G199+M199+O199+R199-5))</f>
        <v>77</v>
      </c>
    </row>
    <row r="200" spans="1:21" ht="30" hidden="1" x14ac:dyDescent="0.25">
      <c r="A200" s="10">
        <v>199</v>
      </c>
      <c r="B200" s="11" t="s">
        <v>69</v>
      </c>
      <c r="C200" s="11" t="s">
        <v>552</v>
      </c>
      <c r="D200" s="11" t="s">
        <v>553</v>
      </c>
      <c r="E200" s="11" t="s">
        <v>554</v>
      </c>
      <c r="F200" s="11" t="s">
        <v>29</v>
      </c>
      <c r="G200" s="11">
        <f t="shared" si="20"/>
        <v>0</v>
      </c>
      <c r="H200" s="22">
        <v>400000</v>
      </c>
      <c r="I200" s="13">
        <v>2018</v>
      </c>
      <c r="J200" s="11" t="s">
        <v>40</v>
      </c>
      <c r="K200" s="13" t="e">
        <f t="shared" si="18"/>
        <v>#N/A</v>
      </c>
      <c r="L200" s="21">
        <v>3</v>
      </c>
      <c r="M200" s="8">
        <f t="shared" si="21"/>
        <v>9</v>
      </c>
      <c r="N200" s="21" t="s">
        <v>47</v>
      </c>
      <c r="O200" s="20">
        <f t="shared" si="19"/>
        <v>64</v>
      </c>
      <c r="P200" s="20" t="s">
        <v>30</v>
      </c>
      <c r="Q200" s="21" t="s">
        <v>29</v>
      </c>
      <c r="R200" s="40">
        <f>VLOOKUP(Master19[[#This Row],[Elevated Priority]],Epriority,2,)</f>
        <v>0</v>
      </c>
      <c r="S200" s="20" t="e">
        <f>IF(Master19[[#This Row],[Status]]="Active",Master19[[#This Row],[Status_Score]],IF(C200="","",K200+G200+M200+O200+R200-5))</f>
        <v>#N/A</v>
      </c>
    </row>
    <row r="201" spans="1:21" hidden="1" x14ac:dyDescent="0.25">
      <c r="A201" s="10">
        <v>200</v>
      </c>
      <c r="B201" s="11" t="s">
        <v>65</v>
      </c>
      <c r="C201" s="11" t="s">
        <v>555</v>
      </c>
      <c r="D201" s="11"/>
      <c r="E201" s="11"/>
      <c r="F201" s="11" t="s">
        <v>29</v>
      </c>
      <c r="G201" s="11">
        <f t="shared" si="20"/>
        <v>0</v>
      </c>
      <c r="H201" s="12">
        <v>5000000</v>
      </c>
      <c r="I201" s="13">
        <v>2018</v>
      </c>
      <c r="J201" s="11" t="s">
        <v>46</v>
      </c>
      <c r="K201" s="13">
        <f t="shared" si="18"/>
        <v>50</v>
      </c>
      <c r="L201" s="20">
        <v>6</v>
      </c>
      <c r="M201" s="8">
        <f t="shared" si="21"/>
        <v>18</v>
      </c>
      <c r="N201" s="20" t="s">
        <v>43</v>
      </c>
      <c r="O201" s="20">
        <f t="shared" si="19"/>
        <v>16</v>
      </c>
      <c r="P201" s="20" t="s">
        <v>34</v>
      </c>
      <c r="Q201" s="21" t="s">
        <v>29</v>
      </c>
      <c r="R201" s="40">
        <f>VLOOKUP(Master19[[#This Row],[Elevated Priority]],Epriority,2,)</f>
        <v>0</v>
      </c>
      <c r="S201" s="20">
        <f>IF(Master19[[#This Row],[Status]]="Active",Master19[[#This Row],[Status_Score]],IF(C201="","",K201+G201+M201+O201+R201-5))</f>
        <v>79</v>
      </c>
    </row>
    <row r="202" spans="1:21" ht="30" hidden="1" x14ac:dyDescent="0.25">
      <c r="A202" s="10">
        <v>201</v>
      </c>
      <c r="B202" s="11" t="s">
        <v>94</v>
      </c>
      <c r="C202" s="11" t="s">
        <v>465</v>
      </c>
      <c r="D202" s="11" t="s">
        <v>466</v>
      </c>
      <c r="E202" s="11" t="s">
        <v>467</v>
      </c>
      <c r="F202" s="11" t="s">
        <v>29</v>
      </c>
      <c r="G202" s="11">
        <f t="shared" si="20"/>
        <v>0</v>
      </c>
      <c r="H202" s="12">
        <v>200000</v>
      </c>
      <c r="I202" s="13">
        <v>2018</v>
      </c>
      <c r="J202" s="11" t="s">
        <v>46</v>
      </c>
      <c r="K202" s="13">
        <f t="shared" si="18"/>
        <v>50</v>
      </c>
      <c r="L202" s="20">
        <v>30</v>
      </c>
      <c r="M202" s="8">
        <f t="shared" si="21"/>
        <v>31</v>
      </c>
      <c r="N202" s="20" t="s">
        <v>37</v>
      </c>
      <c r="O202" s="20">
        <f t="shared" si="19"/>
        <v>3</v>
      </c>
      <c r="P202" s="20" t="s">
        <v>34</v>
      </c>
      <c r="Q202" s="21" t="s">
        <v>29</v>
      </c>
      <c r="R202" s="40">
        <f>VLOOKUP(Master19[[#This Row],[Elevated Priority]],Epriority,2,)</f>
        <v>0</v>
      </c>
      <c r="S202" s="20">
        <f>IF(Master19[[#This Row],[Status]]="Active",Master19[[#This Row],[Status_Score]],IF(C202="","",K202+G202+M202+O202+R202-5))</f>
        <v>79</v>
      </c>
    </row>
    <row r="203" spans="1:21" ht="30" hidden="1" x14ac:dyDescent="0.25">
      <c r="A203" s="10">
        <v>202</v>
      </c>
      <c r="B203" s="11" t="s">
        <v>65</v>
      </c>
      <c r="C203" s="11" t="s">
        <v>556</v>
      </c>
      <c r="D203" s="11" t="s">
        <v>557</v>
      </c>
      <c r="E203" s="11" t="s">
        <v>558</v>
      </c>
      <c r="F203" s="11" t="s">
        <v>29</v>
      </c>
      <c r="G203" s="11">
        <f t="shared" si="20"/>
        <v>0</v>
      </c>
      <c r="H203" s="12">
        <v>30000</v>
      </c>
      <c r="I203" s="13">
        <v>2018</v>
      </c>
      <c r="J203" s="11" t="s">
        <v>44</v>
      </c>
      <c r="K203" s="13" t="e">
        <f t="shared" si="18"/>
        <v>#N/A</v>
      </c>
      <c r="L203" s="20">
        <v>14</v>
      </c>
      <c r="M203" s="8">
        <f t="shared" si="21"/>
        <v>23</v>
      </c>
      <c r="N203" s="20" t="s">
        <v>45</v>
      </c>
      <c r="O203" s="20">
        <f t="shared" si="19"/>
        <v>32</v>
      </c>
      <c r="P203" s="20" t="s">
        <v>30</v>
      </c>
      <c r="Q203" s="21" t="s">
        <v>29</v>
      </c>
      <c r="R203" s="40">
        <f>VLOOKUP(Master19[[#This Row],[Elevated Priority]],Epriority,2,)</f>
        <v>0</v>
      </c>
      <c r="S203" s="20" t="e">
        <f>IF(Master19[[#This Row],[Status]]="Active",Master19[[#This Row],[Status_Score]],IF(C203="","",K203+G203+M203+O203+R203-5))</f>
        <v>#N/A</v>
      </c>
    </row>
    <row r="204" spans="1:21" ht="30" hidden="1" x14ac:dyDescent="0.25">
      <c r="A204" s="10">
        <v>203</v>
      </c>
      <c r="B204" s="11" t="s">
        <v>94</v>
      </c>
      <c r="C204" s="11" t="s">
        <v>506</v>
      </c>
      <c r="D204" s="11" t="s">
        <v>507</v>
      </c>
      <c r="E204" s="11" t="s">
        <v>508</v>
      </c>
      <c r="F204" s="11" t="s">
        <v>29</v>
      </c>
      <c r="G204" s="11">
        <f t="shared" si="20"/>
        <v>0</v>
      </c>
      <c r="H204" s="12">
        <v>350000</v>
      </c>
      <c r="I204" s="13">
        <v>2018</v>
      </c>
      <c r="J204" s="11" t="s">
        <v>46</v>
      </c>
      <c r="K204" s="13">
        <f t="shared" si="18"/>
        <v>50</v>
      </c>
      <c r="L204" s="20">
        <v>23</v>
      </c>
      <c r="M204" s="8">
        <f t="shared" si="21"/>
        <v>28</v>
      </c>
      <c r="N204" s="20" t="s">
        <v>41</v>
      </c>
      <c r="O204" s="20">
        <f t="shared" si="19"/>
        <v>4</v>
      </c>
      <c r="P204" s="20" t="s">
        <v>30</v>
      </c>
      <c r="Q204" s="21" t="s">
        <v>29</v>
      </c>
      <c r="R204" s="40">
        <f>VLOOKUP(Master19[[#This Row],[Elevated Priority]],Epriority,2,)</f>
        <v>0</v>
      </c>
      <c r="S204" s="20">
        <f>IF(Master19[[#This Row],[Status]]="Active",Master19[[#This Row],[Status_Score]],IF(C204="","",K204+G204+M204+O204+R204-5))</f>
        <v>77</v>
      </c>
    </row>
    <row r="205" spans="1:21" ht="45" hidden="1" x14ac:dyDescent="0.25">
      <c r="A205" s="10">
        <v>204</v>
      </c>
      <c r="B205" s="11" t="s">
        <v>67</v>
      </c>
      <c r="C205" s="11" t="s">
        <v>624</v>
      </c>
      <c r="D205" s="11" t="s">
        <v>625</v>
      </c>
      <c r="E205" s="11"/>
      <c r="F205" s="11" t="s">
        <v>29</v>
      </c>
      <c r="G205" s="27">
        <f t="shared" si="20"/>
        <v>0</v>
      </c>
      <c r="H205" s="106">
        <v>750000</v>
      </c>
      <c r="I205" s="13">
        <v>2019</v>
      </c>
      <c r="J205" s="11" t="s">
        <v>46</v>
      </c>
      <c r="K205" s="13">
        <f t="shared" si="18"/>
        <v>50</v>
      </c>
      <c r="L205" s="13">
        <v>7</v>
      </c>
      <c r="M205" s="8">
        <f t="shared" si="21"/>
        <v>20</v>
      </c>
      <c r="N205" s="13" t="s">
        <v>43</v>
      </c>
      <c r="O205" s="20">
        <f t="shared" si="19"/>
        <v>16</v>
      </c>
      <c r="P205" s="13" t="s">
        <v>34</v>
      </c>
      <c r="Q205" s="13" t="s">
        <v>29</v>
      </c>
      <c r="R205" s="40">
        <f>VLOOKUP(Master19[[#This Row],[Elevated Priority]],Epriority,2,)</f>
        <v>0</v>
      </c>
      <c r="S205" s="13">
        <f>IF(Master19[[#This Row],[Status]]="Active",Master19[[#This Row],[Status_Score]],IF(C205="","",K205+G205+M205+O205+R205-5))</f>
        <v>81</v>
      </c>
      <c r="T205" s="91"/>
    </row>
    <row r="206" spans="1:21" ht="60" hidden="1" x14ac:dyDescent="0.25">
      <c r="A206" s="10">
        <v>205</v>
      </c>
      <c r="B206" s="11" t="s">
        <v>67</v>
      </c>
      <c r="C206" s="11" t="s">
        <v>626</v>
      </c>
      <c r="D206" s="11" t="s">
        <v>627</v>
      </c>
      <c r="E206" s="11" t="s">
        <v>628</v>
      </c>
      <c r="F206" s="11" t="s">
        <v>29</v>
      </c>
      <c r="G206" s="27">
        <f t="shared" si="20"/>
        <v>0</v>
      </c>
      <c r="H206" s="106"/>
      <c r="I206" s="13">
        <v>2019</v>
      </c>
      <c r="J206" s="11" t="s">
        <v>46</v>
      </c>
      <c r="K206" s="13">
        <f t="shared" si="18"/>
        <v>50</v>
      </c>
      <c r="L206" s="13">
        <v>7</v>
      </c>
      <c r="M206" s="8">
        <f t="shared" si="21"/>
        <v>20</v>
      </c>
      <c r="N206" s="13" t="s">
        <v>43</v>
      </c>
      <c r="O206" s="20">
        <f t="shared" si="19"/>
        <v>16</v>
      </c>
      <c r="P206" s="13" t="s">
        <v>34</v>
      </c>
      <c r="Q206" s="13" t="s">
        <v>29</v>
      </c>
      <c r="R206" s="40">
        <f>VLOOKUP(Master19[[#This Row],[Elevated Priority]],Epriority,2,)</f>
        <v>0</v>
      </c>
      <c r="S206" s="13">
        <f>IF(Master19[[#This Row],[Status]]="Active",Master19[[#This Row],[Status_Score]],IF(C206="","",K206+G206+M206+O206+R206-5))</f>
        <v>81</v>
      </c>
      <c r="T206" s="91"/>
    </row>
    <row r="207" spans="1:21" ht="30" hidden="1" x14ac:dyDescent="0.25">
      <c r="A207" s="10">
        <v>206</v>
      </c>
      <c r="B207" s="11" t="s">
        <v>94</v>
      </c>
      <c r="C207" s="11" t="s">
        <v>462</v>
      </c>
      <c r="D207" s="11" t="s">
        <v>463</v>
      </c>
      <c r="E207" s="11" t="s">
        <v>464</v>
      </c>
      <c r="F207" s="11" t="s">
        <v>29</v>
      </c>
      <c r="G207" s="11">
        <f t="shared" si="20"/>
        <v>0</v>
      </c>
      <c r="H207" s="12">
        <v>400000</v>
      </c>
      <c r="I207" s="13">
        <v>2018</v>
      </c>
      <c r="J207" s="11" t="s">
        <v>46</v>
      </c>
      <c r="K207" s="13">
        <f t="shared" si="18"/>
        <v>50</v>
      </c>
      <c r="L207" s="20">
        <v>33</v>
      </c>
      <c r="M207" s="8">
        <f t="shared" si="21"/>
        <v>33</v>
      </c>
      <c r="N207" s="20" t="s">
        <v>37</v>
      </c>
      <c r="O207" s="20">
        <f t="shared" si="19"/>
        <v>3</v>
      </c>
      <c r="P207" s="20" t="s">
        <v>34</v>
      </c>
      <c r="Q207" s="21" t="s">
        <v>29</v>
      </c>
      <c r="R207" s="40">
        <f>VLOOKUP(Master19[[#This Row],[Elevated Priority]],Epriority,2,)</f>
        <v>0</v>
      </c>
      <c r="S207" s="20">
        <f>IF(Master19[[#This Row],[Status]]="Active",Master19[[#This Row],[Status_Score]],IF(C207="","",K207+G207+M207+O207+R207-5))</f>
        <v>81</v>
      </c>
      <c r="U207" t="s">
        <v>672</v>
      </c>
    </row>
    <row r="208" spans="1:21" ht="30" hidden="1" x14ac:dyDescent="0.25">
      <c r="A208" s="10">
        <v>207</v>
      </c>
      <c r="B208" s="11" t="s">
        <v>94</v>
      </c>
      <c r="C208" s="11" t="s">
        <v>503</v>
      </c>
      <c r="D208" s="11" t="s">
        <v>504</v>
      </c>
      <c r="E208" s="11" t="s">
        <v>505</v>
      </c>
      <c r="F208" s="11" t="s">
        <v>29</v>
      </c>
      <c r="G208" s="11">
        <f t="shared" si="20"/>
        <v>0</v>
      </c>
      <c r="H208" s="12">
        <v>75000</v>
      </c>
      <c r="I208" s="13">
        <v>2018</v>
      </c>
      <c r="J208" s="11" t="s">
        <v>46</v>
      </c>
      <c r="K208" s="13">
        <f t="shared" si="18"/>
        <v>50</v>
      </c>
      <c r="L208" s="20">
        <v>31</v>
      </c>
      <c r="M208" s="8">
        <f t="shared" si="21"/>
        <v>32</v>
      </c>
      <c r="N208" s="20" t="s">
        <v>41</v>
      </c>
      <c r="O208" s="20">
        <f t="shared" si="19"/>
        <v>4</v>
      </c>
      <c r="P208" s="20" t="s">
        <v>34</v>
      </c>
      <c r="Q208" s="21" t="s">
        <v>29</v>
      </c>
      <c r="R208" s="40">
        <f>VLOOKUP(Master19[[#This Row],[Elevated Priority]],Epriority,2,)</f>
        <v>0</v>
      </c>
      <c r="S208" s="20">
        <f>IF(Master19[[#This Row],[Status]]="Active",Master19[[#This Row],[Status_Score]],IF(C208="","",K208+G208+M208+O208+R208-5))</f>
        <v>81</v>
      </c>
      <c r="U208" t="s">
        <v>672</v>
      </c>
    </row>
    <row r="209" spans="1:21" ht="30" hidden="1" x14ac:dyDescent="0.25">
      <c r="A209" s="10">
        <v>208</v>
      </c>
      <c r="B209" s="11" t="s">
        <v>94</v>
      </c>
      <c r="C209" s="11" t="s">
        <v>522</v>
      </c>
      <c r="D209" s="11" t="s">
        <v>523</v>
      </c>
      <c r="E209" s="11" t="s">
        <v>524</v>
      </c>
      <c r="F209" s="11" t="s">
        <v>29</v>
      </c>
      <c r="G209" s="11">
        <f t="shared" si="20"/>
        <v>0</v>
      </c>
      <c r="H209" s="12">
        <v>100000</v>
      </c>
      <c r="I209" s="13">
        <v>2018</v>
      </c>
      <c r="J209" s="11" t="s">
        <v>46</v>
      </c>
      <c r="K209" s="13">
        <f t="shared" si="18"/>
        <v>50</v>
      </c>
      <c r="L209" s="20">
        <v>32</v>
      </c>
      <c r="M209" s="8">
        <f t="shared" si="21"/>
        <v>32</v>
      </c>
      <c r="N209" s="20" t="s">
        <v>41</v>
      </c>
      <c r="O209" s="20">
        <f t="shared" si="19"/>
        <v>4</v>
      </c>
      <c r="P209" s="20" t="s">
        <v>30</v>
      </c>
      <c r="Q209" s="21" t="s">
        <v>29</v>
      </c>
      <c r="R209" s="40">
        <f>VLOOKUP(Master19[[#This Row],[Elevated Priority]],Epriority,2,)</f>
        <v>0</v>
      </c>
      <c r="S209" s="20">
        <f>IF(Master19[[#This Row],[Status]]="Active",Master19[[#This Row],[Status_Score]],IF(C209="","",K209+G209+M209+O209+R209-5))</f>
        <v>81</v>
      </c>
    </row>
    <row r="210" spans="1:21" ht="45" hidden="1" x14ac:dyDescent="0.25">
      <c r="A210" s="10">
        <v>209</v>
      </c>
      <c r="B210" s="11" t="s">
        <v>94</v>
      </c>
      <c r="C210" s="11" t="s">
        <v>535</v>
      </c>
      <c r="D210" s="11" t="s">
        <v>536</v>
      </c>
      <c r="E210" s="11" t="s">
        <v>537</v>
      </c>
      <c r="F210" s="11" t="s">
        <v>29</v>
      </c>
      <c r="G210" s="11">
        <f t="shared" si="20"/>
        <v>0</v>
      </c>
      <c r="H210" s="12">
        <v>500000</v>
      </c>
      <c r="I210" s="13">
        <v>2018</v>
      </c>
      <c r="J210" s="11" t="s">
        <v>46</v>
      </c>
      <c r="K210" s="13">
        <f t="shared" si="18"/>
        <v>50</v>
      </c>
      <c r="L210" s="20">
        <v>24</v>
      </c>
      <c r="M210" s="8">
        <f t="shared" si="21"/>
        <v>28</v>
      </c>
      <c r="N210" s="20" t="s">
        <v>43</v>
      </c>
      <c r="O210" s="20">
        <f t="shared" si="19"/>
        <v>16</v>
      </c>
      <c r="P210" s="20" t="s">
        <v>34</v>
      </c>
      <c r="Q210" s="21" t="s">
        <v>29</v>
      </c>
      <c r="R210" s="40">
        <f>VLOOKUP(Master19[[#This Row],[Elevated Priority]],Epriority,2,)</f>
        <v>0</v>
      </c>
      <c r="S210" s="20">
        <f>IF(Master19[[#This Row],[Status]]="Active",Master19[[#This Row],[Status_Score]],IF(C210="","",K210+G210+M210+O210+R210-5))</f>
        <v>89</v>
      </c>
    </row>
    <row r="211" spans="1:21" ht="75" hidden="1" x14ac:dyDescent="0.25">
      <c r="A211" s="10">
        <v>210</v>
      </c>
      <c r="B211" s="11" t="s">
        <v>71</v>
      </c>
      <c r="C211" s="11" t="s">
        <v>562</v>
      </c>
      <c r="D211" s="11" t="s">
        <v>563</v>
      </c>
      <c r="E211" s="11" t="s">
        <v>564</v>
      </c>
      <c r="F211" s="11" t="s">
        <v>29</v>
      </c>
      <c r="G211" s="11">
        <f t="shared" si="20"/>
        <v>0</v>
      </c>
      <c r="H211" s="12">
        <v>850000</v>
      </c>
      <c r="I211" s="13">
        <v>2018</v>
      </c>
      <c r="J211" s="11" t="s">
        <v>46</v>
      </c>
      <c r="K211" s="13">
        <f t="shared" si="18"/>
        <v>50</v>
      </c>
      <c r="L211" s="20">
        <v>4</v>
      </c>
      <c r="M211" s="8">
        <f t="shared" si="21"/>
        <v>12</v>
      </c>
      <c r="N211" s="20" t="s">
        <v>45</v>
      </c>
      <c r="O211" s="20">
        <f t="shared" si="19"/>
        <v>32</v>
      </c>
      <c r="P211" s="20" t="s">
        <v>34</v>
      </c>
      <c r="Q211" s="21" t="s">
        <v>29</v>
      </c>
      <c r="R211" s="40">
        <f>VLOOKUP(Master19[[#This Row],[Elevated Priority]],Epriority,2,)</f>
        <v>0</v>
      </c>
      <c r="S211" s="20">
        <f>IF(Master19[[#This Row],[Status]]="Active",Master19[[#This Row],[Status_Score]],IF(C211="","",K211+G211+M211+O211+R211-5))</f>
        <v>89</v>
      </c>
    </row>
    <row r="212" spans="1:21" hidden="1" x14ac:dyDescent="0.25">
      <c r="A212" s="10">
        <v>211</v>
      </c>
      <c r="B212" s="38" t="s">
        <v>91</v>
      </c>
      <c r="C212" s="38" t="s">
        <v>565</v>
      </c>
      <c r="E212" s="38"/>
      <c r="F212" s="11" t="s">
        <v>29</v>
      </c>
      <c r="G212" s="11">
        <f t="shared" si="20"/>
        <v>0</v>
      </c>
      <c r="H212" s="39">
        <v>25000</v>
      </c>
      <c r="I212" s="40">
        <v>2018</v>
      </c>
      <c r="J212" s="38" t="s">
        <v>40</v>
      </c>
      <c r="K212" s="13" t="e">
        <f t="shared" si="18"/>
        <v>#N/A</v>
      </c>
      <c r="L212" s="8">
        <v>10</v>
      </c>
      <c r="M212" s="8">
        <f t="shared" si="21"/>
        <v>21</v>
      </c>
      <c r="N212" s="8" t="s">
        <v>47</v>
      </c>
      <c r="O212" s="20">
        <f t="shared" si="19"/>
        <v>64</v>
      </c>
      <c r="P212" s="8" t="s">
        <v>30</v>
      </c>
      <c r="Q212" s="41" t="s">
        <v>29</v>
      </c>
      <c r="R212" s="40">
        <f>VLOOKUP(Master19[[#This Row],[Elevated Priority]],Epriority,2,)</f>
        <v>0</v>
      </c>
      <c r="S212" s="8" t="e">
        <f>IF(Master19[[#This Row],[Status]]="Active",Master19[[#This Row],[Status_Score]],IF(C212="","",K212+G212+M212+O212+R212-5))</f>
        <v>#N/A</v>
      </c>
    </row>
    <row r="213" spans="1:21" hidden="1" x14ac:dyDescent="0.25">
      <c r="A213" s="10">
        <v>212</v>
      </c>
      <c r="B213" s="38" t="s">
        <v>91</v>
      </c>
      <c r="C213" s="38" t="s">
        <v>566</v>
      </c>
      <c r="E213" s="38"/>
      <c r="F213" s="11" t="s">
        <v>29</v>
      </c>
      <c r="G213" s="11">
        <f t="shared" si="20"/>
        <v>0</v>
      </c>
      <c r="H213" s="12">
        <v>400000</v>
      </c>
      <c r="I213" s="40">
        <v>2018</v>
      </c>
      <c r="J213" s="38" t="s">
        <v>40</v>
      </c>
      <c r="K213" s="13" t="e">
        <f t="shared" si="18"/>
        <v>#N/A</v>
      </c>
      <c r="L213" s="8">
        <v>10</v>
      </c>
      <c r="M213" s="8">
        <f t="shared" si="21"/>
        <v>21</v>
      </c>
      <c r="N213" s="8" t="s">
        <v>47</v>
      </c>
      <c r="O213" s="20">
        <f t="shared" si="19"/>
        <v>64</v>
      </c>
      <c r="P213" s="8" t="s">
        <v>30</v>
      </c>
      <c r="Q213" s="41" t="s">
        <v>29</v>
      </c>
      <c r="R213" s="40">
        <f>VLOOKUP(Master19[[#This Row],[Elevated Priority]],Epriority,2,)</f>
        <v>0</v>
      </c>
      <c r="S213" s="8" t="e">
        <f>IF(Master19[[#This Row],[Status]]="Active",Master19[[#This Row],[Status_Score]],IF(C213="","",K213+G213+M213+O213+R213-5))</f>
        <v>#N/A</v>
      </c>
    </row>
    <row r="214" spans="1:21" ht="45" hidden="1" x14ac:dyDescent="0.25">
      <c r="A214" s="10">
        <v>213</v>
      </c>
      <c r="B214" s="11" t="s">
        <v>94</v>
      </c>
      <c r="C214" s="11" t="s">
        <v>538</v>
      </c>
      <c r="D214" s="11" t="s">
        <v>539</v>
      </c>
      <c r="E214" s="11" t="s">
        <v>540</v>
      </c>
      <c r="F214" s="11" t="s">
        <v>29</v>
      </c>
      <c r="G214" s="11">
        <f t="shared" si="20"/>
        <v>0</v>
      </c>
      <c r="H214" s="12">
        <v>1500000</v>
      </c>
      <c r="I214" s="13">
        <v>2018</v>
      </c>
      <c r="J214" s="11" t="s">
        <v>46</v>
      </c>
      <c r="K214" s="13">
        <f t="shared" ref="K214:K221" si="22">VLOOKUP(J214,Importance,2,FALSE)</f>
        <v>50</v>
      </c>
      <c r="L214" s="20">
        <v>29</v>
      </c>
      <c r="M214" s="8">
        <f t="shared" si="21"/>
        <v>31</v>
      </c>
      <c r="N214" s="20" t="s">
        <v>43</v>
      </c>
      <c r="O214" s="20">
        <f t="shared" si="19"/>
        <v>16</v>
      </c>
      <c r="P214" s="20" t="s">
        <v>34</v>
      </c>
      <c r="Q214" s="21" t="s">
        <v>29</v>
      </c>
      <c r="R214" s="40">
        <f>VLOOKUP(Master19[[#This Row],[Elevated Priority]],Epriority,2,)</f>
        <v>0</v>
      </c>
      <c r="S214" s="20">
        <f>IF(Master19[[#This Row],[Status]]="Active",Master19[[#This Row],[Status_Score]],IF(C214="","",K214+G214+M214+O214+R214-5))</f>
        <v>92</v>
      </c>
    </row>
    <row r="215" spans="1:21" ht="75" hidden="1" x14ac:dyDescent="0.25">
      <c r="A215" s="10">
        <v>214</v>
      </c>
      <c r="B215" s="38" t="s">
        <v>65</v>
      </c>
      <c r="C215" s="38" t="s">
        <v>567</v>
      </c>
      <c r="D215" s="38" t="s">
        <v>568</v>
      </c>
      <c r="E215" s="38" t="s">
        <v>569</v>
      </c>
      <c r="F215" s="11" t="s">
        <v>29</v>
      </c>
      <c r="G215" s="11">
        <f t="shared" si="20"/>
        <v>0</v>
      </c>
      <c r="H215" s="39">
        <v>5000000</v>
      </c>
      <c r="I215" s="40">
        <v>2018</v>
      </c>
      <c r="J215" s="38" t="s">
        <v>46</v>
      </c>
      <c r="K215" s="13">
        <f t="shared" si="22"/>
        <v>50</v>
      </c>
      <c r="L215" s="8">
        <v>5</v>
      </c>
      <c r="M215" s="8">
        <f t="shared" si="21"/>
        <v>15</v>
      </c>
      <c r="N215" s="8" t="s">
        <v>45</v>
      </c>
      <c r="O215" s="20">
        <f t="shared" si="19"/>
        <v>32</v>
      </c>
      <c r="P215" s="8" t="s">
        <v>34</v>
      </c>
      <c r="Q215" s="41" t="s">
        <v>29</v>
      </c>
      <c r="R215" s="40">
        <f>VLOOKUP(Master19[[#This Row],[Elevated Priority]],Epriority,2,)</f>
        <v>0</v>
      </c>
      <c r="S215" s="8">
        <f>IF(Master19[[#This Row],[Status]]="Active",Master19[[#This Row],[Status_Score]],IF(C215="","",K215+G215+M215+O215+R215-5))</f>
        <v>92</v>
      </c>
    </row>
    <row r="216" spans="1:21" hidden="1" x14ac:dyDescent="0.25">
      <c r="A216" s="10">
        <v>215</v>
      </c>
      <c r="B216" s="38" t="s">
        <v>91</v>
      </c>
      <c r="C216" s="38" t="s">
        <v>573</v>
      </c>
      <c r="E216" s="38" t="s">
        <v>574</v>
      </c>
      <c r="F216" s="11" t="s">
        <v>29</v>
      </c>
      <c r="G216" s="11">
        <f t="shared" si="20"/>
        <v>0</v>
      </c>
      <c r="H216" s="12">
        <v>50000</v>
      </c>
      <c r="I216" s="40">
        <v>2018</v>
      </c>
      <c r="J216" s="38" t="s">
        <v>46</v>
      </c>
      <c r="K216" s="13">
        <f t="shared" si="22"/>
        <v>50</v>
      </c>
      <c r="L216" s="8">
        <v>5</v>
      </c>
      <c r="M216" s="8">
        <f t="shared" si="21"/>
        <v>15</v>
      </c>
      <c r="N216" s="8" t="s">
        <v>45</v>
      </c>
      <c r="O216" s="20">
        <f t="shared" si="19"/>
        <v>32</v>
      </c>
      <c r="P216" s="8" t="s">
        <v>30</v>
      </c>
      <c r="Q216" s="41" t="s">
        <v>29</v>
      </c>
      <c r="R216" s="40">
        <f>VLOOKUP(Master19[[#This Row],[Elevated Priority]],Epriority,2,)</f>
        <v>0</v>
      </c>
      <c r="S216" s="8">
        <f>IF(Master19[[#This Row],[Status]]="Active",Master19[[#This Row],[Status_Score]],IF(C216="","",K216+G216+M216+O216+R216-5))</f>
        <v>92</v>
      </c>
    </row>
    <row r="217" spans="1:21" ht="60" hidden="1" x14ac:dyDescent="0.25">
      <c r="A217" s="10">
        <v>216</v>
      </c>
      <c r="B217" s="33" t="s">
        <v>143</v>
      </c>
      <c r="C217" s="33" t="s">
        <v>372</v>
      </c>
      <c r="D217" s="33" t="s">
        <v>373</v>
      </c>
      <c r="E217" s="33" t="s">
        <v>374</v>
      </c>
      <c r="F217" s="33" t="s">
        <v>29</v>
      </c>
      <c r="G217" s="33">
        <f t="shared" si="20"/>
        <v>0</v>
      </c>
      <c r="H217" s="124">
        <v>15000000</v>
      </c>
      <c r="I217" s="36">
        <v>2018</v>
      </c>
      <c r="J217" s="33" t="s">
        <v>46</v>
      </c>
      <c r="K217" s="13">
        <f t="shared" si="22"/>
        <v>50</v>
      </c>
      <c r="L217" s="34">
        <v>6</v>
      </c>
      <c r="M217" s="8">
        <f t="shared" si="21"/>
        <v>18</v>
      </c>
      <c r="N217" s="34" t="s">
        <v>45</v>
      </c>
      <c r="O217" s="20">
        <f t="shared" si="19"/>
        <v>32</v>
      </c>
      <c r="P217" s="103" t="s">
        <v>34</v>
      </c>
      <c r="Q217" s="34" t="s">
        <v>29</v>
      </c>
      <c r="R217" s="40">
        <f>VLOOKUP(Master19[[#This Row],[Elevated Priority]],Epriority,2,)</f>
        <v>0</v>
      </c>
      <c r="S217" s="103">
        <f>IF(Master19[[#This Row],[Status]]="Active",Master19[[#This Row],[Status_Score]],IF(C217="","",K217+G217+M217+O217+R217-5))</f>
        <v>95</v>
      </c>
      <c r="T217" s="37"/>
    </row>
    <row r="218" spans="1:21" ht="195" hidden="1" x14ac:dyDescent="0.25">
      <c r="A218" s="10">
        <v>217</v>
      </c>
      <c r="B218" s="38" t="s">
        <v>61</v>
      </c>
      <c r="C218" s="38" t="s">
        <v>570</v>
      </c>
      <c r="D218" s="38" t="s">
        <v>571</v>
      </c>
      <c r="E218" s="38" t="s">
        <v>572</v>
      </c>
      <c r="F218" s="11" t="s">
        <v>29</v>
      </c>
      <c r="G218" s="11">
        <f t="shared" si="20"/>
        <v>0</v>
      </c>
      <c r="H218" s="39">
        <v>30000000</v>
      </c>
      <c r="I218" s="40">
        <v>2018</v>
      </c>
      <c r="J218" s="38" t="s">
        <v>46</v>
      </c>
      <c r="K218" s="13">
        <f t="shared" si="22"/>
        <v>50</v>
      </c>
      <c r="L218" s="8">
        <v>6</v>
      </c>
      <c r="M218" s="8">
        <f t="shared" si="21"/>
        <v>18</v>
      </c>
      <c r="N218" s="8" t="s">
        <v>45</v>
      </c>
      <c r="O218" s="20">
        <f t="shared" si="19"/>
        <v>32</v>
      </c>
      <c r="P218" s="8" t="s">
        <v>34</v>
      </c>
      <c r="Q218" s="41" t="s">
        <v>29</v>
      </c>
      <c r="R218" s="40">
        <f>VLOOKUP(Master19[[#This Row],[Elevated Priority]],Epriority,2,)</f>
        <v>0</v>
      </c>
      <c r="S218" s="8">
        <f>IF(Master19[[#This Row],[Status]]="Active",Master19[[#This Row],[Status_Score]],IF(C218="","",K218+G218+M218+O218+R218-5))</f>
        <v>95</v>
      </c>
    </row>
    <row r="219" spans="1:21" ht="45" hidden="1" x14ac:dyDescent="0.25">
      <c r="A219" s="10">
        <v>218</v>
      </c>
      <c r="B219" s="11" t="s">
        <v>67</v>
      </c>
      <c r="C219" s="11" t="s">
        <v>615</v>
      </c>
      <c r="D219" s="11" t="s">
        <v>616</v>
      </c>
      <c r="E219" s="11" t="s">
        <v>617</v>
      </c>
      <c r="F219" s="11" t="s">
        <v>29</v>
      </c>
      <c r="G219" s="106"/>
      <c r="H219" s="106">
        <v>1500000</v>
      </c>
      <c r="I219" s="13">
        <v>2019</v>
      </c>
      <c r="J219" s="11" t="s">
        <v>46</v>
      </c>
      <c r="K219" s="13">
        <f t="shared" si="22"/>
        <v>50</v>
      </c>
      <c r="L219" s="13">
        <v>9</v>
      </c>
      <c r="M219" s="8">
        <f t="shared" si="21"/>
        <v>21</v>
      </c>
      <c r="N219" s="13" t="s">
        <v>45</v>
      </c>
      <c r="O219" s="20">
        <f t="shared" si="19"/>
        <v>32</v>
      </c>
      <c r="P219" s="13" t="s">
        <v>34</v>
      </c>
      <c r="Q219" s="13" t="s">
        <v>29</v>
      </c>
      <c r="R219" s="40">
        <f>VLOOKUP(Master19[[#This Row],[Elevated Priority]],Epriority,2,)</f>
        <v>0</v>
      </c>
      <c r="S219" s="13">
        <f>IF(Master19[[#This Row],[Status]]="Active",Master19[[#This Row],[Status_Score]],IF(C219="","",K219+G219+M219+O219+R219-5))</f>
        <v>98</v>
      </c>
      <c r="T219" s="91"/>
    </row>
    <row r="220" spans="1:21" ht="45" hidden="1" x14ac:dyDescent="0.25">
      <c r="A220" s="10">
        <v>219</v>
      </c>
      <c r="B220" s="101" t="s">
        <v>159</v>
      </c>
      <c r="C220" s="102" t="s">
        <v>575</v>
      </c>
      <c r="D220" s="38" t="s">
        <v>576</v>
      </c>
      <c r="E220" s="38" t="s">
        <v>577</v>
      </c>
      <c r="F220" s="29" t="s">
        <v>29</v>
      </c>
      <c r="G220" s="29">
        <f>VLOOKUP(F220,Status_Score,2,FALSE)</f>
        <v>0</v>
      </c>
      <c r="H220" s="12">
        <v>350000</v>
      </c>
      <c r="I220" s="40">
        <v>2018</v>
      </c>
      <c r="J220" s="38" t="s">
        <v>44</v>
      </c>
      <c r="K220" s="13" t="e">
        <f t="shared" si="22"/>
        <v>#N/A</v>
      </c>
      <c r="L220" s="8">
        <v>8</v>
      </c>
      <c r="M220" s="8">
        <f t="shared" si="21"/>
        <v>20</v>
      </c>
      <c r="N220" s="8" t="s">
        <v>47</v>
      </c>
      <c r="O220" s="20">
        <f t="shared" si="19"/>
        <v>64</v>
      </c>
      <c r="P220" s="8" t="s">
        <v>34</v>
      </c>
      <c r="Q220" s="41" t="s">
        <v>29</v>
      </c>
      <c r="R220" s="40">
        <f>VLOOKUP(Master19[[#This Row],[Elevated Priority]],Epriority,2,)</f>
        <v>0</v>
      </c>
      <c r="S220" s="8" t="e">
        <f>IF(Master19[[#This Row],[Status]]="Active",Master19[[#This Row],[Status_Score]],IF(C220="","",K220+G220+M220+O220+R220-5))</f>
        <v>#N/A</v>
      </c>
      <c r="T220" s="92"/>
    </row>
    <row r="221" spans="1:21" ht="30" hidden="1" x14ac:dyDescent="0.25">
      <c r="A221" s="10">
        <v>220</v>
      </c>
      <c r="B221" s="38" t="s">
        <v>65</v>
      </c>
      <c r="C221" s="38" t="s">
        <v>578</v>
      </c>
      <c r="D221" s="38" t="s">
        <v>579</v>
      </c>
      <c r="E221" s="38" t="s">
        <v>580</v>
      </c>
      <c r="F221" s="11" t="s">
        <v>29</v>
      </c>
      <c r="G221" s="11">
        <f>VLOOKUP(F221,Status_Score,2,FALSE)</f>
        <v>0</v>
      </c>
      <c r="H221" s="39">
        <v>100000</v>
      </c>
      <c r="I221" s="40">
        <v>2018</v>
      </c>
      <c r="J221" s="38" t="s">
        <v>46</v>
      </c>
      <c r="K221" s="13">
        <f t="shared" si="22"/>
        <v>50</v>
      </c>
      <c r="L221" s="8">
        <v>15</v>
      </c>
      <c r="M221" s="8">
        <f t="shared" si="21"/>
        <v>24</v>
      </c>
      <c r="N221" s="8" t="s">
        <v>47</v>
      </c>
      <c r="O221" s="20">
        <f t="shared" si="19"/>
        <v>64</v>
      </c>
      <c r="P221" s="8" t="s">
        <v>34</v>
      </c>
      <c r="Q221" s="41" t="s">
        <v>29</v>
      </c>
      <c r="R221" s="40">
        <f>VLOOKUP(Master19[[#This Row],[Elevated Priority]],Epriority,2,)</f>
        <v>0</v>
      </c>
      <c r="S221" s="8">
        <f>IF(Master19[[#This Row],[Status]]="Active",Master19[[#This Row],[Status_Score]],IF(C221="","",K221+G221+M221+O221+R221-5))</f>
        <v>133</v>
      </c>
      <c r="T221" s="92"/>
    </row>
    <row r="222" spans="1:21" hidden="1" x14ac:dyDescent="0.25">
      <c r="B222" s="5"/>
      <c r="C222" s="5"/>
      <c r="D222" s="5"/>
      <c r="E222" s="5"/>
      <c r="F222" s="5"/>
      <c r="G222" s="119" t="e">
        <f>VLOOKUP(F222,Status_Score,2,FALSE)</f>
        <v>#N/A</v>
      </c>
      <c r="H222" s="120">
        <f>SUM(H223:H442)</f>
        <v>0</v>
      </c>
      <c r="I222" s="121"/>
      <c r="J222" s="4"/>
      <c r="K222" s="81"/>
      <c r="L222" s="7"/>
      <c r="M222" s="4"/>
      <c r="N222" s="4"/>
      <c r="O222" s="7"/>
      <c r="P222" s="7"/>
      <c r="Q222" s="4"/>
      <c r="R222" s="40" t="e">
        <f>VLOOKUP(Master19[[#This Row],[Elevated Priority]],Epriority,2,)</f>
        <v>#N/A</v>
      </c>
      <c r="S222" s="121" t="str">
        <f>IF(Master19[[#This Row],[Status]]="Active",Master19[[#This Row],[Status_Score]],IF(C222="","",K222+G222+M222+O222+R222-5))</f>
        <v/>
      </c>
      <c r="T222" s="7"/>
      <c r="U222" s="118"/>
    </row>
    <row r="223" spans="1:21" ht="38.25" hidden="1" customHeight="1" x14ac:dyDescent="0.25">
      <c r="A223" s="110"/>
      <c r="B223" s="5"/>
      <c r="C223" s="5"/>
      <c r="D223" s="5"/>
      <c r="E223" s="5"/>
      <c r="F223" s="5"/>
      <c r="G223" s="119" t="e">
        <f>VLOOKUP(F223,Status_Score,2,FALSE)</f>
        <v>#N/A</v>
      </c>
      <c r="H223" s="120">
        <f>SUM(H224:H443)</f>
        <v>0</v>
      </c>
      <c r="I223" s="121"/>
      <c r="J223" s="4"/>
      <c r="K223" s="81"/>
      <c r="L223" s="7"/>
      <c r="M223" s="4"/>
      <c r="N223" s="4"/>
      <c r="O223" s="7"/>
      <c r="P223" s="7"/>
      <c r="Q223" s="4"/>
      <c r="R223" s="40" t="e">
        <f>VLOOKUP(Master19[[#This Row],[Elevated Priority]],Epriority,2,)</f>
        <v>#N/A</v>
      </c>
      <c r="S223" s="121" t="str">
        <f>IF(Master19[[#This Row],[Status]]="Active",Master19[[#This Row],[Status_Score]],IF(C223="","",K223+G223+M223+O223+R223-5))</f>
        <v/>
      </c>
      <c r="T223" s="7"/>
      <c r="U223" s="118"/>
    </row>
    <row r="224" spans="1:21" hidden="1" x14ac:dyDescent="0.25">
      <c r="B224" s="68"/>
      <c r="C224" s="11"/>
      <c r="D224" s="11"/>
      <c r="E224" s="11"/>
      <c r="F224" s="11"/>
      <c r="G224" s="11"/>
      <c r="H224" s="30"/>
      <c r="I224" s="13"/>
      <c r="J224" s="11"/>
      <c r="K224" s="13"/>
      <c r="L224" s="20"/>
      <c r="M224" s="20"/>
      <c r="N224" s="20"/>
      <c r="O224" s="20"/>
      <c r="P224" s="20"/>
      <c r="Q224" s="21"/>
      <c r="R224" s="13"/>
      <c r="S224" s="20"/>
      <c r="T224" s="92"/>
    </row>
    <row r="225" spans="2:20" hidden="1" x14ac:dyDescent="0.25">
      <c r="B225" s="68"/>
      <c r="C225" s="11"/>
      <c r="D225" s="11"/>
      <c r="E225" s="11"/>
      <c r="F225" s="11"/>
      <c r="G225" s="11"/>
      <c r="H225" s="30"/>
      <c r="I225" s="13"/>
      <c r="J225" s="11"/>
      <c r="K225" s="13"/>
      <c r="L225" s="20"/>
      <c r="M225" s="20"/>
      <c r="N225" s="20"/>
      <c r="O225" s="20"/>
      <c r="P225" s="20"/>
      <c r="Q225" s="21"/>
      <c r="R225" s="13"/>
      <c r="S225" s="20"/>
      <c r="T225" s="92"/>
    </row>
    <row r="226" spans="2:20" hidden="1" x14ac:dyDescent="0.25">
      <c r="B226" s="70"/>
      <c r="C226" s="29"/>
      <c r="D226" s="29"/>
      <c r="E226" s="29"/>
      <c r="F226" s="11"/>
      <c r="G226" s="29"/>
      <c r="H226" s="30"/>
      <c r="I226" s="13"/>
      <c r="J226" s="11"/>
      <c r="K226" s="13"/>
      <c r="L226" s="107"/>
      <c r="M226" s="20"/>
      <c r="N226" s="20"/>
      <c r="O226" s="107"/>
      <c r="P226" s="107"/>
      <c r="Q226" s="32"/>
      <c r="R226" s="31"/>
      <c r="S226" s="107"/>
      <c r="T226" s="100"/>
    </row>
  </sheetData>
  <conditionalFormatting sqref="C1:C75 C77:C1048576">
    <cfRule type="duplicateValues" priority="2"/>
  </conditionalFormatting>
  <conditionalFormatting sqref="C76">
    <cfRule type="duplicateValues" priority="1"/>
  </conditionalFormatting>
  <dataValidations count="7">
    <dataValidation type="list" allowBlank="1" showInputMessage="1" showErrorMessage="1" sqref="F2:F226" xr:uid="{00000000-0002-0000-0500-000000000000}">
      <formula1>Status</formula1>
    </dataValidation>
    <dataValidation type="list" allowBlank="1" showInputMessage="1" showErrorMessage="1" sqref="L2:L226" xr:uid="{00000000-0002-0000-0500-000001000000}">
      <formula1>Department_List</formula1>
    </dataValidation>
    <dataValidation type="list" allowBlank="1" showInputMessage="1" showErrorMessage="1" sqref="N2:N226" xr:uid="{00000000-0002-0000-0500-000002000000}">
      <formula1>Urgency_List</formula1>
    </dataValidation>
    <dataValidation type="list" allowBlank="1" showInputMessage="1" showErrorMessage="1" sqref="P2:P226" xr:uid="{00000000-0002-0000-0500-000003000000}">
      <formula1>Funding</formula1>
    </dataValidation>
    <dataValidation type="list" allowBlank="1" showInputMessage="1" showErrorMessage="1" sqref="Q2:Q226" xr:uid="{00000000-0002-0000-0500-000004000000}">
      <formula1>ele_pri</formula1>
    </dataValidation>
    <dataValidation type="list" allowBlank="1" showInputMessage="1" showErrorMessage="1" sqref="J4:J6" xr:uid="{00000000-0002-0000-0500-000005000000}">
      <formula1>Importance_List</formula1>
    </dataValidation>
    <dataValidation type="list" allowBlank="1" showInputMessage="1" showErrorMessage="1" sqref="H227:I238" xr:uid="{00000000-0002-0000-0500-000006000000}">
      <formula1>"implist"</formula1>
    </dataValidation>
  </dataValidations>
  <pageMargins left="0.7" right="0.7" top="0.75" bottom="0.75" header="0.3" footer="0.3"/>
  <pageSetup paperSize="3" scale="5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Database!$D$3:$D$12</xm:f>
          </x14:formula1>
          <xm:sqref>J7:J226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31"/>
  <sheetViews>
    <sheetView topLeftCell="A7" workbookViewId="0">
      <selection activeCell="J24" sqref="J24"/>
    </sheetView>
  </sheetViews>
  <sheetFormatPr defaultColWidth="14.7109375" defaultRowHeight="15" x14ac:dyDescent="0.25"/>
  <cols>
    <col min="1" max="1" width="6.140625" style="51" customWidth="1"/>
    <col min="2" max="2" width="14.7109375" style="49" customWidth="1"/>
    <col min="3" max="3" width="30.42578125" style="9" customWidth="1"/>
    <col min="4" max="4" width="24.7109375" style="9" customWidth="1"/>
    <col min="5" max="6" width="24.7109375" style="45" customWidth="1"/>
    <col min="7" max="7" width="16.140625" customWidth="1"/>
    <col min="8" max="8" width="24.7109375" style="58" customWidth="1"/>
  </cols>
  <sheetData>
    <row r="1" spans="1:9" ht="30" customHeight="1" x14ac:dyDescent="0.25">
      <c r="A1" s="379" t="s">
        <v>79</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54" t="s">
        <v>49</v>
      </c>
      <c r="C3" s="54" t="s">
        <v>50</v>
      </c>
      <c r="D3" s="53" t="s">
        <v>51</v>
      </c>
      <c r="E3" s="53" t="s">
        <v>52</v>
      </c>
      <c r="F3" s="53" t="s">
        <v>595</v>
      </c>
      <c r="G3" s="55" t="s">
        <v>54</v>
      </c>
      <c r="H3" s="56" t="s">
        <v>596</v>
      </c>
      <c r="I3" s="134" t="s">
        <v>23</v>
      </c>
    </row>
    <row r="4" spans="1:9" ht="45" x14ac:dyDescent="0.25">
      <c r="A4" s="60">
        <v>1</v>
      </c>
      <c r="B4" s="11" t="s">
        <v>684</v>
      </c>
      <c r="C4" s="11" t="s">
        <v>80</v>
      </c>
      <c r="D4" s="11" t="s">
        <v>81</v>
      </c>
      <c r="E4" s="11" t="s">
        <v>82</v>
      </c>
      <c r="F4" s="11" t="s">
        <v>29</v>
      </c>
      <c r="G4" s="12">
        <v>120000</v>
      </c>
      <c r="H4" s="13">
        <v>2018</v>
      </c>
      <c r="I4" s="20" t="s">
        <v>30</v>
      </c>
    </row>
    <row r="5" spans="1:9" ht="30" x14ac:dyDescent="0.25">
      <c r="A5" s="8">
        <v>2</v>
      </c>
      <c r="B5" s="11" t="s">
        <v>79</v>
      </c>
      <c r="C5" s="11" t="s">
        <v>113</v>
      </c>
      <c r="D5" s="11" t="s">
        <v>114</v>
      </c>
      <c r="E5" s="11" t="s">
        <v>115</v>
      </c>
      <c r="F5" s="11" t="s">
        <v>29</v>
      </c>
      <c r="G5" s="12">
        <v>25000</v>
      </c>
      <c r="H5" s="13">
        <v>2018</v>
      </c>
      <c r="I5" s="20" t="s">
        <v>30</v>
      </c>
    </row>
    <row r="6" spans="1:9" ht="30" x14ac:dyDescent="0.25">
      <c r="A6" s="60">
        <v>3</v>
      </c>
      <c r="B6" s="11" t="s">
        <v>79</v>
      </c>
      <c r="C6" s="11" t="s">
        <v>199</v>
      </c>
      <c r="D6" s="11" t="s">
        <v>200</v>
      </c>
      <c r="E6" s="11" t="s">
        <v>201</v>
      </c>
      <c r="F6" s="11" t="s">
        <v>29</v>
      </c>
      <c r="G6" s="12">
        <v>30000</v>
      </c>
      <c r="H6" s="13">
        <v>2018</v>
      </c>
      <c r="I6" s="20" t="s">
        <v>30</v>
      </c>
    </row>
    <row r="7" spans="1:9" ht="30" x14ac:dyDescent="0.25">
      <c r="A7" s="8">
        <v>4</v>
      </c>
      <c r="B7" s="11" t="s">
        <v>79</v>
      </c>
      <c r="C7" s="11" t="s">
        <v>202</v>
      </c>
      <c r="D7" s="11" t="s">
        <v>203</v>
      </c>
      <c r="E7" s="11" t="s">
        <v>204</v>
      </c>
      <c r="F7" s="11" t="s">
        <v>29</v>
      </c>
      <c r="G7" s="12">
        <v>15000</v>
      </c>
      <c r="H7" s="13">
        <v>2018</v>
      </c>
      <c r="I7" s="20" t="s">
        <v>30</v>
      </c>
    </row>
    <row r="8" spans="1:9" ht="45" x14ac:dyDescent="0.25">
      <c r="A8" s="60">
        <v>5</v>
      </c>
      <c r="B8" s="11" t="s">
        <v>79</v>
      </c>
      <c r="C8" s="11" t="s">
        <v>245</v>
      </c>
      <c r="D8" s="11" t="s">
        <v>246</v>
      </c>
      <c r="E8" s="11" t="s">
        <v>247</v>
      </c>
      <c r="F8" s="11" t="s">
        <v>29</v>
      </c>
      <c r="G8" s="12">
        <v>20000</v>
      </c>
      <c r="H8" s="13">
        <v>2018</v>
      </c>
      <c r="I8" s="20" t="s">
        <v>30</v>
      </c>
    </row>
    <row r="9" spans="1:9" ht="30" x14ac:dyDescent="0.25">
      <c r="A9" s="8">
        <v>6</v>
      </c>
      <c r="B9" s="11" t="s">
        <v>79</v>
      </c>
      <c r="C9" s="11" t="s">
        <v>248</v>
      </c>
      <c r="D9" s="11" t="s">
        <v>249</v>
      </c>
      <c r="E9" s="11" t="s">
        <v>250</v>
      </c>
      <c r="F9" s="11" t="s">
        <v>29</v>
      </c>
      <c r="G9" s="12">
        <v>250000</v>
      </c>
      <c r="H9" s="13">
        <v>2018</v>
      </c>
      <c r="I9" s="20" t="s">
        <v>30</v>
      </c>
    </row>
    <row r="10" spans="1:9" ht="75" x14ac:dyDescent="0.25">
      <c r="A10" s="8">
        <v>7</v>
      </c>
      <c r="B10" s="11" t="s">
        <v>79</v>
      </c>
      <c r="C10" s="11" t="s">
        <v>251</v>
      </c>
      <c r="D10" s="11" t="s">
        <v>252</v>
      </c>
      <c r="E10" s="11" t="s">
        <v>253</v>
      </c>
      <c r="F10" s="11" t="s">
        <v>29</v>
      </c>
      <c r="G10" s="12">
        <v>250000</v>
      </c>
      <c r="H10" s="13">
        <v>2018</v>
      </c>
      <c r="I10" s="20" t="s">
        <v>30</v>
      </c>
    </row>
    <row r="11" spans="1:9" ht="30" x14ac:dyDescent="0.25">
      <c r="A11" s="8">
        <v>8</v>
      </c>
      <c r="B11" s="11" t="s">
        <v>79</v>
      </c>
      <c r="C11" s="11" t="s">
        <v>254</v>
      </c>
      <c r="D11" s="11" t="s">
        <v>255</v>
      </c>
      <c r="E11" s="11" t="s">
        <v>256</v>
      </c>
      <c r="F11" s="11" t="s">
        <v>29</v>
      </c>
      <c r="G11" s="12">
        <v>50000</v>
      </c>
      <c r="H11" s="13">
        <v>2018</v>
      </c>
      <c r="I11" s="20" t="s">
        <v>30</v>
      </c>
    </row>
    <row r="12" spans="1:9" ht="45" x14ac:dyDescent="0.25">
      <c r="A12" s="8">
        <v>9</v>
      </c>
      <c r="B12" s="11" t="s">
        <v>79</v>
      </c>
      <c r="C12" s="11" t="s">
        <v>310</v>
      </c>
      <c r="D12" s="11" t="s">
        <v>311</v>
      </c>
      <c r="E12" s="11" t="s">
        <v>312</v>
      </c>
      <c r="F12" s="11" t="s">
        <v>29</v>
      </c>
      <c r="G12" s="12">
        <v>250000</v>
      </c>
      <c r="H12" s="13">
        <v>2018</v>
      </c>
      <c r="I12" s="20" t="s">
        <v>34</v>
      </c>
    </row>
    <row r="13" spans="1:9" ht="45" x14ac:dyDescent="0.25">
      <c r="A13" s="8">
        <v>10</v>
      </c>
      <c r="B13" s="11" t="s">
        <v>79</v>
      </c>
      <c r="C13" s="11" t="s">
        <v>325</v>
      </c>
      <c r="D13" s="11" t="s">
        <v>326</v>
      </c>
      <c r="E13" s="11" t="s">
        <v>663</v>
      </c>
      <c r="F13" s="11" t="s">
        <v>29</v>
      </c>
      <c r="G13" s="12">
        <v>500000</v>
      </c>
      <c r="H13" s="13">
        <v>2018</v>
      </c>
      <c r="I13" s="20" t="s">
        <v>30</v>
      </c>
    </row>
    <row r="14" spans="1:9" ht="30" x14ac:dyDescent="0.25">
      <c r="A14" s="8">
        <v>11</v>
      </c>
      <c r="B14" s="11" t="s">
        <v>79</v>
      </c>
      <c r="C14" s="11" t="s">
        <v>470</v>
      </c>
      <c r="D14" s="11" t="s">
        <v>471</v>
      </c>
      <c r="E14" s="11" t="s">
        <v>472</v>
      </c>
      <c r="F14" s="11" t="s">
        <v>29</v>
      </c>
      <c r="G14" s="12">
        <v>50000</v>
      </c>
      <c r="H14" s="13">
        <v>2018</v>
      </c>
      <c r="I14" s="20" t="s">
        <v>30</v>
      </c>
    </row>
    <row r="15" spans="1:9" ht="30" x14ac:dyDescent="0.25">
      <c r="A15" s="8">
        <v>12</v>
      </c>
      <c r="B15" s="11" t="s">
        <v>79</v>
      </c>
      <c r="C15" s="11" t="s">
        <v>510</v>
      </c>
      <c r="D15" s="11" t="s">
        <v>511</v>
      </c>
      <c r="E15" s="11" t="s">
        <v>512</v>
      </c>
      <c r="F15" s="11" t="s">
        <v>29</v>
      </c>
      <c r="G15" s="12">
        <v>15000</v>
      </c>
      <c r="H15" s="13">
        <v>2018</v>
      </c>
      <c r="I15" s="20" t="s">
        <v>30</v>
      </c>
    </row>
    <row r="16" spans="1:9" ht="45" x14ac:dyDescent="0.25">
      <c r="A16" s="8">
        <v>13</v>
      </c>
      <c r="B16" s="11" t="s">
        <v>79</v>
      </c>
      <c r="C16" s="11" t="s">
        <v>513</v>
      </c>
      <c r="D16" s="11" t="s">
        <v>514</v>
      </c>
      <c r="E16" s="11" t="s">
        <v>515</v>
      </c>
      <c r="F16" s="11" t="s">
        <v>29</v>
      </c>
      <c r="G16" s="12">
        <v>50000</v>
      </c>
      <c r="H16" s="13">
        <v>2018</v>
      </c>
      <c r="I16" s="20" t="s">
        <v>34</v>
      </c>
    </row>
    <row r="17" spans="1:9" ht="45" x14ac:dyDescent="0.25">
      <c r="A17" s="8">
        <v>14</v>
      </c>
      <c r="B17" s="11" t="s">
        <v>79</v>
      </c>
      <c r="C17" s="11" t="s">
        <v>525</v>
      </c>
      <c r="D17" s="11" t="s">
        <v>526</v>
      </c>
      <c r="E17" s="11" t="s">
        <v>527</v>
      </c>
      <c r="F17" s="11" t="s">
        <v>29</v>
      </c>
      <c r="G17" s="12">
        <v>35000</v>
      </c>
      <c r="H17" s="13">
        <v>2018</v>
      </c>
      <c r="I17" s="20" t="s">
        <v>34</v>
      </c>
    </row>
    <row r="18" spans="1:9" x14ac:dyDescent="0.25">
      <c r="A18" s="8">
        <v>17</v>
      </c>
      <c r="B18" s="1"/>
      <c r="C18" s="44"/>
      <c r="D18" s="38"/>
      <c r="E18" s="38"/>
      <c r="F18" s="38"/>
      <c r="G18" s="3"/>
      <c r="H18" s="40"/>
    </row>
    <row r="19" spans="1:9" x14ac:dyDescent="0.25">
      <c r="A19" s="8">
        <v>18</v>
      </c>
      <c r="B19" s="1"/>
      <c r="C19" s="44"/>
      <c r="D19" s="38"/>
      <c r="E19" s="38"/>
      <c r="F19" s="38"/>
      <c r="G19" s="3"/>
      <c r="H19" s="40"/>
    </row>
    <row r="20" spans="1:9" x14ac:dyDescent="0.25">
      <c r="A20" s="8">
        <v>19</v>
      </c>
      <c r="B20" s="1"/>
      <c r="C20" s="44"/>
      <c r="D20" s="38"/>
      <c r="E20" s="38"/>
      <c r="F20" s="38"/>
      <c r="G20" s="3"/>
      <c r="H20" s="40"/>
    </row>
    <row r="21" spans="1:9" x14ac:dyDescent="0.25">
      <c r="A21" s="8">
        <v>20</v>
      </c>
      <c r="B21" s="1"/>
      <c r="C21" s="44"/>
      <c r="D21" s="38"/>
      <c r="E21" s="38"/>
      <c r="F21" s="38"/>
      <c r="G21" s="3"/>
      <c r="H21" s="40"/>
    </row>
    <row r="22" spans="1:9" x14ac:dyDescent="0.25">
      <c r="A22" s="8">
        <v>21</v>
      </c>
      <c r="B22" s="1"/>
      <c r="C22" s="44"/>
      <c r="D22" s="38"/>
      <c r="E22" s="38"/>
      <c r="F22" s="38"/>
      <c r="G22" s="3"/>
      <c r="H22" s="40"/>
    </row>
    <row r="23" spans="1:9" x14ac:dyDescent="0.25">
      <c r="A23" s="8">
        <v>22</v>
      </c>
      <c r="B23" s="1"/>
      <c r="C23" s="44"/>
      <c r="D23" s="38"/>
      <c r="E23" s="38"/>
      <c r="F23" s="38"/>
      <c r="G23" s="3"/>
      <c r="H23" s="40"/>
    </row>
    <row r="24" spans="1:9" x14ac:dyDescent="0.25">
      <c r="A24" s="8">
        <v>23</v>
      </c>
      <c r="B24" s="1"/>
      <c r="C24" s="44"/>
      <c r="D24" s="38"/>
      <c r="E24" s="38"/>
      <c r="F24" s="38"/>
      <c r="G24" s="3"/>
      <c r="H24" s="40"/>
    </row>
    <row r="25" spans="1:9" x14ac:dyDescent="0.25">
      <c r="A25" s="8">
        <v>24</v>
      </c>
      <c r="B25" s="1"/>
      <c r="C25" s="44"/>
      <c r="D25" s="38"/>
      <c r="E25" s="38"/>
      <c r="F25" s="38"/>
      <c r="G25" s="3"/>
      <c r="H25" s="40"/>
    </row>
    <row r="26" spans="1:9" x14ac:dyDescent="0.25">
      <c r="A26" s="8">
        <v>25</v>
      </c>
      <c r="B26" s="1"/>
      <c r="C26" s="44"/>
      <c r="D26" s="38"/>
      <c r="E26" s="38"/>
      <c r="F26" s="38"/>
      <c r="G26" s="3"/>
      <c r="H26" s="40"/>
    </row>
    <row r="27" spans="1:9" x14ac:dyDescent="0.25">
      <c r="A27" s="8">
        <v>26</v>
      </c>
      <c r="B27" s="1"/>
      <c r="C27" s="44"/>
      <c r="D27" s="38"/>
      <c r="E27" s="38"/>
      <c r="F27" s="38"/>
      <c r="G27" s="3"/>
      <c r="H27" s="40"/>
    </row>
    <row r="28" spans="1:9" x14ac:dyDescent="0.25">
      <c r="A28" s="8">
        <v>27</v>
      </c>
      <c r="B28" s="1"/>
      <c r="C28" s="44"/>
      <c r="D28" s="38"/>
      <c r="E28" s="38"/>
      <c r="F28" s="38"/>
      <c r="G28" s="3"/>
      <c r="H28" s="40"/>
    </row>
    <row r="29" spans="1:9" x14ac:dyDescent="0.25">
      <c r="A29" s="8">
        <v>28</v>
      </c>
      <c r="B29" s="1"/>
      <c r="C29" s="44"/>
      <c r="D29" s="38"/>
      <c r="E29" s="38"/>
      <c r="F29" s="38"/>
      <c r="G29" s="3"/>
      <c r="H29" s="40"/>
    </row>
    <row r="30" spans="1:9" x14ac:dyDescent="0.25">
      <c r="A30" s="8">
        <v>29</v>
      </c>
      <c r="B30" s="1"/>
      <c r="C30" s="44"/>
      <c r="D30" s="38"/>
      <c r="E30" s="38"/>
      <c r="F30" s="38"/>
      <c r="G30" s="3"/>
      <c r="H30" s="40"/>
    </row>
    <row r="31" spans="1:9" x14ac:dyDescent="0.25">
      <c r="A31" s="8">
        <v>30</v>
      </c>
      <c r="B31" s="1"/>
      <c r="C31" s="44"/>
      <c r="D31" s="38"/>
      <c r="E31" s="38"/>
      <c r="F31" s="38"/>
      <c r="G31" s="3"/>
      <c r="H31" s="40"/>
    </row>
  </sheetData>
  <mergeCells count="1">
    <mergeCell ref="A1:H2"/>
  </mergeCells>
  <conditionalFormatting sqref="C4:C17">
    <cfRule type="duplicateValues" priority="1"/>
  </conditionalFormatting>
  <dataValidations count="3">
    <dataValidation type="list" allowBlank="1" showInputMessage="1" showErrorMessage="1" sqref="G32:H104" xr:uid="{00000000-0002-0000-0600-000000000000}">
      <formula1>"implist"</formula1>
    </dataValidation>
    <dataValidation type="list" allowBlank="1" showInputMessage="1" showErrorMessage="1" sqref="F4:F17" xr:uid="{00000000-0002-0000-0600-000001000000}">
      <formula1>Status</formula1>
    </dataValidation>
    <dataValidation type="list" allowBlank="1" showInputMessage="1" showErrorMessage="1" sqref="I4:I17" xr:uid="{00000000-0002-0000-0600-000002000000}">
      <formula1>Funding</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I34"/>
  <sheetViews>
    <sheetView topLeftCell="A11" workbookViewId="0">
      <selection activeCell="J24" sqref="J24"/>
    </sheetView>
  </sheetViews>
  <sheetFormatPr defaultColWidth="14.7109375" defaultRowHeight="15" x14ac:dyDescent="0.25"/>
  <cols>
    <col min="1" max="1" width="6.140625" style="51" customWidth="1"/>
    <col min="2" max="2" width="14.7109375" style="49" customWidth="1"/>
    <col min="3" max="3" width="34.5703125" style="66"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73</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ht="195" x14ac:dyDescent="0.25">
      <c r="A4" s="60">
        <v>1</v>
      </c>
      <c r="B4" s="15" t="s">
        <v>73</v>
      </c>
      <c r="C4" s="15" t="s">
        <v>640</v>
      </c>
      <c r="D4" s="15" t="s">
        <v>679</v>
      </c>
      <c r="E4" s="15" t="s">
        <v>83</v>
      </c>
      <c r="F4" s="15" t="s">
        <v>598</v>
      </c>
      <c r="G4" s="16">
        <v>650000</v>
      </c>
      <c r="H4" s="17">
        <v>2018</v>
      </c>
      <c r="I4" s="18" t="s">
        <v>30</v>
      </c>
    </row>
    <row r="5" spans="1:9" ht="135" x14ac:dyDescent="0.25">
      <c r="A5" s="8">
        <v>2</v>
      </c>
      <c r="B5" s="11" t="s">
        <v>73</v>
      </c>
      <c r="C5" s="11" t="s">
        <v>196</v>
      </c>
      <c r="D5" s="11" t="s">
        <v>197</v>
      </c>
      <c r="E5" s="11" t="s">
        <v>198</v>
      </c>
      <c r="F5" s="11" t="s">
        <v>29</v>
      </c>
      <c r="G5" s="12">
        <v>25000</v>
      </c>
      <c r="H5" s="13">
        <v>2018</v>
      </c>
      <c r="I5" s="20" t="s">
        <v>34</v>
      </c>
    </row>
    <row r="6" spans="1:9" ht="105" x14ac:dyDescent="0.25">
      <c r="A6" s="60">
        <v>3</v>
      </c>
      <c r="B6" s="11" t="s">
        <v>73</v>
      </c>
      <c r="C6" s="68" t="s">
        <v>438</v>
      </c>
      <c r="D6" s="11" t="s">
        <v>439</v>
      </c>
      <c r="E6" s="11" t="s">
        <v>440</v>
      </c>
      <c r="F6" s="11" t="s">
        <v>29</v>
      </c>
      <c r="G6" s="12">
        <v>15000</v>
      </c>
      <c r="H6" s="13">
        <v>2018</v>
      </c>
      <c r="I6" s="20" t="s">
        <v>30</v>
      </c>
    </row>
    <row r="7" spans="1:9" ht="60" x14ac:dyDescent="0.25">
      <c r="A7" s="8">
        <v>4</v>
      </c>
      <c r="B7" s="11" t="s">
        <v>73</v>
      </c>
      <c r="C7" s="11" t="s">
        <v>177</v>
      </c>
      <c r="D7" s="11" t="s">
        <v>178</v>
      </c>
      <c r="E7" s="11" t="s">
        <v>179</v>
      </c>
      <c r="F7" s="11" t="s">
        <v>29</v>
      </c>
      <c r="G7" s="12">
        <v>15000</v>
      </c>
      <c r="H7" s="13">
        <v>2018</v>
      </c>
      <c r="I7" s="20" t="s">
        <v>30</v>
      </c>
    </row>
    <row r="8" spans="1:9" ht="135" x14ac:dyDescent="0.25">
      <c r="A8" s="60">
        <v>5</v>
      </c>
      <c r="B8" s="11" t="s">
        <v>73</v>
      </c>
      <c r="C8" s="11" t="s">
        <v>107</v>
      </c>
      <c r="D8" s="11" t="s">
        <v>108</v>
      </c>
      <c r="E8" s="11" t="s">
        <v>109</v>
      </c>
      <c r="F8" s="11" t="s">
        <v>29</v>
      </c>
      <c r="G8" s="12">
        <v>25000</v>
      </c>
      <c r="H8" s="13">
        <v>2018</v>
      </c>
      <c r="I8" s="20" t="s">
        <v>30</v>
      </c>
    </row>
    <row r="9" spans="1:9" ht="105" x14ac:dyDescent="0.25">
      <c r="A9" s="8">
        <v>6</v>
      </c>
      <c r="B9" s="11" t="s">
        <v>73</v>
      </c>
      <c r="C9" s="11" t="s">
        <v>257</v>
      </c>
      <c r="D9" s="11" t="s">
        <v>258</v>
      </c>
      <c r="E9" s="11" t="s">
        <v>259</v>
      </c>
      <c r="F9" s="11" t="s">
        <v>29</v>
      </c>
      <c r="G9" s="12">
        <v>35000</v>
      </c>
      <c r="H9" s="13">
        <v>2018</v>
      </c>
      <c r="I9" s="20" t="s">
        <v>30</v>
      </c>
    </row>
    <row r="10" spans="1:9" ht="285" x14ac:dyDescent="0.25">
      <c r="A10" s="8">
        <v>7</v>
      </c>
      <c r="B10" s="11" t="s">
        <v>73</v>
      </c>
      <c r="C10" s="11" t="s">
        <v>354</v>
      </c>
      <c r="D10" s="11" t="s">
        <v>355</v>
      </c>
      <c r="E10" s="11" t="s">
        <v>356</v>
      </c>
      <c r="F10" s="11" t="s">
        <v>29</v>
      </c>
      <c r="G10" s="12">
        <v>250000</v>
      </c>
      <c r="H10" s="13">
        <v>2018</v>
      </c>
      <c r="I10" s="20" t="s">
        <v>30</v>
      </c>
    </row>
    <row r="11" spans="1:9" ht="300" x14ac:dyDescent="0.25">
      <c r="A11" s="8">
        <v>8</v>
      </c>
      <c r="B11" s="11" t="s">
        <v>73</v>
      </c>
      <c r="C11" s="11" t="s">
        <v>547</v>
      </c>
      <c r="D11" s="11" t="s">
        <v>548</v>
      </c>
      <c r="E11" s="11" t="s">
        <v>549</v>
      </c>
      <c r="F11" s="11" t="s">
        <v>29</v>
      </c>
      <c r="G11" s="12">
        <v>65000</v>
      </c>
      <c r="H11" s="13">
        <v>2018</v>
      </c>
      <c r="I11" s="20" t="s">
        <v>34</v>
      </c>
    </row>
    <row r="12" spans="1:9" x14ac:dyDescent="0.25">
      <c r="A12" s="8">
        <v>11</v>
      </c>
      <c r="B12" s="11"/>
      <c r="C12" s="11"/>
      <c r="D12" s="11"/>
      <c r="E12" s="11"/>
      <c r="F12" s="11"/>
      <c r="G12" s="12"/>
      <c r="H12" s="13"/>
    </row>
    <row r="13" spans="1:9" x14ac:dyDescent="0.25">
      <c r="A13" s="8">
        <v>12</v>
      </c>
      <c r="B13" s="11"/>
      <c r="C13" s="11"/>
      <c r="D13" s="11"/>
      <c r="E13" s="11"/>
      <c r="F13" s="11"/>
      <c r="G13" s="12"/>
      <c r="H13" s="13"/>
    </row>
    <row r="14" spans="1:9" x14ac:dyDescent="0.25">
      <c r="A14" s="8">
        <v>13</v>
      </c>
      <c r="B14" s="11"/>
      <c r="C14" s="11"/>
      <c r="D14" s="11"/>
      <c r="E14" s="11"/>
      <c r="F14" s="11"/>
      <c r="G14" s="12"/>
      <c r="H14" s="13"/>
    </row>
    <row r="15" spans="1:9" x14ac:dyDescent="0.25">
      <c r="A15" s="8">
        <v>14</v>
      </c>
      <c r="B15" s="11"/>
      <c r="C15" s="11"/>
      <c r="D15" s="11"/>
      <c r="E15" s="11"/>
      <c r="F15" s="11"/>
      <c r="G15" s="12"/>
      <c r="H15" s="13"/>
    </row>
    <row r="16" spans="1:9" x14ac:dyDescent="0.25">
      <c r="A16" s="8">
        <v>15</v>
      </c>
      <c r="B16" s="11"/>
      <c r="C16" s="27"/>
      <c r="D16" s="27"/>
      <c r="E16" s="27"/>
      <c r="F16" s="27"/>
      <c r="G16" s="12"/>
      <c r="H16" s="13"/>
    </row>
    <row r="17" spans="1:8" x14ac:dyDescent="0.25">
      <c r="A17" s="8">
        <v>16</v>
      </c>
      <c r="B17" s="11"/>
      <c r="C17" s="11"/>
      <c r="D17" s="11"/>
      <c r="E17" s="11"/>
      <c r="F17" s="11"/>
      <c r="G17" s="12"/>
      <c r="H17" s="13"/>
    </row>
    <row r="18" spans="1:8" x14ac:dyDescent="0.25">
      <c r="A18" s="8">
        <v>17</v>
      </c>
      <c r="B18" s="11"/>
      <c r="C18" s="11"/>
      <c r="D18" s="11"/>
      <c r="E18" s="11"/>
      <c r="F18" s="11"/>
      <c r="G18" s="12"/>
      <c r="H18" s="13"/>
    </row>
    <row r="19" spans="1:8" x14ac:dyDescent="0.25">
      <c r="A19" s="8">
        <v>18</v>
      </c>
      <c r="B19" s="11"/>
      <c r="C19" s="11"/>
      <c r="D19" s="11"/>
      <c r="E19" s="11"/>
      <c r="F19" s="11"/>
      <c r="G19" s="12"/>
      <c r="H19" s="13"/>
    </row>
    <row r="20" spans="1:8" x14ac:dyDescent="0.25">
      <c r="A20" s="8">
        <v>19</v>
      </c>
      <c r="B20" s="11"/>
      <c r="C20" s="11"/>
      <c r="D20" s="11"/>
      <c r="E20" s="11"/>
      <c r="F20" s="11"/>
      <c r="G20" s="12"/>
      <c r="H20" s="13"/>
    </row>
    <row r="21" spans="1:8" x14ac:dyDescent="0.25">
      <c r="A21" s="8">
        <v>20</v>
      </c>
      <c r="B21" s="11"/>
      <c r="C21" s="11"/>
      <c r="D21" s="11"/>
      <c r="E21" s="11"/>
      <c r="F21" s="11"/>
      <c r="G21" s="12"/>
      <c r="H21" s="13"/>
    </row>
    <row r="22" spans="1:8" x14ac:dyDescent="0.25">
      <c r="A22" s="8">
        <v>21</v>
      </c>
      <c r="B22" s="11"/>
      <c r="C22" s="11"/>
      <c r="D22" s="11"/>
      <c r="E22" s="11"/>
      <c r="F22" s="11"/>
      <c r="G22" s="12"/>
      <c r="H22" s="13"/>
    </row>
    <row r="23" spans="1:8" x14ac:dyDescent="0.25">
      <c r="A23" s="8">
        <v>22</v>
      </c>
      <c r="B23" s="11"/>
      <c r="C23" s="11"/>
      <c r="D23" s="11"/>
      <c r="E23" s="11"/>
      <c r="F23" s="11"/>
      <c r="G23" s="12"/>
      <c r="H23" s="13"/>
    </row>
    <row r="24" spans="1:8" x14ac:dyDescent="0.25">
      <c r="A24" s="8">
        <v>23</v>
      </c>
      <c r="B24" s="11"/>
      <c r="C24" s="11"/>
      <c r="D24" s="11"/>
      <c r="E24" s="11"/>
      <c r="F24" s="11"/>
      <c r="G24" s="12"/>
      <c r="H24" s="13"/>
    </row>
    <row r="25" spans="1:8" x14ac:dyDescent="0.25">
      <c r="A25" s="8">
        <v>24</v>
      </c>
      <c r="B25" s="11"/>
      <c r="C25" s="11"/>
      <c r="D25" s="11"/>
      <c r="E25" s="11"/>
      <c r="F25" s="11"/>
      <c r="G25" s="12"/>
      <c r="H25" s="13"/>
    </row>
    <row r="26" spans="1:8" x14ac:dyDescent="0.25">
      <c r="A26" s="8">
        <v>25</v>
      </c>
      <c r="B26" s="11"/>
      <c r="C26" s="11"/>
      <c r="D26" s="11"/>
      <c r="E26" s="11"/>
      <c r="F26" s="11"/>
      <c r="G26" s="12"/>
      <c r="H26" s="13"/>
    </row>
    <row r="27" spans="1:8" x14ac:dyDescent="0.25">
      <c r="A27" s="8">
        <v>26</v>
      </c>
      <c r="B27" s="11"/>
      <c r="C27" s="11"/>
      <c r="D27" s="11"/>
      <c r="E27" s="11"/>
      <c r="F27" s="11"/>
      <c r="G27" s="12"/>
      <c r="H27" s="13"/>
    </row>
    <row r="28" spans="1:8" x14ac:dyDescent="0.25">
      <c r="A28" s="8">
        <v>27</v>
      </c>
      <c r="B28" s="11"/>
      <c r="C28" s="11"/>
      <c r="D28" s="11"/>
      <c r="E28" s="11"/>
      <c r="F28" s="11"/>
      <c r="G28" s="12"/>
      <c r="H28" s="13"/>
    </row>
    <row r="29" spans="1:8" x14ac:dyDescent="0.25">
      <c r="A29" s="8">
        <v>28</v>
      </c>
      <c r="B29" s="11"/>
      <c r="C29" s="11"/>
      <c r="D29" s="11"/>
      <c r="E29" s="11"/>
      <c r="F29" s="11"/>
      <c r="G29" s="12"/>
      <c r="H29" s="13"/>
    </row>
    <row r="30" spans="1:8" x14ac:dyDescent="0.25">
      <c r="A30" s="8">
        <v>29</v>
      </c>
      <c r="B30" s="11"/>
      <c r="C30" s="11"/>
      <c r="D30" s="11"/>
      <c r="E30" s="11"/>
      <c r="F30" s="11"/>
      <c r="G30" s="12"/>
      <c r="H30" s="13"/>
    </row>
    <row r="31" spans="1:8" x14ac:dyDescent="0.25">
      <c r="A31" s="8">
        <v>30</v>
      </c>
      <c r="B31" s="11"/>
      <c r="C31" s="11"/>
      <c r="D31" s="11"/>
      <c r="E31" s="11"/>
      <c r="F31" s="11"/>
      <c r="G31" s="12"/>
      <c r="H31" s="13"/>
    </row>
    <row r="32" spans="1:8" x14ac:dyDescent="0.25">
      <c r="A32" s="8">
        <v>31</v>
      </c>
      <c r="B32" s="11"/>
      <c r="C32" s="11"/>
      <c r="D32" s="11"/>
      <c r="E32" s="11"/>
      <c r="F32" s="11"/>
      <c r="G32" s="12"/>
      <c r="H32" s="13"/>
    </row>
    <row r="33" spans="1:8" x14ac:dyDescent="0.25">
      <c r="A33" s="8">
        <v>32</v>
      </c>
      <c r="B33" s="11"/>
      <c r="C33" s="38"/>
      <c r="D33" s="38"/>
      <c r="E33" s="38"/>
      <c r="F33" s="38"/>
      <c r="G33" s="39"/>
      <c r="H33" s="40"/>
    </row>
    <row r="34" spans="1:8" x14ac:dyDescent="0.25">
      <c r="A34" s="8">
        <v>33</v>
      </c>
      <c r="B34" s="11"/>
      <c r="C34" s="38"/>
      <c r="D34" s="38"/>
      <c r="E34" s="38"/>
      <c r="F34" s="38"/>
      <c r="G34" s="39"/>
      <c r="H34" s="40"/>
    </row>
  </sheetData>
  <mergeCells count="1">
    <mergeCell ref="A1:H2"/>
  </mergeCells>
  <conditionalFormatting sqref="C4:C11">
    <cfRule type="duplicateValues" priority="1"/>
  </conditionalFormatting>
  <dataValidations count="3">
    <dataValidation type="list" allowBlank="1" showInputMessage="1" showErrorMessage="1" sqref="G35:H107" xr:uid="{00000000-0002-0000-0700-000000000000}">
      <formula1>"implist"</formula1>
    </dataValidation>
    <dataValidation type="list" allowBlank="1" showInputMessage="1" showErrorMessage="1" sqref="F4:F11" xr:uid="{00000000-0002-0000-0700-000001000000}">
      <formula1>Status</formula1>
    </dataValidation>
    <dataValidation type="list" allowBlank="1" showInputMessage="1" showErrorMessage="1" sqref="I4:I11" xr:uid="{00000000-0002-0000-0700-000002000000}">
      <formula1>Funding</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32"/>
  <sheetViews>
    <sheetView workbookViewId="0">
      <selection activeCell="J24" sqref="J24"/>
    </sheetView>
  </sheetViews>
  <sheetFormatPr defaultColWidth="14.7109375" defaultRowHeight="15" x14ac:dyDescent="0.25"/>
  <cols>
    <col min="1" max="1" width="6.140625" style="51" customWidth="1"/>
    <col min="2" max="2" width="14.7109375" style="49" customWidth="1"/>
    <col min="3" max="3" width="30.42578125" style="9" customWidth="1"/>
    <col min="4" max="4" width="24.7109375" style="9" customWidth="1"/>
    <col min="5" max="6" width="24.7109375" style="45" customWidth="1"/>
    <col min="7" max="7" width="16.140625" customWidth="1"/>
    <col min="8" max="8" width="24.7109375" style="58" customWidth="1"/>
  </cols>
  <sheetData>
    <row r="1" spans="1:9" ht="30" customHeight="1" x14ac:dyDescent="0.25">
      <c r="A1" s="379" t="s">
        <v>71</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54" t="s">
        <v>50</v>
      </c>
      <c r="D3" s="53" t="s">
        <v>51</v>
      </c>
      <c r="E3" s="53" t="s">
        <v>52</v>
      </c>
      <c r="F3" s="53" t="s">
        <v>595</v>
      </c>
      <c r="G3" s="55" t="s">
        <v>54</v>
      </c>
      <c r="H3" s="56" t="s">
        <v>596</v>
      </c>
      <c r="I3" s="134" t="s">
        <v>23</v>
      </c>
    </row>
    <row r="4" spans="1:9" ht="30" x14ac:dyDescent="0.25">
      <c r="A4" s="60">
        <v>1</v>
      </c>
      <c r="B4" s="15" t="s">
        <v>71</v>
      </c>
      <c r="C4" s="15" t="s">
        <v>12</v>
      </c>
      <c r="D4" s="15" t="s">
        <v>62</v>
      </c>
      <c r="E4" s="15"/>
      <c r="F4" s="15" t="s">
        <v>598</v>
      </c>
      <c r="G4" s="16">
        <v>2000000</v>
      </c>
      <c r="H4" s="17">
        <v>2018</v>
      </c>
      <c r="I4" s="18" t="s">
        <v>38</v>
      </c>
    </row>
    <row r="5" spans="1:9" ht="120" x14ac:dyDescent="0.25">
      <c r="A5" s="8">
        <v>2</v>
      </c>
      <c r="B5" s="11" t="s">
        <v>71</v>
      </c>
      <c r="C5" s="11" t="s">
        <v>455</v>
      </c>
      <c r="D5" s="11" t="s">
        <v>456</v>
      </c>
      <c r="E5" s="11" t="s">
        <v>457</v>
      </c>
      <c r="F5" s="11" t="s">
        <v>29</v>
      </c>
      <c r="G5" s="12">
        <v>8000000</v>
      </c>
      <c r="H5" s="13">
        <v>2018</v>
      </c>
      <c r="I5" s="20" t="s">
        <v>34</v>
      </c>
    </row>
    <row r="6" spans="1:9" ht="90" x14ac:dyDescent="0.25">
      <c r="A6" s="60">
        <v>3</v>
      </c>
      <c r="B6" s="11" t="s">
        <v>71</v>
      </c>
      <c r="C6" s="11" t="s">
        <v>495</v>
      </c>
      <c r="D6" s="11" t="s">
        <v>496</v>
      </c>
      <c r="E6" s="11" t="s">
        <v>497</v>
      </c>
      <c r="F6" s="11" t="s">
        <v>29</v>
      </c>
      <c r="G6" s="12">
        <v>2200000</v>
      </c>
      <c r="H6" s="13">
        <v>2018</v>
      </c>
      <c r="I6" s="20" t="s">
        <v>34</v>
      </c>
    </row>
    <row r="7" spans="1:9" ht="90" x14ac:dyDescent="0.25">
      <c r="A7" s="8">
        <v>4</v>
      </c>
      <c r="B7" s="11" t="s">
        <v>71</v>
      </c>
      <c r="C7" s="11" t="s">
        <v>516</v>
      </c>
      <c r="D7" s="11" t="s">
        <v>517</v>
      </c>
      <c r="E7" s="11" t="s">
        <v>518</v>
      </c>
      <c r="F7" s="11" t="s">
        <v>29</v>
      </c>
      <c r="G7" s="12">
        <v>1500000</v>
      </c>
      <c r="H7" s="13">
        <v>2018</v>
      </c>
      <c r="I7" s="20" t="s">
        <v>34</v>
      </c>
    </row>
    <row r="8" spans="1:9" ht="75" x14ac:dyDescent="0.25">
      <c r="A8" s="60">
        <v>5</v>
      </c>
      <c r="B8" s="11" t="s">
        <v>71</v>
      </c>
      <c r="C8" s="11" t="s">
        <v>562</v>
      </c>
      <c r="D8" s="11" t="s">
        <v>563</v>
      </c>
      <c r="E8" s="11" t="s">
        <v>564</v>
      </c>
      <c r="F8" s="11" t="s">
        <v>29</v>
      </c>
      <c r="G8" s="12">
        <v>850000</v>
      </c>
      <c r="H8" s="13">
        <v>2018</v>
      </c>
      <c r="I8" s="20" t="s">
        <v>34</v>
      </c>
    </row>
    <row r="9" spans="1:9" x14ac:dyDescent="0.25">
      <c r="A9" s="60">
        <v>6</v>
      </c>
      <c r="B9" s="1"/>
      <c r="C9" s="44"/>
      <c r="D9" s="38"/>
      <c r="E9" s="38"/>
      <c r="F9" s="38"/>
      <c r="G9" s="3"/>
      <c r="H9" s="57"/>
    </row>
    <row r="10" spans="1:9" x14ac:dyDescent="0.25">
      <c r="A10" s="60">
        <v>7</v>
      </c>
      <c r="B10" s="1"/>
      <c r="C10" s="44"/>
      <c r="D10" s="38"/>
      <c r="E10" s="38"/>
      <c r="F10" s="38"/>
      <c r="G10" s="3"/>
      <c r="H10" s="40"/>
    </row>
    <row r="11" spans="1:9" x14ac:dyDescent="0.25">
      <c r="A11" s="60">
        <v>8</v>
      </c>
      <c r="B11" s="1"/>
      <c r="C11" s="44"/>
      <c r="D11" s="38"/>
      <c r="E11" s="38"/>
      <c r="F11" s="38"/>
      <c r="G11" s="3"/>
      <c r="H11" s="40"/>
    </row>
    <row r="12" spans="1:9" x14ac:dyDescent="0.25">
      <c r="A12" s="60">
        <v>9</v>
      </c>
      <c r="B12" s="1"/>
      <c r="C12" s="44"/>
      <c r="D12" s="38"/>
      <c r="E12" s="38"/>
      <c r="F12" s="38"/>
      <c r="G12" s="3"/>
      <c r="H12" s="40"/>
    </row>
    <row r="13" spans="1:9" x14ac:dyDescent="0.25">
      <c r="A13" s="60">
        <v>10</v>
      </c>
      <c r="B13" s="1"/>
      <c r="C13" s="44"/>
      <c r="D13" s="38"/>
      <c r="E13" s="38"/>
      <c r="F13" s="38"/>
      <c r="G13" s="3"/>
      <c r="H13" s="40"/>
    </row>
    <row r="14" spans="1:9" x14ac:dyDescent="0.25">
      <c r="A14" s="60">
        <v>11</v>
      </c>
      <c r="B14" s="1"/>
      <c r="C14" s="44"/>
      <c r="D14" s="38"/>
      <c r="E14" s="38"/>
      <c r="F14" s="38"/>
      <c r="G14" s="3"/>
      <c r="H14" s="40"/>
    </row>
    <row r="15" spans="1:9" x14ac:dyDescent="0.25">
      <c r="A15" s="60">
        <v>12</v>
      </c>
      <c r="B15" s="1"/>
      <c r="C15" s="44"/>
      <c r="D15" s="38"/>
      <c r="E15" s="38"/>
      <c r="F15" s="38"/>
      <c r="G15" s="3"/>
      <c r="H15" s="40"/>
    </row>
    <row r="16" spans="1:9" x14ac:dyDescent="0.25">
      <c r="A16" s="60">
        <v>13</v>
      </c>
      <c r="B16" s="1"/>
      <c r="C16" s="44"/>
      <c r="D16" s="38"/>
      <c r="E16" s="38"/>
      <c r="F16" s="38"/>
      <c r="G16" s="3"/>
      <c r="H16" s="40"/>
    </row>
    <row r="17" spans="1:8" x14ac:dyDescent="0.25">
      <c r="A17" s="60">
        <v>14</v>
      </c>
      <c r="B17" s="1"/>
      <c r="C17" s="44"/>
      <c r="D17" s="38"/>
      <c r="E17" s="38"/>
      <c r="F17" s="38"/>
      <c r="G17" s="3"/>
      <c r="H17" s="40"/>
    </row>
    <row r="18" spans="1:8" x14ac:dyDescent="0.25">
      <c r="A18" s="60">
        <v>15</v>
      </c>
      <c r="B18" s="1"/>
      <c r="C18" s="44"/>
      <c r="D18" s="38"/>
      <c r="E18" s="38"/>
      <c r="F18" s="38"/>
      <c r="G18" s="3"/>
      <c r="H18" s="40"/>
    </row>
    <row r="19" spans="1:8" x14ac:dyDescent="0.25">
      <c r="A19" s="60">
        <v>16</v>
      </c>
      <c r="B19" s="1"/>
      <c r="C19" s="44"/>
      <c r="D19" s="38"/>
      <c r="E19" s="38"/>
      <c r="F19" s="38"/>
      <c r="G19" s="3"/>
      <c r="H19" s="40"/>
    </row>
    <row r="20" spans="1:8" x14ac:dyDescent="0.25">
      <c r="A20" s="60">
        <v>17</v>
      </c>
      <c r="B20" s="1"/>
      <c r="C20" s="44"/>
      <c r="D20" s="38"/>
      <c r="E20" s="38"/>
      <c r="F20" s="38"/>
      <c r="G20" s="3"/>
      <c r="H20" s="40"/>
    </row>
    <row r="21" spans="1:8" x14ac:dyDescent="0.25">
      <c r="A21" s="60">
        <v>18</v>
      </c>
      <c r="B21" s="1"/>
      <c r="C21" s="44"/>
      <c r="D21" s="38"/>
      <c r="E21" s="38"/>
      <c r="F21" s="38"/>
      <c r="G21" s="3"/>
      <c r="H21" s="40"/>
    </row>
    <row r="22" spans="1:8" x14ac:dyDescent="0.25">
      <c r="A22" s="60">
        <v>19</v>
      </c>
      <c r="B22" s="1"/>
      <c r="C22" s="44"/>
      <c r="D22" s="38"/>
      <c r="E22" s="38"/>
      <c r="F22" s="38"/>
      <c r="G22" s="3"/>
      <c r="H22" s="40"/>
    </row>
    <row r="23" spans="1:8" x14ac:dyDescent="0.25">
      <c r="A23" s="60">
        <v>20</v>
      </c>
      <c r="B23" s="1"/>
      <c r="C23" s="44"/>
      <c r="D23" s="38"/>
      <c r="E23" s="38"/>
      <c r="F23" s="38"/>
      <c r="G23" s="3"/>
      <c r="H23" s="40"/>
    </row>
    <row r="24" spans="1:8" x14ac:dyDescent="0.25">
      <c r="A24" s="60">
        <v>21</v>
      </c>
      <c r="B24" s="1"/>
      <c r="C24" s="44"/>
      <c r="D24" s="38"/>
      <c r="E24" s="38"/>
      <c r="F24" s="38"/>
      <c r="G24" s="3"/>
      <c r="H24" s="40"/>
    </row>
    <row r="25" spans="1:8" x14ac:dyDescent="0.25">
      <c r="A25" s="60">
        <v>22</v>
      </c>
      <c r="B25" s="1"/>
      <c r="C25" s="44"/>
      <c r="D25" s="38"/>
      <c r="E25" s="38"/>
      <c r="F25" s="38"/>
      <c r="G25" s="3"/>
      <c r="H25" s="40"/>
    </row>
    <row r="26" spans="1:8" x14ac:dyDescent="0.25">
      <c r="A26" s="60">
        <v>23</v>
      </c>
      <c r="B26" s="1"/>
      <c r="C26" s="44"/>
      <c r="D26" s="38"/>
      <c r="E26" s="38"/>
      <c r="F26" s="38"/>
      <c r="G26" s="3"/>
      <c r="H26" s="40"/>
    </row>
    <row r="27" spans="1:8" x14ac:dyDescent="0.25">
      <c r="A27" s="60">
        <v>24</v>
      </c>
      <c r="B27" s="1"/>
      <c r="C27" s="44"/>
      <c r="D27" s="38"/>
      <c r="E27" s="38"/>
      <c r="F27" s="38"/>
      <c r="G27" s="3"/>
      <c r="H27" s="40"/>
    </row>
    <row r="28" spans="1:8" x14ac:dyDescent="0.25">
      <c r="A28" s="60">
        <v>25</v>
      </c>
      <c r="B28" s="1"/>
      <c r="C28" s="44"/>
      <c r="D28" s="38"/>
      <c r="E28" s="38"/>
      <c r="F28" s="38"/>
      <c r="G28" s="3"/>
      <c r="H28" s="40"/>
    </row>
    <row r="29" spans="1:8" x14ac:dyDescent="0.25">
      <c r="A29" s="60">
        <v>26</v>
      </c>
      <c r="B29" s="1"/>
      <c r="C29" s="44"/>
      <c r="D29" s="38"/>
      <c r="E29" s="38"/>
      <c r="F29" s="38"/>
      <c r="G29" s="3"/>
      <c r="H29" s="40"/>
    </row>
    <row r="30" spans="1:8" x14ac:dyDescent="0.25">
      <c r="A30" s="60">
        <v>27</v>
      </c>
      <c r="B30" s="1"/>
      <c r="C30" s="44"/>
      <c r="D30" s="38"/>
      <c r="E30" s="38"/>
      <c r="F30" s="38"/>
      <c r="G30" s="3"/>
      <c r="H30" s="40"/>
    </row>
    <row r="31" spans="1:8" x14ac:dyDescent="0.25">
      <c r="A31" s="60">
        <v>28</v>
      </c>
      <c r="B31" s="1"/>
      <c r="C31" s="44"/>
      <c r="D31" s="38"/>
      <c r="E31" s="38"/>
      <c r="F31" s="38"/>
      <c r="G31" s="3"/>
      <c r="H31" s="40"/>
    </row>
    <row r="32" spans="1:8" x14ac:dyDescent="0.25">
      <c r="A32" s="60">
        <v>29</v>
      </c>
      <c r="B32" s="1"/>
      <c r="C32" s="44"/>
      <c r="D32" s="38"/>
      <c r="E32" s="38"/>
      <c r="F32" s="38"/>
      <c r="G32" s="3"/>
      <c r="H32" s="40"/>
    </row>
  </sheetData>
  <mergeCells count="1">
    <mergeCell ref="A1:H2"/>
  </mergeCells>
  <conditionalFormatting sqref="C4:C8">
    <cfRule type="duplicateValues" priority="1"/>
  </conditionalFormatting>
  <dataValidations count="3">
    <dataValidation type="list" allowBlank="1" showInputMessage="1" showErrorMessage="1" sqref="G33:H105" xr:uid="{00000000-0002-0000-0800-000000000000}">
      <formula1>"implist"</formula1>
    </dataValidation>
    <dataValidation type="list" allowBlank="1" showInputMessage="1" showErrorMessage="1" sqref="F4:F8" xr:uid="{00000000-0002-0000-0800-000001000000}">
      <formula1>Status</formula1>
    </dataValidation>
    <dataValidation type="list" allowBlank="1" showInputMessage="1" showErrorMessage="1" sqref="I4:I8" xr:uid="{00000000-0002-0000-0800-000002000000}">
      <formula1>Funding</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33"/>
  <sheetViews>
    <sheetView workbookViewId="0">
      <selection activeCell="J24" sqref="J24"/>
    </sheetView>
  </sheetViews>
  <sheetFormatPr defaultColWidth="14.7109375" defaultRowHeight="15" x14ac:dyDescent="0.25"/>
  <cols>
    <col min="1" max="1" width="6.140625" style="51" customWidth="1"/>
    <col min="2" max="2" width="14.7109375" style="49" customWidth="1"/>
    <col min="3" max="3" width="30.42578125" style="9"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72</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54" t="s">
        <v>49</v>
      </c>
      <c r="C3" s="54" t="s">
        <v>50</v>
      </c>
      <c r="D3" s="53" t="s">
        <v>51</v>
      </c>
      <c r="E3" s="53" t="s">
        <v>52</v>
      </c>
      <c r="F3" s="53" t="s">
        <v>595</v>
      </c>
      <c r="G3" s="55" t="s">
        <v>54</v>
      </c>
      <c r="H3" s="56" t="s">
        <v>596</v>
      </c>
      <c r="I3" s="134" t="s">
        <v>23</v>
      </c>
    </row>
    <row r="4" spans="1:9" x14ac:dyDescent="0.25">
      <c r="A4" s="60">
        <v>1</v>
      </c>
      <c r="B4" s="15" t="s">
        <v>72</v>
      </c>
      <c r="C4" s="15" t="s">
        <v>13</v>
      </c>
      <c r="D4" s="15" t="s">
        <v>62</v>
      </c>
      <c r="E4" s="15"/>
      <c r="F4" s="15" t="s">
        <v>598</v>
      </c>
      <c r="G4" s="16">
        <v>20000000</v>
      </c>
      <c r="H4" s="17">
        <v>2018</v>
      </c>
      <c r="I4" s="18" t="s">
        <v>38</v>
      </c>
    </row>
    <row r="5" spans="1:9" ht="30" x14ac:dyDescent="0.25">
      <c r="A5" s="8">
        <v>2</v>
      </c>
      <c r="B5" s="15" t="s">
        <v>72</v>
      </c>
      <c r="C5" s="15" t="s">
        <v>74</v>
      </c>
      <c r="D5" s="15" t="s">
        <v>62</v>
      </c>
      <c r="E5" s="15" t="s">
        <v>75</v>
      </c>
      <c r="F5" s="15" t="s">
        <v>598</v>
      </c>
      <c r="G5" s="16">
        <v>500000</v>
      </c>
      <c r="H5" s="17">
        <v>2018</v>
      </c>
      <c r="I5" s="18" t="s">
        <v>38</v>
      </c>
    </row>
    <row r="6" spans="1:9" ht="45" x14ac:dyDescent="0.25">
      <c r="A6" s="60">
        <v>3</v>
      </c>
      <c r="B6" s="11" t="s">
        <v>72</v>
      </c>
      <c r="C6" s="11" t="s">
        <v>110</v>
      </c>
      <c r="D6" s="11" t="s">
        <v>111</v>
      </c>
      <c r="E6" s="11" t="s">
        <v>112</v>
      </c>
      <c r="F6" s="11" t="s">
        <v>29</v>
      </c>
      <c r="G6" s="12">
        <v>90000</v>
      </c>
      <c r="H6" s="13">
        <v>2018</v>
      </c>
      <c r="I6" s="20" t="s">
        <v>34</v>
      </c>
    </row>
    <row r="7" spans="1:9" ht="30" x14ac:dyDescent="0.25">
      <c r="A7" s="8">
        <v>4</v>
      </c>
      <c r="B7" s="11" t="s">
        <v>72</v>
      </c>
      <c r="C7" s="11" t="s">
        <v>156</v>
      </c>
      <c r="D7" s="11" t="s">
        <v>157</v>
      </c>
      <c r="E7" s="11" t="s">
        <v>158</v>
      </c>
      <c r="F7" s="11" t="s">
        <v>29</v>
      </c>
      <c r="G7" s="12">
        <v>300000</v>
      </c>
      <c r="H7" s="13">
        <v>2018</v>
      </c>
      <c r="I7" s="20" t="s">
        <v>34</v>
      </c>
    </row>
    <row r="8" spans="1:9" ht="30" x14ac:dyDescent="0.25">
      <c r="A8" s="60">
        <v>5</v>
      </c>
      <c r="B8" s="11" t="s">
        <v>72</v>
      </c>
      <c r="C8" s="38" t="s">
        <v>169</v>
      </c>
      <c r="D8" s="38" t="s">
        <v>170</v>
      </c>
      <c r="E8" s="38" t="s">
        <v>171</v>
      </c>
      <c r="F8" s="23" t="s">
        <v>29</v>
      </c>
      <c r="G8" s="94">
        <v>500000</v>
      </c>
      <c r="H8" s="95">
        <v>2018</v>
      </c>
      <c r="I8" s="96" t="s">
        <v>30</v>
      </c>
    </row>
    <row r="9" spans="1:9" ht="30" x14ac:dyDescent="0.25">
      <c r="A9" s="8">
        <v>6</v>
      </c>
      <c r="B9" s="11" t="s">
        <v>72</v>
      </c>
      <c r="C9" s="11" t="s">
        <v>336</v>
      </c>
      <c r="D9" s="11" t="s">
        <v>337</v>
      </c>
      <c r="E9" s="11" t="s">
        <v>338</v>
      </c>
      <c r="F9" s="11" t="s">
        <v>29</v>
      </c>
      <c r="G9" s="12">
        <v>2500000</v>
      </c>
      <c r="H9" s="13">
        <v>2018</v>
      </c>
      <c r="I9" s="20" t="s">
        <v>34</v>
      </c>
    </row>
    <row r="10" spans="1:9" x14ac:dyDescent="0.25">
      <c r="A10" s="8">
        <v>7</v>
      </c>
      <c r="B10" s="1"/>
      <c r="C10" s="1"/>
      <c r="D10" s="38"/>
      <c r="E10" s="38"/>
      <c r="F10" s="41"/>
      <c r="G10" s="3"/>
      <c r="H10" s="40"/>
    </row>
    <row r="11" spans="1:9" x14ac:dyDescent="0.25">
      <c r="A11" s="8">
        <v>8</v>
      </c>
      <c r="B11" s="1"/>
      <c r="C11" s="44"/>
      <c r="D11" s="38"/>
      <c r="E11" s="38"/>
      <c r="F11" s="41"/>
      <c r="G11" s="3"/>
      <c r="H11" s="40"/>
    </row>
    <row r="12" spans="1:9" x14ac:dyDescent="0.25">
      <c r="A12" s="8">
        <v>9</v>
      </c>
      <c r="B12" s="1"/>
      <c r="C12" s="44"/>
      <c r="D12" s="38"/>
      <c r="E12" s="38"/>
      <c r="F12" s="41"/>
      <c r="G12" s="3"/>
      <c r="H12" s="40"/>
    </row>
    <row r="13" spans="1:9" x14ac:dyDescent="0.25">
      <c r="A13" s="8">
        <v>10</v>
      </c>
      <c r="B13" s="1"/>
      <c r="C13" s="44"/>
      <c r="D13" s="38"/>
      <c r="E13" s="38"/>
      <c r="F13" s="41"/>
      <c r="G13" s="3"/>
      <c r="H13" s="40"/>
    </row>
    <row r="14" spans="1:9" x14ac:dyDescent="0.25">
      <c r="A14" s="8">
        <v>11</v>
      </c>
      <c r="B14" s="1"/>
      <c r="C14" s="44"/>
      <c r="D14" s="38"/>
      <c r="E14" s="38"/>
      <c r="F14" s="41"/>
      <c r="G14" s="3"/>
      <c r="H14" s="40"/>
    </row>
    <row r="15" spans="1:9" x14ac:dyDescent="0.25">
      <c r="A15" s="8">
        <v>12</v>
      </c>
      <c r="B15" s="1"/>
      <c r="C15" s="44"/>
      <c r="D15" s="38"/>
      <c r="E15" s="38"/>
      <c r="F15" s="41"/>
      <c r="G15" s="3"/>
      <c r="H15" s="40"/>
    </row>
    <row r="16" spans="1:9" x14ac:dyDescent="0.25">
      <c r="A16" s="8">
        <v>13</v>
      </c>
      <c r="B16" s="1"/>
      <c r="C16" s="44"/>
      <c r="D16" s="38"/>
      <c r="E16" s="38"/>
      <c r="F16" s="41"/>
      <c r="G16" s="3"/>
      <c r="H16" s="40"/>
    </row>
    <row r="17" spans="1:8" x14ac:dyDescent="0.25">
      <c r="A17" s="8">
        <v>14</v>
      </c>
      <c r="B17" s="1"/>
      <c r="C17" s="44"/>
      <c r="D17" s="38"/>
      <c r="E17" s="38"/>
      <c r="F17" s="41"/>
      <c r="G17" s="3"/>
      <c r="H17" s="40"/>
    </row>
    <row r="18" spans="1:8" x14ac:dyDescent="0.25">
      <c r="A18" s="8">
        <v>15</v>
      </c>
      <c r="B18" s="1"/>
      <c r="C18" s="44"/>
      <c r="D18" s="38"/>
      <c r="E18" s="38"/>
      <c r="F18" s="41"/>
      <c r="G18" s="3"/>
      <c r="H18" s="40"/>
    </row>
    <row r="19" spans="1:8" x14ac:dyDescent="0.25">
      <c r="A19" s="8">
        <v>16</v>
      </c>
      <c r="B19" s="1"/>
      <c r="C19" s="44"/>
      <c r="D19" s="38"/>
      <c r="E19" s="38"/>
      <c r="F19" s="41"/>
      <c r="G19" s="3"/>
      <c r="H19" s="40"/>
    </row>
    <row r="20" spans="1:8" x14ac:dyDescent="0.25">
      <c r="A20" s="8">
        <v>17</v>
      </c>
      <c r="B20" s="1"/>
      <c r="C20" s="44"/>
      <c r="D20" s="38"/>
      <c r="E20" s="38"/>
      <c r="F20" s="41"/>
      <c r="G20" s="3"/>
      <c r="H20" s="40"/>
    </row>
    <row r="21" spans="1:8" x14ac:dyDescent="0.25">
      <c r="A21" s="8">
        <v>18</v>
      </c>
      <c r="B21" s="1"/>
      <c r="C21" s="44"/>
      <c r="D21" s="38"/>
      <c r="E21" s="38"/>
      <c r="F21" s="41"/>
      <c r="G21" s="3"/>
      <c r="H21" s="40"/>
    </row>
    <row r="22" spans="1:8" x14ac:dyDescent="0.25">
      <c r="A22" s="8">
        <v>19</v>
      </c>
      <c r="B22" s="1"/>
      <c r="C22" s="44"/>
      <c r="D22" s="38"/>
      <c r="E22" s="38"/>
      <c r="F22" s="41"/>
      <c r="G22" s="3"/>
      <c r="H22" s="40"/>
    </row>
    <row r="23" spans="1:8" x14ac:dyDescent="0.25">
      <c r="A23" s="8">
        <v>20</v>
      </c>
      <c r="B23" s="1"/>
      <c r="C23" s="44"/>
      <c r="D23" s="38"/>
      <c r="E23" s="38"/>
      <c r="F23" s="41"/>
      <c r="G23" s="3"/>
      <c r="H23" s="40"/>
    </row>
    <row r="24" spans="1:8" x14ac:dyDescent="0.25">
      <c r="A24" s="8">
        <v>21</v>
      </c>
      <c r="B24" s="1"/>
      <c r="C24" s="44"/>
      <c r="D24" s="38"/>
      <c r="E24" s="38"/>
      <c r="F24" s="41"/>
      <c r="G24" s="3"/>
      <c r="H24" s="40"/>
    </row>
    <row r="25" spans="1:8" x14ac:dyDescent="0.25">
      <c r="A25" s="8">
        <v>22</v>
      </c>
      <c r="B25" s="1"/>
      <c r="C25" s="44"/>
      <c r="D25" s="38"/>
      <c r="E25" s="38"/>
      <c r="F25" s="41"/>
      <c r="G25" s="3"/>
      <c r="H25" s="40"/>
    </row>
    <row r="26" spans="1:8" x14ac:dyDescent="0.25">
      <c r="A26" s="8">
        <v>23</v>
      </c>
      <c r="B26" s="1"/>
      <c r="C26" s="44"/>
      <c r="D26" s="38"/>
      <c r="E26" s="38"/>
      <c r="F26" s="41"/>
      <c r="G26" s="3"/>
      <c r="H26" s="40"/>
    </row>
    <row r="27" spans="1:8" x14ac:dyDescent="0.25">
      <c r="A27" s="8">
        <v>24</v>
      </c>
      <c r="B27" s="1"/>
      <c r="C27" s="44"/>
      <c r="D27" s="38"/>
      <c r="E27" s="38"/>
      <c r="F27" s="41"/>
      <c r="G27" s="3"/>
      <c r="H27" s="40"/>
    </row>
    <row r="28" spans="1:8" x14ac:dyDescent="0.25">
      <c r="A28" s="8">
        <v>25</v>
      </c>
      <c r="B28" s="1"/>
      <c r="C28" s="44"/>
      <c r="D28" s="38"/>
      <c r="E28" s="38"/>
      <c r="F28" s="41"/>
      <c r="G28" s="3"/>
      <c r="H28" s="40"/>
    </row>
    <row r="29" spans="1:8" x14ac:dyDescent="0.25">
      <c r="A29" s="8">
        <v>26</v>
      </c>
      <c r="B29" s="1"/>
      <c r="C29" s="44"/>
      <c r="D29" s="38"/>
      <c r="E29" s="38"/>
      <c r="F29" s="41"/>
      <c r="G29" s="3"/>
      <c r="H29" s="40"/>
    </row>
    <row r="30" spans="1:8" x14ac:dyDescent="0.25">
      <c r="A30" s="8">
        <v>27</v>
      </c>
      <c r="B30" s="1"/>
      <c r="C30" s="44"/>
      <c r="D30" s="38"/>
      <c r="E30" s="38"/>
      <c r="F30" s="41"/>
      <c r="G30" s="3"/>
      <c r="H30" s="40"/>
    </row>
    <row r="31" spans="1:8" x14ac:dyDescent="0.25">
      <c r="A31" s="8">
        <v>28</v>
      </c>
      <c r="B31" s="1"/>
      <c r="C31" s="44"/>
      <c r="D31" s="38"/>
      <c r="E31" s="38"/>
      <c r="F31" s="41"/>
      <c r="G31" s="3"/>
      <c r="H31" s="40"/>
    </row>
    <row r="32" spans="1:8" x14ac:dyDescent="0.25">
      <c r="A32" s="8">
        <v>29</v>
      </c>
      <c r="B32" s="1"/>
      <c r="C32" s="44"/>
      <c r="D32" s="38"/>
      <c r="E32" s="38"/>
      <c r="F32" s="41"/>
      <c r="G32" s="3"/>
      <c r="H32" s="40"/>
    </row>
    <row r="33" spans="1:8" x14ac:dyDescent="0.25">
      <c r="A33" s="8">
        <v>30</v>
      </c>
      <c r="B33" s="1"/>
      <c r="C33" s="44"/>
      <c r="D33" s="38"/>
      <c r="E33" s="38"/>
      <c r="F33" s="41"/>
      <c r="G33" s="3"/>
      <c r="H33" s="40"/>
    </row>
  </sheetData>
  <mergeCells count="1">
    <mergeCell ref="A1:H2"/>
  </mergeCells>
  <conditionalFormatting sqref="C4:C9">
    <cfRule type="duplicateValues" priority="1"/>
  </conditionalFormatting>
  <dataValidations count="3">
    <dataValidation type="list" allowBlank="1" showInputMessage="1" showErrorMessage="1" sqref="G34:H106" xr:uid="{00000000-0002-0000-0900-000000000000}">
      <formula1>"implist"</formula1>
    </dataValidation>
    <dataValidation type="list" allowBlank="1" showInputMessage="1" showErrorMessage="1" sqref="F4:F9" xr:uid="{00000000-0002-0000-0900-000001000000}">
      <formula1>Status</formula1>
    </dataValidation>
    <dataValidation type="list" allowBlank="1" showInputMessage="1" showErrorMessage="1" sqref="I4:I9" xr:uid="{00000000-0002-0000-0900-000002000000}">
      <formula1>Funding</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35"/>
  <sheetViews>
    <sheetView topLeftCell="A7" workbookViewId="0">
      <selection activeCell="J24" sqref="J24"/>
    </sheetView>
  </sheetViews>
  <sheetFormatPr defaultColWidth="14.7109375" defaultRowHeight="15" x14ac:dyDescent="0.25"/>
  <cols>
    <col min="1" max="1" width="6.140625" style="51" customWidth="1"/>
    <col min="2" max="2" width="14.7109375" style="49" customWidth="1"/>
    <col min="3" max="3" width="34.5703125" style="66" customWidth="1"/>
    <col min="4" max="4" width="24.7109375" style="9" customWidth="1"/>
    <col min="5" max="5" width="46.28515625" style="45" customWidth="1"/>
    <col min="6" max="6" width="24.7109375" style="52" customWidth="1"/>
    <col min="7" max="7" width="16.140625" customWidth="1"/>
    <col min="8" max="8" width="24.7109375" style="58" customWidth="1"/>
  </cols>
  <sheetData>
    <row r="1" spans="1:9" ht="30" customHeight="1" x14ac:dyDescent="0.25">
      <c r="A1" s="379" t="s">
        <v>159</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ht="180" x14ac:dyDescent="0.25">
      <c r="A4" s="60">
        <v>1</v>
      </c>
      <c r="B4" s="11" t="s">
        <v>159</v>
      </c>
      <c r="C4" s="11" t="s">
        <v>262</v>
      </c>
      <c r="D4" s="11" t="s">
        <v>263</v>
      </c>
      <c r="E4" s="11" t="s">
        <v>264</v>
      </c>
      <c r="F4" s="11" t="s">
        <v>29</v>
      </c>
      <c r="G4" s="12">
        <v>500000</v>
      </c>
      <c r="H4" s="13">
        <v>2018</v>
      </c>
      <c r="I4" s="20" t="s">
        <v>30</v>
      </c>
    </row>
    <row r="5" spans="1:9" ht="200.25" customHeight="1" x14ac:dyDescent="0.25">
      <c r="A5" s="8">
        <v>2</v>
      </c>
      <c r="B5" s="11" t="s">
        <v>659</v>
      </c>
      <c r="C5" s="11" t="s">
        <v>211</v>
      </c>
      <c r="D5" s="11" t="s">
        <v>212</v>
      </c>
      <c r="E5" s="11" t="s">
        <v>213</v>
      </c>
      <c r="F5" s="11" t="s">
        <v>29</v>
      </c>
      <c r="G5" s="12">
        <v>25000</v>
      </c>
      <c r="H5" s="13">
        <v>2018</v>
      </c>
      <c r="I5" s="20" t="s">
        <v>30</v>
      </c>
    </row>
    <row r="6" spans="1:9" ht="150" x14ac:dyDescent="0.25">
      <c r="A6" s="60">
        <v>3</v>
      </c>
      <c r="B6" s="11" t="s">
        <v>159</v>
      </c>
      <c r="C6" s="11" t="s">
        <v>416</v>
      </c>
      <c r="D6" s="11" t="s">
        <v>417</v>
      </c>
      <c r="E6" s="11" t="s">
        <v>418</v>
      </c>
      <c r="F6" s="11" t="s">
        <v>29</v>
      </c>
      <c r="G6" s="12">
        <v>45000</v>
      </c>
      <c r="H6" s="13">
        <v>2018</v>
      </c>
      <c r="I6" s="20" t="s">
        <v>30</v>
      </c>
    </row>
    <row r="7" spans="1:9" ht="30" x14ac:dyDescent="0.25">
      <c r="A7" s="8">
        <v>4</v>
      </c>
      <c r="B7" s="101" t="s">
        <v>159</v>
      </c>
      <c r="C7" s="102" t="s">
        <v>575</v>
      </c>
      <c r="D7" s="38" t="s">
        <v>576</v>
      </c>
      <c r="E7" s="38" t="s">
        <v>577</v>
      </c>
      <c r="F7" s="29" t="s">
        <v>29</v>
      </c>
      <c r="G7" s="12">
        <v>350000</v>
      </c>
      <c r="H7" s="40">
        <v>2018</v>
      </c>
      <c r="I7" s="20" t="s">
        <v>34</v>
      </c>
    </row>
    <row r="8" spans="1:9" x14ac:dyDescent="0.25">
      <c r="A8" s="60">
        <v>5</v>
      </c>
      <c r="B8" s="23"/>
      <c r="C8" s="23"/>
      <c r="D8" s="23"/>
      <c r="E8" s="23"/>
      <c r="F8" s="23"/>
      <c r="G8" s="25"/>
      <c r="H8" s="26"/>
    </row>
    <row r="9" spans="1:9" x14ac:dyDescent="0.25">
      <c r="A9" s="8">
        <v>6</v>
      </c>
      <c r="B9" s="11"/>
      <c r="C9" s="11"/>
      <c r="D9" s="11"/>
      <c r="E9" s="11"/>
      <c r="F9" s="11"/>
      <c r="G9" s="12"/>
      <c r="H9" s="13"/>
    </row>
    <row r="10" spans="1:9" x14ac:dyDescent="0.25">
      <c r="A10" s="8">
        <v>7</v>
      </c>
      <c r="B10" s="11"/>
      <c r="C10" s="23"/>
      <c r="D10" s="23"/>
      <c r="E10" s="23"/>
      <c r="F10" s="23"/>
      <c r="G10" s="25"/>
      <c r="H10" s="26"/>
    </row>
    <row r="11" spans="1:9" x14ac:dyDescent="0.25">
      <c r="A11" s="8">
        <v>8</v>
      </c>
      <c r="B11" s="11"/>
      <c r="C11" s="23"/>
      <c r="D11" s="23"/>
      <c r="E11" s="23"/>
      <c r="F11" s="23"/>
      <c r="G11" s="25"/>
      <c r="H11" s="26"/>
    </row>
    <row r="12" spans="1:9" x14ac:dyDescent="0.25">
      <c r="A12" s="8">
        <v>9</v>
      </c>
      <c r="B12" s="38"/>
      <c r="C12" s="38"/>
      <c r="D12" s="38"/>
      <c r="E12" s="38"/>
      <c r="F12" s="38"/>
      <c r="G12" s="12"/>
      <c r="H12" s="40"/>
    </row>
    <row r="13" spans="1:9" x14ac:dyDescent="0.25">
      <c r="A13" s="8">
        <v>11</v>
      </c>
      <c r="B13" s="11"/>
      <c r="C13" s="11"/>
      <c r="D13" s="11"/>
      <c r="E13" s="11"/>
      <c r="F13" s="11"/>
      <c r="G13" s="12"/>
      <c r="H13" s="13"/>
    </row>
    <row r="14" spans="1:9" x14ac:dyDescent="0.25">
      <c r="A14" s="8">
        <v>12</v>
      </c>
      <c r="B14" s="11"/>
      <c r="C14" s="11"/>
      <c r="D14" s="11"/>
      <c r="E14" s="11"/>
      <c r="F14" s="11"/>
      <c r="G14" s="12"/>
      <c r="H14" s="13"/>
    </row>
    <row r="15" spans="1:9" x14ac:dyDescent="0.25">
      <c r="A15" s="8">
        <v>13</v>
      </c>
      <c r="B15" s="11"/>
      <c r="C15" s="11"/>
      <c r="D15" s="11"/>
      <c r="E15" s="11"/>
      <c r="F15" s="11"/>
      <c r="G15" s="12"/>
      <c r="H15" s="13"/>
    </row>
    <row r="16" spans="1:9" x14ac:dyDescent="0.25">
      <c r="A16" s="8">
        <v>14</v>
      </c>
      <c r="B16" s="11"/>
      <c r="C16" s="11"/>
      <c r="D16" s="11"/>
      <c r="E16" s="11"/>
      <c r="F16" s="11"/>
      <c r="G16" s="12"/>
      <c r="H16" s="13"/>
    </row>
    <row r="17" spans="1:8" x14ac:dyDescent="0.25">
      <c r="A17" s="8">
        <v>15</v>
      </c>
      <c r="B17" s="11"/>
      <c r="C17" s="27"/>
      <c r="D17" s="27"/>
      <c r="E17" s="27"/>
      <c r="F17" s="27"/>
      <c r="G17" s="12"/>
      <c r="H17" s="13"/>
    </row>
    <row r="18" spans="1:8" x14ac:dyDescent="0.25">
      <c r="A18" s="8">
        <v>16</v>
      </c>
      <c r="B18" s="11"/>
      <c r="C18" s="11"/>
      <c r="D18" s="11"/>
      <c r="E18" s="11"/>
      <c r="F18" s="11"/>
      <c r="G18" s="12"/>
      <c r="H18" s="13"/>
    </row>
    <row r="19" spans="1:8" x14ac:dyDescent="0.25">
      <c r="A19" s="8">
        <v>17</v>
      </c>
      <c r="B19" s="11"/>
      <c r="C19" s="11"/>
      <c r="D19" s="11"/>
      <c r="E19" s="11"/>
      <c r="F19" s="11"/>
      <c r="G19" s="12"/>
      <c r="H19" s="13"/>
    </row>
    <row r="20" spans="1:8" x14ac:dyDescent="0.25">
      <c r="A20" s="8">
        <v>18</v>
      </c>
      <c r="B20" s="11"/>
      <c r="C20" s="11"/>
      <c r="D20" s="11"/>
      <c r="E20" s="11"/>
      <c r="F20" s="11"/>
      <c r="G20" s="12"/>
      <c r="H20" s="13"/>
    </row>
    <row r="21" spans="1:8" x14ac:dyDescent="0.25">
      <c r="A21" s="8">
        <v>19</v>
      </c>
      <c r="B21" s="11"/>
      <c r="C21" s="11"/>
      <c r="D21" s="11"/>
      <c r="E21" s="11"/>
      <c r="F21" s="11"/>
      <c r="G21" s="12"/>
      <c r="H21" s="13"/>
    </row>
    <row r="22" spans="1:8" x14ac:dyDescent="0.25">
      <c r="A22" s="8">
        <v>20</v>
      </c>
      <c r="B22" s="11"/>
      <c r="C22" s="11"/>
      <c r="D22" s="11"/>
      <c r="E22" s="11"/>
      <c r="F22" s="11"/>
      <c r="G22" s="12"/>
      <c r="H22" s="13"/>
    </row>
    <row r="23" spans="1:8" x14ac:dyDescent="0.25">
      <c r="A23" s="8">
        <v>21</v>
      </c>
      <c r="B23" s="11"/>
      <c r="C23" s="11"/>
      <c r="D23" s="11"/>
      <c r="E23" s="11"/>
      <c r="F23" s="11"/>
      <c r="G23" s="12"/>
      <c r="H23" s="13"/>
    </row>
    <row r="24" spans="1:8" x14ac:dyDescent="0.25">
      <c r="A24" s="8">
        <v>22</v>
      </c>
      <c r="B24" s="11"/>
      <c r="C24" s="11"/>
      <c r="D24" s="11"/>
      <c r="E24" s="11"/>
      <c r="F24" s="11"/>
      <c r="G24" s="12"/>
      <c r="H24" s="13"/>
    </row>
    <row r="25" spans="1:8" x14ac:dyDescent="0.25">
      <c r="A25" s="8">
        <v>23</v>
      </c>
      <c r="B25" s="11"/>
      <c r="C25" s="11"/>
      <c r="D25" s="11"/>
      <c r="E25" s="11"/>
      <c r="F25" s="11"/>
      <c r="G25" s="12"/>
      <c r="H25" s="13"/>
    </row>
    <row r="26" spans="1:8" x14ac:dyDescent="0.25">
      <c r="A26" s="8">
        <v>24</v>
      </c>
      <c r="B26" s="11"/>
      <c r="C26" s="11"/>
      <c r="D26" s="11"/>
      <c r="E26" s="11"/>
      <c r="F26" s="11"/>
      <c r="G26" s="12"/>
      <c r="H26" s="13"/>
    </row>
    <row r="27" spans="1:8" x14ac:dyDescent="0.25">
      <c r="A27" s="8">
        <v>25</v>
      </c>
      <c r="B27" s="11"/>
      <c r="C27" s="11"/>
      <c r="D27" s="11"/>
      <c r="E27" s="11"/>
      <c r="F27" s="11"/>
      <c r="G27" s="12"/>
      <c r="H27" s="13"/>
    </row>
    <row r="28" spans="1:8" x14ac:dyDescent="0.25">
      <c r="A28" s="8">
        <v>26</v>
      </c>
      <c r="B28" s="11"/>
      <c r="C28" s="11"/>
      <c r="D28" s="11"/>
      <c r="E28" s="11"/>
      <c r="F28" s="11"/>
      <c r="G28" s="12"/>
      <c r="H28" s="13"/>
    </row>
    <row r="29" spans="1:8" x14ac:dyDescent="0.25">
      <c r="A29" s="8">
        <v>27</v>
      </c>
      <c r="B29" s="11"/>
      <c r="C29" s="11"/>
      <c r="D29" s="11"/>
      <c r="E29" s="11"/>
      <c r="F29" s="11"/>
      <c r="G29" s="12"/>
      <c r="H29" s="13"/>
    </row>
    <row r="30" spans="1:8" x14ac:dyDescent="0.25">
      <c r="A30" s="8">
        <v>28</v>
      </c>
      <c r="B30" s="11"/>
      <c r="C30" s="11"/>
      <c r="D30" s="11"/>
      <c r="E30" s="11"/>
      <c r="F30" s="11"/>
      <c r="G30" s="12"/>
      <c r="H30" s="13"/>
    </row>
    <row r="31" spans="1:8" x14ac:dyDescent="0.25">
      <c r="A31" s="8">
        <v>29</v>
      </c>
      <c r="B31" s="11"/>
      <c r="C31" s="11"/>
      <c r="D31" s="11"/>
      <c r="E31" s="11"/>
      <c r="F31" s="11"/>
      <c r="G31" s="12"/>
      <c r="H31" s="13"/>
    </row>
    <row r="32" spans="1:8" x14ac:dyDescent="0.25">
      <c r="A32" s="8">
        <v>30</v>
      </c>
      <c r="B32" s="11"/>
      <c r="C32" s="11"/>
      <c r="D32" s="11"/>
      <c r="E32" s="11"/>
      <c r="F32" s="11"/>
      <c r="G32" s="12"/>
      <c r="H32" s="13"/>
    </row>
    <row r="33" spans="1:8" x14ac:dyDescent="0.25">
      <c r="A33" s="8">
        <v>31</v>
      </c>
      <c r="B33" s="11"/>
      <c r="C33" s="11"/>
      <c r="D33" s="11"/>
      <c r="E33" s="11"/>
      <c r="F33" s="11"/>
      <c r="G33" s="12"/>
      <c r="H33" s="13"/>
    </row>
    <row r="34" spans="1:8" x14ac:dyDescent="0.25">
      <c r="A34" s="8">
        <v>32</v>
      </c>
      <c r="B34" s="11"/>
      <c r="C34" s="38"/>
      <c r="D34" s="38"/>
      <c r="E34" s="38"/>
      <c r="F34" s="38"/>
      <c r="G34" s="39"/>
      <c r="H34" s="40"/>
    </row>
    <row r="35" spans="1:8" x14ac:dyDescent="0.25">
      <c r="A35" s="8">
        <v>33</v>
      </c>
      <c r="B35" s="11"/>
      <c r="C35" s="38"/>
      <c r="D35" s="38"/>
      <c r="E35" s="38"/>
      <c r="F35" s="38"/>
      <c r="G35" s="39"/>
      <c r="H35" s="40"/>
    </row>
  </sheetData>
  <mergeCells count="1">
    <mergeCell ref="A1:H2"/>
  </mergeCells>
  <conditionalFormatting sqref="C6:C7 C4">
    <cfRule type="duplicateValues" priority="2"/>
  </conditionalFormatting>
  <conditionalFormatting sqref="C5">
    <cfRule type="duplicateValues" priority="1"/>
  </conditionalFormatting>
  <dataValidations count="3">
    <dataValidation type="list" allowBlank="1" showInputMessage="1" showErrorMessage="1" sqref="G36:H108" xr:uid="{00000000-0002-0000-0A00-000000000000}">
      <formula1>"implist"</formula1>
    </dataValidation>
    <dataValidation type="list" allowBlank="1" showInputMessage="1" showErrorMessage="1" sqref="F4:F7" xr:uid="{00000000-0002-0000-0A00-000001000000}">
      <formula1>Status</formula1>
    </dataValidation>
    <dataValidation type="list" allowBlank="1" showInputMessage="1" showErrorMessage="1" sqref="I4:I7" xr:uid="{00000000-0002-0000-0A00-000002000000}">
      <formula1>Funding</formula1>
    </dataValidation>
  </dataValidation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I33"/>
  <sheetViews>
    <sheetView workbookViewId="0">
      <selection activeCell="J24" sqref="J24"/>
    </sheetView>
  </sheetViews>
  <sheetFormatPr defaultColWidth="14.7109375" defaultRowHeight="15" x14ac:dyDescent="0.25"/>
  <cols>
    <col min="1" max="1" width="6.140625" style="51" customWidth="1"/>
    <col min="2" max="2" width="14.7109375" style="49" customWidth="1"/>
    <col min="3" max="4" width="24.7109375" style="9" customWidth="1"/>
    <col min="5" max="6" width="24.7109375" style="45" customWidth="1"/>
    <col min="7" max="7" width="24.7109375" customWidth="1"/>
    <col min="8" max="8" width="24.7109375" style="58" customWidth="1"/>
  </cols>
  <sheetData>
    <row r="1" spans="1:9" ht="30" customHeight="1" x14ac:dyDescent="0.25">
      <c r="A1" s="379" t="s">
        <v>597</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54" t="s">
        <v>49</v>
      </c>
      <c r="C3" s="54" t="s">
        <v>50</v>
      </c>
      <c r="D3" s="53" t="s">
        <v>51</v>
      </c>
      <c r="E3" s="53" t="s">
        <v>52</v>
      </c>
      <c r="F3" s="53" t="s">
        <v>595</v>
      </c>
      <c r="G3" s="55" t="s">
        <v>54</v>
      </c>
      <c r="H3" s="56" t="s">
        <v>596</v>
      </c>
      <c r="I3" s="134" t="s">
        <v>23</v>
      </c>
    </row>
    <row r="4" spans="1:9" ht="120" x14ac:dyDescent="0.25">
      <c r="A4" s="60">
        <v>1</v>
      </c>
      <c r="B4" s="11" t="s">
        <v>220</v>
      </c>
      <c r="C4" s="38" t="s">
        <v>221</v>
      </c>
      <c r="D4" s="62" t="s">
        <v>222</v>
      </c>
      <c r="E4" s="62" t="s">
        <v>223</v>
      </c>
      <c r="F4" s="11" t="s">
        <v>29</v>
      </c>
      <c r="G4" s="12" t="s">
        <v>224</v>
      </c>
      <c r="H4" s="13">
        <v>2018</v>
      </c>
      <c r="I4" s="20" t="s">
        <v>34</v>
      </c>
    </row>
    <row r="5" spans="1:9" ht="45" x14ac:dyDescent="0.25">
      <c r="A5" s="8">
        <v>2</v>
      </c>
      <c r="B5" s="11" t="s">
        <v>220</v>
      </c>
      <c r="C5" s="11" t="s">
        <v>339</v>
      </c>
      <c r="D5" s="11" t="s">
        <v>340</v>
      </c>
      <c r="E5" s="11" t="s">
        <v>341</v>
      </c>
      <c r="F5" s="11" t="s">
        <v>29</v>
      </c>
      <c r="G5" s="12" t="s">
        <v>224</v>
      </c>
      <c r="H5" s="13">
        <v>2018</v>
      </c>
      <c r="I5" s="20" t="s">
        <v>34</v>
      </c>
    </row>
    <row r="6" spans="1:9" x14ac:dyDescent="0.25">
      <c r="A6" s="60">
        <v>3</v>
      </c>
      <c r="B6" s="1"/>
      <c r="C6" s="44"/>
      <c r="D6" s="38"/>
      <c r="E6" s="61"/>
      <c r="F6" s="38"/>
      <c r="G6" s="3"/>
      <c r="H6" s="57"/>
    </row>
    <row r="7" spans="1:9" x14ac:dyDescent="0.25">
      <c r="A7" s="8">
        <v>4</v>
      </c>
      <c r="B7" s="1"/>
      <c r="C7" s="44"/>
      <c r="D7" s="38"/>
      <c r="E7" s="61"/>
      <c r="F7" s="38"/>
      <c r="G7" s="3"/>
      <c r="H7" s="57"/>
    </row>
    <row r="8" spans="1:9" x14ac:dyDescent="0.25">
      <c r="A8" s="60">
        <v>5</v>
      </c>
      <c r="B8" s="1"/>
      <c r="C8" s="44"/>
      <c r="D8" s="38"/>
      <c r="E8" s="61"/>
      <c r="F8" s="38"/>
      <c r="G8" s="3"/>
      <c r="H8" s="57"/>
    </row>
    <row r="9" spans="1:9" x14ac:dyDescent="0.25">
      <c r="A9" s="8">
        <v>6</v>
      </c>
      <c r="B9" s="1"/>
      <c r="C9" s="44"/>
      <c r="D9" s="38"/>
      <c r="E9" s="61"/>
      <c r="F9" s="38"/>
      <c r="G9" s="3"/>
      <c r="H9" s="57"/>
    </row>
    <row r="10" spans="1:9" x14ac:dyDescent="0.25">
      <c r="A10" s="8">
        <v>7</v>
      </c>
      <c r="B10" s="1"/>
      <c r="C10" s="44"/>
      <c r="D10" s="38"/>
      <c r="E10" s="38"/>
      <c r="F10" s="38"/>
      <c r="G10" s="3"/>
      <c r="H10" s="57"/>
    </row>
    <row r="11" spans="1:9" x14ac:dyDescent="0.25">
      <c r="A11" s="8">
        <v>8</v>
      </c>
      <c r="B11" s="1"/>
      <c r="C11" s="44"/>
      <c r="D11" s="38"/>
      <c r="E11" s="38"/>
      <c r="F11" s="38"/>
      <c r="G11" s="3"/>
      <c r="H11" s="40"/>
    </row>
    <row r="12" spans="1:9" x14ac:dyDescent="0.25">
      <c r="A12" s="8">
        <v>9</v>
      </c>
      <c r="B12" s="1"/>
      <c r="C12" s="44"/>
      <c r="D12" s="38"/>
      <c r="E12" s="38"/>
      <c r="F12" s="38"/>
      <c r="G12" s="3"/>
      <c r="H12" s="40"/>
    </row>
    <row r="13" spans="1:9" x14ac:dyDescent="0.25">
      <c r="A13" s="8">
        <v>10</v>
      </c>
      <c r="B13" s="1"/>
      <c r="C13" s="44"/>
      <c r="D13" s="38"/>
      <c r="E13" s="38"/>
      <c r="F13" s="38"/>
      <c r="G13" s="3"/>
      <c r="H13" s="40"/>
    </row>
    <row r="14" spans="1:9" x14ac:dyDescent="0.25">
      <c r="A14" s="8">
        <v>11</v>
      </c>
      <c r="B14" s="1"/>
      <c r="C14" s="44"/>
      <c r="D14" s="38"/>
      <c r="E14" s="38"/>
      <c r="F14" s="38"/>
      <c r="G14" s="3"/>
      <c r="H14" s="40"/>
    </row>
    <row r="15" spans="1:9" x14ac:dyDescent="0.25">
      <c r="A15" s="8">
        <v>12</v>
      </c>
      <c r="B15" s="1"/>
      <c r="C15" s="44"/>
      <c r="D15" s="38"/>
      <c r="E15" s="38"/>
      <c r="F15" s="38"/>
      <c r="G15" s="3"/>
      <c r="H15" s="40"/>
    </row>
    <row r="16" spans="1:9" x14ac:dyDescent="0.25">
      <c r="A16" s="8">
        <v>13</v>
      </c>
      <c r="B16" s="1"/>
      <c r="C16" s="44"/>
      <c r="D16" s="38"/>
      <c r="E16" s="38"/>
      <c r="F16" s="38"/>
      <c r="G16" s="3"/>
      <c r="H16" s="40"/>
    </row>
    <row r="17" spans="1:8" x14ac:dyDescent="0.25">
      <c r="A17" s="8">
        <v>14</v>
      </c>
      <c r="B17" s="1"/>
      <c r="C17" s="44"/>
      <c r="D17" s="38"/>
      <c r="E17" s="38"/>
      <c r="F17" s="38"/>
      <c r="G17" s="3"/>
      <c r="H17" s="40"/>
    </row>
    <row r="18" spans="1:8" x14ac:dyDescent="0.25">
      <c r="A18" s="8">
        <v>15</v>
      </c>
      <c r="B18" s="1"/>
      <c r="C18" s="44"/>
      <c r="D18" s="38"/>
      <c r="E18" s="38"/>
      <c r="F18" s="38"/>
      <c r="G18" s="3"/>
      <c r="H18" s="40"/>
    </row>
    <row r="19" spans="1:8" x14ac:dyDescent="0.25">
      <c r="A19" s="8">
        <v>16</v>
      </c>
      <c r="B19" s="1"/>
      <c r="C19" s="44"/>
      <c r="D19" s="38"/>
      <c r="E19" s="38"/>
      <c r="F19" s="38"/>
      <c r="G19" s="3"/>
      <c r="H19" s="40"/>
    </row>
    <row r="20" spans="1:8" x14ac:dyDescent="0.25">
      <c r="A20" s="8">
        <v>17</v>
      </c>
      <c r="B20" s="1"/>
      <c r="C20" s="44"/>
      <c r="D20" s="38"/>
      <c r="E20" s="38"/>
      <c r="F20" s="38"/>
      <c r="G20" s="3"/>
      <c r="H20" s="40"/>
    </row>
    <row r="21" spans="1:8" x14ac:dyDescent="0.25">
      <c r="A21" s="8">
        <v>18</v>
      </c>
      <c r="B21" s="1"/>
      <c r="C21" s="44"/>
      <c r="D21" s="38"/>
      <c r="E21" s="38"/>
      <c r="F21" s="38"/>
      <c r="G21" s="3"/>
      <c r="H21" s="40"/>
    </row>
    <row r="22" spans="1:8" x14ac:dyDescent="0.25">
      <c r="A22" s="8">
        <v>19</v>
      </c>
      <c r="B22" s="1"/>
      <c r="C22" s="44"/>
      <c r="D22" s="38"/>
      <c r="E22" s="38"/>
      <c r="F22" s="38"/>
      <c r="G22" s="3"/>
      <c r="H22" s="40"/>
    </row>
    <row r="23" spans="1:8" x14ac:dyDescent="0.25">
      <c r="A23" s="8">
        <v>20</v>
      </c>
      <c r="B23" s="1"/>
      <c r="C23" s="44"/>
      <c r="D23" s="38"/>
      <c r="E23" s="38"/>
      <c r="F23" s="38"/>
      <c r="G23" s="3"/>
      <c r="H23" s="40"/>
    </row>
    <row r="24" spans="1:8" x14ac:dyDescent="0.25">
      <c r="A24" s="8">
        <v>21</v>
      </c>
      <c r="B24" s="1"/>
      <c r="C24" s="44"/>
      <c r="D24" s="38"/>
      <c r="E24" s="38"/>
      <c r="F24" s="38"/>
      <c r="G24" s="3"/>
      <c r="H24" s="40"/>
    </row>
    <row r="25" spans="1:8" x14ac:dyDescent="0.25">
      <c r="A25" s="8">
        <v>22</v>
      </c>
      <c r="B25" s="1"/>
      <c r="C25" s="44"/>
      <c r="D25" s="38"/>
      <c r="E25" s="38"/>
      <c r="F25" s="38"/>
      <c r="G25" s="3"/>
      <c r="H25" s="40"/>
    </row>
    <row r="26" spans="1:8" x14ac:dyDescent="0.25">
      <c r="A26" s="8">
        <v>23</v>
      </c>
      <c r="B26" s="1"/>
      <c r="C26" s="44"/>
      <c r="D26" s="38"/>
      <c r="E26" s="38"/>
      <c r="F26" s="38"/>
      <c r="G26" s="3"/>
      <c r="H26" s="40"/>
    </row>
    <row r="27" spans="1:8" x14ac:dyDescent="0.25">
      <c r="A27" s="8">
        <v>24</v>
      </c>
      <c r="B27" s="1"/>
      <c r="C27" s="44"/>
      <c r="D27" s="38"/>
      <c r="E27" s="38"/>
      <c r="F27" s="38"/>
      <c r="G27" s="3"/>
      <c r="H27" s="40"/>
    </row>
    <row r="28" spans="1:8" x14ac:dyDescent="0.25">
      <c r="A28" s="8">
        <v>25</v>
      </c>
      <c r="B28" s="1"/>
      <c r="C28" s="44"/>
      <c r="D28" s="38"/>
      <c r="E28" s="38"/>
      <c r="F28" s="38"/>
      <c r="G28" s="3"/>
      <c r="H28" s="40"/>
    </row>
    <row r="29" spans="1:8" x14ac:dyDescent="0.25">
      <c r="A29" s="8">
        <v>26</v>
      </c>
      <c r="B29" s="1"/>
      <c r="C29" s="44"/>
      <c r="D29" s="38"/>
      <c r="E29" s="38"/>
      <c r="F29" s="38"/>
      <c r="G29" s="3"/>
      <c r="H29" s="40"/>
    </row>
    <row r="30" spans="1:8" x14ac:dyDescent="0.25">
      <c r="A30" s="8">
        <v>27</v>
      </c>
      <c r="B30" s="1"/>
      <c r="C30" s="44"/>
      <c r="D30" s="38"/>
      <c r="E30" s="38"/>
      <c r="F30" s="38"/>
      <c r="G30" s="3"/>
      <c r="H30" s="40"/>
    </row>
    <row r="31" spans="1:8" x14ac:dyDescent="0.25">
      <c r="A31" s="8">
        <v>28</v>
      </c>
      <c r="B31" s="1"/>
      <c r="C31" s="44"/>
      <c r="D31" s="38"/>
      <c r="E31" s="38"/>
      <c r="F31" s="38"/>
      <c r="G31" s="3"/>
      <c r="H31" s="40"/>
    </row>
    <row r="32" spans="1:8" x14ac:dyDescent="0.25">
      <c r="A32" s="8">
        <v>29</v>
      </c>
      <c r="B32" s="1"/>
      <c r="C32" s="44"/>
      <c r="D32" s="38"/>
      <c r="E32" s="38"/>
      <c r="F32" s="38"/>
      <c r="G32" s="3"/>
      <c r="H32" s="40"/>
    </row>
    <row r="33" spans="1:8" x14ac:dyDescent="0.25">
      <c r="A33" s="8">
        <v>30</v>
      </c>
      <c r="B33" s="1"/>
      <c r="C33" s="44"/>
      <c r="D33" s="38"/>
      <c r="E33" s="38"/>
      <c r="F33" s="38"/>
      <c r="G33" s="3"/>
      <c r="H33" s="40"/>
    </row>
  </sheetData>
  <mergeCells count="1">
    <mergeCell ref="A1:H2"/>
  </mergeCells>
  <conditionalFormatting sqref="C4:C5">
    <cfRule type="duplicateValues" priority="1"/>
  </conditionalFormatting>
  <dataValidations count="3">
    <dataValidation type="list" allowBlank="1" showInputMessage="1" showErrorMessage="1" sqref="G34:H106" xr:uid="{00000000-0002-0000-0B00-000000000000}">
      <formula1>"implist"</formula1>
    </dataValidation>
    <dataValidation type="list" allowBlank="1" showInputMessage="1" showErrorMessage="1" sqref="F4:F5" xr:uid="{00000000-0002-0000-0B00-000001000000}">
      <formula1>Status</formula1>
    </dataValidation>
    <dataValidation type="list" allowBlank="1" showInputMessage="1" showErrorMessage="1" sqref="I4:I5" xr:uid="{00000000-0002-0000-0B00-000002000000}">
      <formula1>Funding</formula1>
    </dataValidation>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K33"/>
  <sheetViews>
    <sheetView workbookViewId="0">
      <selection activeCell="J24" sqref="J24"/>
    </sheetView>
  </sheetViews>
  <sheetFormatPr defaultColWidth="14.7109375" defaultRowHeight="15" x14ac:dyDescent="0.25"/>
  <cols>
    <col min="1" max="1" width="6.140625" style="51" customWidth="1"/>
    <col min="2" max="2" width="14.7109375" style="49" customWidth="1"/>
    <col min="3" max="4" width="24.7109375" style="9" customWidth="1"/>
    <col min="5" max="6" width="24.7109375" style="45" customWidth="1"/>
    <col min="7" max="7" width="24.7109375" style="46" customWidth="1"/>
    <col min="8" max="8" width="24.7109375" style="58" customWidth="1"/>
  </cols>
  <sheetData>
    <row r="1" spans="1:11" ht="30" customHeight="1" x14ac:dyDescent="0.25">
      <c r="A1" s="379" t="s">
        <v>594</v>
      </c>
      <c r="B1" s="380"/>
      <c r="C1" s="380"/>
      <c r="D1" s="380"/>
      <c r="E1" s="380"/>
      <c r="F1" s="380"/>
      <c r="G1" s="380"/>
      <c r="H1" s="381"/>
    </row>
    <row r="2" spans="1:11" ht="15.75" thickBot="1" x14ac:dyDescent="0.3">
      <c r="A2" s="382"/>
      <c r="B2" s="383"/>
      <c r="C2" s="383"/>
      <c r="D2" s="383"/>
      <c r="E2" s="383"/>
      <c r="F2" s="383"/>
      <c r="G2" s="383"/>
      <c r="H2" s="384"/>
    </row>
    <row r="3" spans="1:11" ht="15" customHeight="1" thickBot="1" x14ac:dyDescent="0.3">
      <c r="A3" s="59" t="s">
        <v>48</v>
      </c>
      <c r="B3" s="54" t="s">
        <v>49</v>
      </c>
      <c r="C3" s="54" t="s">
        <v>50</v>
      </c>
      <c r="D3" s="53" t="s">
        <v>51</v>
      </c>
      <c r="E3" s="53" t="s">
        <v>52</v>
      </c>
      <c r="F3" s="53" t="s">
        <v>595</v>
      </c>
      <c r="G3" s="55" t="s">
        <v>54</v>
      </c>
      <c r="H3" s="56" t="s">
        <v>596</v>
      </c>
      <c r="I3" s="135" t="s">
        <v>23</v>
      </c>
      <c r="J3" s="9"/>
      <c r="K3" s="9"/>
    </row>
    <row r="4" spans="1:11" ht="75" x14ac:dyDescent="0.25">
      <c r="A4" s="60">
        <v>1</v>
      </c>
      <c r="B4" s="15" t="s">
        <v>214</v>
      </c>
      <c r="C4" s="15" t="s">
        <v>559</v>
      </c>
      <c r="D4" s="15" t="s">
        <v>689</v>
      </c>
      <c r="E4" s="15" t="s">
        <v>561</v>
      </c>
      <c r="F4" s="15" t="s">
        <v>598</v>
      </c>
      <c r="G4" s="16">
        <v>28000000</v>
      </c>
      <c r="H4" s="17">
        <v>2018</v>
      </c>
      <c r="I4" s="18" t="s">
        <v>34</v>
      </c>
      <c r="J4" s="9"/>
      <c r="K4" s="9"/>
    </row>
    <row r="5" spans="1:11" ht="30" x14ac:dyDescent="0.25">
      <c r="A5" s="8">
        <v>2</v>
      </c>
      <c r="B5" s="11" t="s">
        <v>214</v>
      </c>
      <c r="C5" s="38" t="s">
        <v>215</v>
      </c>
      <c r="D5" s="38" t="s">
        <v>216</v>
      </c>
      <c r="E5" s="38" t="s">
        <v>658</v>
      </c>
      <c r="F5" s="11" t="s">
        <v>29</v>
      </c>
      <c r="G5" s="12">
        <v>250000</v>
      </c>
      <c r="H5" s="13">
        <v>2018</v>
      </c>
      <c r="I5" s="20" t="s">
        <v>30</v>
      </c>
      <c r="J5" s="9"/>
      <c r="K5" s="9"/>
    </row>
    <row r="6" spans="1:11" ht="90" x14ac:dyDescent="0.25">
      <c r="A6" s="8">
        <v>3</v>
      </c>
      <c r="B6" s="11" t="s">
        <v>214</v>
      </c>
      <c r="C6" s="38" t="s">
        <v>225</v>
      </c>
      <c r="D6" s="38" t="s">
        <v>226</v>
      </c>
      <c r="E6" s="38" t="s">
        <v>227</v>
      </c>
      <c r="F6" s="11" t="s">
        <v>29</v>
      </c>
      <c r="G6" s="12">
        <v>250000</v>
      </c>
      <c r="H6" s="13">
        <v>2018</v>
      </c>
      <c r="I6" s="20" t="s">
        <v>30</v>
      </c>
      <c r="J6" s="65"/>
      <c r="K6" s="9"/>
    </row>
    <row r="7" spans="1:11" ht="30" x14ac:dyDescent="0.25">
      <c r="A7" s="8">
        <v>4</v>
      </c>
      <c r="B7" s="11" t="s">
        <v>214</v>
      </c>
      <c r="C7" s="11" t="s">
        <v>307</v>
      </c>
      <c r="D7" s="11" t="s">
        <v>308</v>
      </c>
      <c r="E7" s="11" t="s">
        <v>309</v>
      </c>
      <c r="F7" s="11" t="s">
        <v>29</v>
      </c>
      <c r="G7" s="12">
        <v>150000</v>
      </c>
      <c r="H7" s="13">
        <v>2018</v>
      </c>
      <c r="I7" s="20" t="s">
        <v>30</v>
      </c>
    </row>
    <row r="8" spans="1:11" ht="45" x14ac:dyDescent="0.25">
      <c r="A8" s="8">
        <v>5</v>
      </c>
      <c r="B8" s="11" t="s">
        <v>214</v>
      </c>
      <c r="C8" s="11" t="s">
        <v>447</v>
      </c>
      <c r="D8" s="11" t="s">
        <v>448</v>
      </c>
      <c r="E8" s="11" t="s">
        <v>449</v>
      </c>
      <c r="F8" s="11" t="s">
        <v>29</v>
      </c>
      <c r="G8" s="12">
        <v>200000</v>
      </c>
      <c r="H8" s="13">
        <v>2018</v>
      </c>
      <c r="I8" s="20" t="s">
        <v>30</v>
      </c>
    </row>
    <row r="9" spans="1:11" ht="30" x14ac:dyDescent="0.25">
      <c r="A9" s="8">
        <v>6</v>
      </c>
      <c r="B9" s="11" t="s">
        <v>214</v>
      </c>
      <c r="C9" s="11" t="s">
        <v>459</v>
      </c>
      <c r="D9" s="11" t="s">
        <v>460</v>
      </c>
      <c r="E9" s="11" t="s">
        <v>461</v>
      </c>
      <c r="F9" s="11" t="s">
        <v>29</v>
      </c>
      <c r="G9" s="12">
        <v>65000</v>
      </c>
      <c r="H9" s="13">
        <v>2018</v>
      </c>
      <c r="I9" s="20" t="s">
        <v>30</v>
      </c>
    </row>
    <row r="10" spans="1:11" x14ac:dyDescent="0.25">
      <c r="A10" s="8">
        <v>7</v>
      </c>
      <c r="B10" s="1"/>
      <c r="C10" s="44"/>
      <c r="D10" s="38"/>
      <c r="E10" s="38"/>
      <c r="F10" s="38"/>
      <c r="G10" s="43"/>
      <c r="H10" s="57"/>
    </row>
    <row r="11" spans="1:11" x14ac:dyDescent="0.25">
      <c r="A11" s="8">
        <v>8</v>
      </c>
      <c r="B11" s="1"/>
      <c r="C11" s="44"/>
      <c r="D11" s="38"/>
      <c r="E11" s="38"/>
      <c r="F11" s="38"/>
      <c r="G11" s="43"/>
      <c r="H11" s="40"/>
    </row>
    <row r="12" spans="1:11" x14ac:dyDescent="0.25">
      <c r="A12" s="8">
        <v>9</v>
      </c>
      <c r="B12" s="1"/>
      <c r="C12" s="44"/>
      <c r="D12" s="38"/>
      <c r="E12" s="38"/>
      <c r="F12" s="38"/>
      <c r="G12" s="43"/>
      <c r="H12" s="40"/>
    </row>
    <row r="13" spans="1:11" x14ac:dyDescent="0.25">
      <c r="A13" s="8">
        <v>10</v>
      </c>
      <c r="B13" s="1"/>
      <c r="C13" s="44"/>
      <c r="D13" s="38"/>
      <c r="E13" s="38"/>
      <c r="F13" s="38"/>
      <c r="G13" s="43"/>
      <c r="H13" s="40"/>
    </row>
    <row r="14" spans="1:11" x14ac:dyDescent="0.25">
      <c r="A14" s="8">
        <v>11</v>
      </c>
      <c r="B14" s="1"/>
      <c r="C14" s="44"/>
      <c r="D14" s="38"/>
      <c r="E14" s="38"/>
      <c r="F14" s="38"/>
      <c r="G14" s="43"/>
      <c r="H14" s="40"/>
    </row>
    <row r="15" spans="1:11" x14ac:dyDescent="0.25">
      <c r="A15" s="8">
        <v>12</v>
      </c>
      <c r="B15" s="1"/>
      <c r="C15" s="44"/>
      <c r="D15" s="38"/>
      <c r="E15" s="38"/>
      <c r="F15" s="38"/>
      <c r="G15" s="43"/>
      <c r="H15" s="40"/>
    </row>
    <row r="16" spans="1:11" x14ac:dyDescent="0.25">
      <c r="A16" s="8">
        <v>13</v>
      </c>
      <c r="B16" s="1"/>
      <c r="C16" s="44"/>
      <c r="D16" s="38"/>
      <c r="E16" s="38"/>
      <c r="F16" s="38"/>
      <c r="G16" s="43"/>
      <c r="H16" s="40"/>
    </row>
    <row r="17" spans="1:8" x14ac:dyDescent="0.25">
      <c r="A17" s="8">
        <v>14</v>
      </c>
      <c r="B17" s="1"/>
      <c r="C17" s="44"/>
      <c r="D17" s="38"/>
      <c r="E17" s="38"/>
      <c r="F17" s="38"/>
      <c r="G17" s="43"/>
      <c r="H17" s="40"/>
    </row>
    <row r="18" spans="1:8" x14ac:dyDescent="0.25">
      <c r="A18" s="8">
        <v>15</v>
      </c>
      <c r="B18" s="1"/>
      <c r="C18" s="44"/>
      <c r="D18" s="38"/>
      <c r="E18" s="38"/>
      <c r="F18" s="38"/>
      <c r="G18" s="43"/>
      <c r="H18" s="40"/>
    </row>
    <row r="19" spans="1:8" x14ac:dyDescent="0.25">
      <c r="A19" s="8">
        <v>16</v>
      </c>
      <c r="B19" s="1"/>
      <c r="C19" s="44"/>
      <c r="D19" s="38"/>
      <c r="E19" s="38"/>
      <c r="F19" s="38"/>
      <c r="G19" s="43"/>
      <c r="H19" s="40"/>
    </row>
    <row r="20" spans="1:8" x14ac:dyDescent="0.25">
      <c r="A20" s="8">
        <v>17</v>
      </c>
      <c r="B20" s="1"/>
      <c r="C20" s="44"/>
      <c r="D20" s="38"/>
      <c r="E20" s="38"/>
      <c r="F20" s="38"/>
      <c r="G20" s="43"/>
      <c r="H20" s="40"/>
    </row>
    <row r="21" spans="1:8" x14ac:dyDescent="0.25">
      <c r="A21" s="8">
        <v>18</v>
      </c>
      <c r="B21" s="1"/>
      <c r="C21" s="44"/>
      <c r="D21" s="38"/>
      <c r="E21" s="38"/>
      <c r="F21" s="38"/>
      <c r="G21" s="43"/>
      <c r="H21" s="40"/>
    </row>
    <row r="22" spans="1:8" x14ac:dyDescent="0.25">
      <c r="A22" s="8">
        <v>19</v>
      </c>
      <c r="B22" s="1"/>
      <c r="C22" s="44"/>
      <c r="D22" s="38"/>
      <c r="E22" s="38"/>
      <c r="F22" s="38"/>
      <c r="G22" s="43"/>
      <c r="H22" s="40"/>
    </row>
    <row r="23" spans="1:8" x14ac:dyDescent="0.25">
      <c r="A23" s="8">
        <v>20</v>
      </c>
      <c r="B23" s="1"/>
      <c r="C23" s="44"/>
      <c r="D23" s="38"/>
      <c r="E23" s="38"/>
      <c r="F23" s="38"/>
      <c r="G23" s="43"/>
      <c r="H23" s="40"/>
    </row>
    <row r="24" spans="1:8" x14ac:dyDescent="0.25">
      <c r="A24" s="8">
        <v>21</v>
      </c>
      <c r="B24" s="1"/>
      <c r="C24" s="44"/>
      <c r="D24" s="38"/>
      <c r="E24" s="38"/>
      <c r="F24" s="38"/>
      <c r="G24" s="43"/>
      <c r="H24" s="40"/>
    </row>
    <row r="25" spans="1:8" x14ac:dyDescent="0.25">
      <c r="A25" s="8">
        <v>22</v>
      </c>
      <c r="B25" s="1"/>
      <c r="C25" s="44"/>
      <c r="D25" s="38"/>
      <c r="E25" s="38"/>
      <c r="F25" s="38"/>
      <c r="G25" s="43"/>
      <c r="H25" s="40"/>
    </row>
    <row r="26" spans="1:8" x14ac:dyDescent="0.25">
      <c r="A26" s="8">
        <v>23</v>
      </c>
      <c r="B26" s="1"/>
      <c r="C26" s="44"/>
      <c r="D26" s="38"/>
      <c r="E26" s="38"/>
      <c r="F26" s="38"/>
      <c r="G26" s="43"/>
      <c r="H26" s="40"/>
    </row>
    <row r="27" spans="1:8" x14ac:dyDescent="0.25">
      <c r="A27" s="8">
        <v>24</v>
      </c>
      <c r="B27" s="1"/>
      <c r="C27" s="44"/>
      <c r="D27" s="38"/>
      <c r="E27" s="38"/>
      <c r="F27" s="38"/>
      <c r="G27" s="43"/>
      <c r="H27" s="40"/>
    </row>
    <row r="28" spans="1:8" x14ac:dyDescent="0.25">
      <c r="A28" s="8">
        <v>25</v>
      </c>
      <c r="B28" s="1"/>
      <c r="C28" s="44"/>
      <c r="D28" s="38"/>
      <c r="E28" s="38"/>
      <c r="F28" s="38"/>
      <c r="G28" s="43"/>
      <c r="H28" s="40"/>
    </row>
    <row r="29" spans="1:8" x14ac:dyDescent="0.25">
      <c r="A29" s="8">
        <v>26</v>
      </c>
      <c r="B29" s="1"/>
      <c r="C29" s="44"/>
      <c r="D29" s="38"/>
      <c r="E29" s="38"/>
      <c r="F29" s="38"/>
      <c r="G29" s="43"/>
      <c r="H29" s="40"/>
    </row>
    <row r="30" spans="1:8" x14ac:dyDescent="0.25">
      <c r="A30" s="8">
        <v>27</v>
      </c>
      <c r="B30" s="1"/>
      <c r="C30" s="44"/>
      <c r="D30" s="38"/>
      <c r="E30" s="38"/>
      <c r="F30" s="38"/>
      <c r="G30" s="43"/>
      <c r="H30" s="40"/>
    </row>
    <row r="31" spans="1:8" x14ac:dyDescent="0.25">
      <c r="A31" s="8">
        <v>28</v>
      </c>
      <c r="B31" s="1"/>
      <c r="C31" s="44"/>
      <c r="D31" s="38"/>
      <c r="E31" s="38"/>
      <c r="F31" s="38"/>
      <c r="G31" s="43"/>
      <c r="H31" s="40"/>
    </row>
    <row r="32" spans="1:8" x14ac:dyDescent="0.25">
      <c r="A32" s="8">
        <v>29</v>
      </c>
      <c r="B32" s="1"/>
      <c r="C32" s="44"/>
      <c r="D32" s="38"/>
      <c r="E32" s="38"/>
      <c r="F32" s="38"/>
      <c r="G32" s="43"/>
      <c r="H32" s="40"/>
    </row>
    <row r="33" spans="1:8" x14ac:dyDescent="0.25">
      <c r="A33" s="8">
        <v>30</v>
      </c>
      <c r="B33" s="1"/>
      <c r="C33" s="44"/>
      <c r="D33" s="38"/>
      <c r="E33" s="38"/>
      <c r="F33" s="38"/>
      <c r="G33" s="43"/>
      <c r="H33" s="40"/>
    </row>
  </sheetData>
  <mergeCells count="1">
    <mergeCell ref="A1:H2"/>
  </mergeCells>
  <conditionalFormatting sqref="C4:C9">
    <cfRule type="duplicateValues" priority="1"/>
  </conditionalFormatting>
  <dataValidations count="3">
    <dataValidation type="list" allowBlank="1" showInputMessage="1" showErrorMessage="1" sqref="G34:H106" xr:uid="{00000000-0002-0000-0C00-000000000000}">
      <formula1>"implist"</formula1>
    </dataValidation>
    <dataValidation type="list" allowBlank="1" showInputMessage="1" showErrorMessage="1" sqref="F4:F9" xr:uid="{00000000-0002-0000-0C00-000001000000}">
      <formula1>Status</formula1>
    </dataValidation>
    <dataValidation type="list" allowBlank="1" showInputMessage="1" showErrorMessage="1" sqref="I4:I9" xr:uid="{00000000-0002-0000-0C00-000002000000}">
      <formula1>Funding</formula1>
    </dataValidation>
  </dataValidation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I36"/>
  <sheetViews>
    <sheetView workbookViewId="0">
      <selection activeCell="J24" sqref="J24"/>
    </sheetView>
  </sheetViews>
  <sheetFormatPr defaultColWidth="14.7109375" defaultRowHeight="15" x14ac:dyDescent="0.25"/>
  <cols>
    <col min="1" max="1" width="6.140625" style="51" customWidth="1"/>
    <col min="2" max="2" width="14.7109375" style="49" customWidth="1"/>
    <col min="3" max="3" width="34.5703125" style="66"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599</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x14ac:dyDescent="0.25">
      <c r="A4" s="60">
        <v>1</v>
      </c>
      <c r="B4" s="98" t="s">
        <v>65</v>
      </c>
      <c r="C4" s="15" t="s">
        <v>66</v>
      </c>
      <c r="D4" s="15" t="s">
        <v>62</v>
      </c>
      <c r="E4" s="15"/>
      <c r="F4" s="15" t="s">
        <v>598</v>
      </c>
      <c r="G4" s="16">
        <v>3500000</v>
      </c>
      <c r="H4" s="17">
        <v>2018</v>
      </c>
      <c r="I4" s="18" t="s">
        <v>38</v>
      </c>
    </row>
    <row r="5" spans="1:9" ht="45" x14ac:dyDescent="0.25">
      <c r="A5" s="8">
        <v>2</v>
      </c>
      <c r="B5" s="11" t="s">
        <v>65</v>
      </c>
      <c r="C5" s="38" t="s">
        <v>160</v>
      </c>
      <c r="D5" s="38" t="s">
        <v>161</v>
      </c>
      <c r="E5" s="38" t="s">
        <v>162</v>
      </c>
      <c r="F5" s="11" t="s">
        <v>29</v>
      </c>
      <c r="G5" s="12">
        <v>90000</v>
      </c>
      <c r="H5" s="13">
        <v>2018</v>
      </c>
      <c r="I5" s="20" t="s">
        <v>30</v>
      </c>
    </row>
    <row r="6" spans="1:9" ht="120" x14ac:dyDescent="0.25">
      <c r="A6" s="60">
        <v>3</v>
      </c>
      <c r="B6" s="11" t="s">
        <v>65</v>
      </c>
      <c r="C6" s="11" t="s">
        <v>191</v>
      </c>
      <c r="D6" s="11" t="s">
        <v>192</v>
      </c>
      <c r="E6" s="11" t="s">
        <v>193</v>
      </c>
      <c r="F6" s="11" t="s">
        <v>29</v>
      </c>
      <c r="G6" s="12">
        <v>300000</v>
      </c>
      <c r="H6" s="13">
        <v>2018</v>
      </c>
      <c r="I6" s="20" t="s">
        <v>34</v>
      </c>
    </row>
    <row r="7" spans="1:9" ht="30" x14ac:dyDescent="0.25">
      <c r="A7" s="8">
        <v>4</v>
      </c>
      <c r="B7" s="11" t="s">
        <v>65</v>
      </c>
      <c r="C7" s="11" t="s">
        <v>208</v>
      </c>
      <c r="D7" s="11" t="s">
        <v>209</v>
      </c>
      <c r="E7" s="11" t="s">
        <v>210</v>
      </c>
      <c r="F7" s="11" t="s">
        <v>29</v>
      </c>
      <c r="G7" s="12">
        <v>250000</v>
      </c>
      <c r="H7" s="13">
        <v>2018</v>
      </c>
      <c r="I7" s="20" t="s">
        <v>30</v>
      </c>
    </row>
    <row r="8" spans="1:9" ht="30" x14ac:dyDescent="0.25">
      <c r="A8" s="60">
        <v>5</v>
      </c>
      <c r="B8" s="11" t="s">
        <v>65</v>
      </c>
      <c r="C8" s="11" t="s">
        <v>375</v>
      </c>
      <c r="D8" s="11" t="s">
        <v>376</v>
      </c>
      <c r="E8" s="11" t="s">
        <v>377</v>
      </c>
      <c r="F8" s="11" t="s">
        <v>29</v>
      </c>
      <c r="G8" s="12">
        <v>110000</v>
      </c>
      <c r="H8" s="13">
        <v>2018</v>
      </c>
      <c r="I8" s="20" t="s">
        <v>30</v>
      </c>
    </row>
    <row r="9" spans="1:9" ht="45" x14ac:dyDescent="0.25">
      <c r="A9" s="8">
        <v>6</v>
      </c>
      <c r="B9" s="11" t="s">
        <v>65</v>
      </c>
      <c r="C9" s="11" t="s">
        <v>387</v>
      </c>
      <c r="D9" s="11" t="s">
        <v>388</v>
      </c>
      <c r="E9" s="11" t="s">
        <v>389</v>
      </c>
      <c r="F9" s="11" t="s">
        <v>29</v>
      </c>
      <c r="G9" s="12">
        <v>375000</v>
      </c>
      <c r="H9" s="13">
        <v>2018</v>
      </c>
      <c r="I9" s="20" t="s">
        <v>34</v>
      </c>
    </row>
    <row r="10" spans="1:9" ht="60" x14ac:dyDescent="0.25">
      <c r="A10" s="8">
        <v>7</v>
      </c>
      <c r="B10" s="11" t="s">
        <v>65</v>
      </c>
      <c r="C10" s="11" t="s">
        <v>468</v>
      </c>
      <c r="D10" s="11" t="s">
        <v>671</v>
      </c>
      <c r="E10" s="11" t="s">
        <v>469</v>
      </c>
      <c r="F10" s="11" t="s">
        <v>29</v>
      </c>
      <c r="G10" s="12">
        <v>250000</v>
      </c>
      <c r="H10" s="13">
        <v>2018</v>
      </c>
      <c r="I10" s="20" t="s">
        <v>34</v>
      </c>
    </row>
    <row r="11" spans="1:9" x14ac:dyDescent="0.25">
      <c r="A11" s="8">
        <v>8</v>
      </c>
      <c r="B11" s="11" t="s">
        <v>65</v>
      </c>
      <c r="C11" s="11" t="s">
        <v>509</v>
      </c>
      <c r="D11" s="11"/>
      <c r="E11" s="11"/>
      <c r="F11" s="11" t="s">
        <v>29</v>
      </c>
      <c r="G11" s="12">
        <v>3500000</v>
      </c>
      <c r="H11" s="13">
        <v>2018</v>
      </c>
      <c r="I11" s="20" t="s">
        <v>34</v>
      </c>
    </row>
    <row r="12" spans="1:9" ht="45" x14ac:dyDescent="0.25">
      <c r="A12" s="8">
        <v>9</v>
      </c>
      <c r="B12" s="11" t="s">
        <v>65</v>
      </c>
      <c r="C12" s="11" t="s">
        <v>544</v>
      </c>
      <c r="D12" s="11" t="s">
        <v>545</v>
      </c>
      <c r="E12" s="11" t="s">
        <v>546</v>
      </c>
      <c r="F12" s="11" t="s">
        <v>29</v>
      </c>
      <c r="G12" s="12">
        <v>400000</v>
      </c>
      <c r="H12" s="13">
        <v>2018</v>
      </c>
      <c r="I12" s="20" t="s">
        <v>34</v>
      </c>
    </row>
    <row r="13" spans="1:9" ht="30" x14ac:dyDescent="0.25">
      <c r="A13" s="8">
        <v>10</v>
      </c>
      <c r="B13" s="11" t="s">
        <v>65</v>
      </c>
      <c r="C13" s="11" t="s">
        <v>550</v>
      </c>
      <c r="D13" s="11" t="s">
        <v>551</v>
      </c>
      <c r="E13" s="11"/>
      <c r="F13" s="11" t="s">
        <v>29</v>
      </c>
      <c r="G13" s="12">
        <v>2000000</v>
      </c>
      <c r="H13" s="13">
        <v>2018</v>
      </c>
      <c r="I13" s="20" t="s">
        <v>34</v>
      </c>
    </row>
    <row r="14" spans="1:9" x14ac:dyDescent="0.25">
      <c r="A14" s="8">
        <v>11</v>
      </c>
      <c r="B14" s="11" t="s">
        <v>65</v>
      </c>
      <c r="C14" s="11" t="s">
        <v>555</v>
      </c>
      <c r="D14" s="11"/>
      <c r="E14" s="11"/>
      <c r="F14" s="11" t="s">
        <v>29</v>
      </c>
      <c r="G14" s="12">
        <v>5000000</v>
      </c>
      <c r="H14" s="13">
        <v>2018</v>
      </c>
      <c r="I14" s="20" t="s">
        <v>34</v>
      </c>
    </row>
    <row r="15" spans="1:9" ht="30" x14ac:dyDescent="0.25">
      <c r="A15" s="8">
        <v>12</v>
      </c>
      <c r="B15" s="11" t="s">
        <v>65</v>
      </c>
      <c r="C15" s="11" t="s">
        <v>556</v>
      </c>
      <c r="D15" s="11" t="s">
        <v>557</v>
      </c>
      <c r="E15" s="11" t="s">
        <v>558</v>
      </c>
      <c r="F15" s="11" t="s">
        <v>29</v>
      </c>
      <c r="G15" s="12">
        <v>30000</v>
      </c>
      <c r="H15" s="13">
        <v>2018</v>
      </c>
      <c r="I15" s="20" t="s">
        <v>30</v>
      </c>
    </row>
    <row r="16" spans="1:9" ht="75" x14ac:dyDescent="0.25">
      <c r="A16" s="8">
        <v>13</v>
      </c>
      <c r="B16" s="38" t="s">
        <v>65</v>
      </c>
      <c r="C16" s="38" t="s">
        <v>567</v>
      </c>
      <c r="D16" s="38" t="s">
        <v>568</v>
      </c>
      <c r="E16" s="38" t="s">
        <v>569</v>
      </c>
      <c r="F16" s="11" t="s">
        <v>29</v>
      </c>
      <c r="G16" s="39">
        <v>5000000</v>
      </c>
      <c r="H16" s="40">
        <v>2018</v>
      </c>
      <c r="I16" s="8" t="s">
        <v>34</v>
      </c>
    </row>
    <row r="17" spans="1:9" ht="30" x14ac:dyDescent="0.25">
      <c r="A17" s="8">
        <v>14</v>
      </c>
      <c r="B17" s="38" t="s">
        <v>65</v>
      </c>
      <c r="C17" s="38" t="s">
        <v>578</v>
      </c>
      <c r="D17" s="38" t="s">
        <v>579</v>
      </c>
      <c r="E17" s="38" t="s">
        <v>580</v>
      </c>
      <c r="F17" s="11" t="s">
        <v>29</v>
      </c>
      <c r="G17" s="39">
        <v>100000</v>
      </c>
      <c r="H17" s="40">
        <v>2018</v>
      </c>
      <c r="I17" s="8" t="s">
        <v>34</v>
      </c>
    </row>
    <row r="18" spans="1:9" x14ac:dyDescent="0.25">
      <c r="A18" s="8">
        <v>15</v>
      </c>
      <c r="B18" s="11"/>
      <c r="C18" s="27"/>
      <c r="D18" s="27"/>
      <c r="E18" s="27"/>
      <c r="F18" s="27"/>
      <c r="G18" s="12"/>
      <c r="H18" s="13"/>
    </row>
    <row r="19" spans="1:9" x14ac:dyDescent="0.25">
      <c r="A19" s="8">
        <v>16</v>
      </c>
      <c r="B19" s="11"/>
      <c r="C19" s="11"/>
      <c r="D19" s="11"/>
      <c r="E19" s="11"/>
      <c r="F19" s="11"/>
      <c r="G19" s="12"/>
      <c r="H19" s="13"/>
    </row>
    <row r="20" spans="1:9" x14ac:dyDescent="0.25">
      <c r="A20" s="8">
        <v>17</v>
      </c>
      <c r="B20" s="11"/>
      <c r="C20" s="11"/>
      <c r="D20" s="11"/>
      <c r="E20" s="11"/>
      <c r="F20" s="11"/>
      <c r="G20" s="12"/>
      <c r="H20" s="13"/>
    </row>
    <row r="21" spans="1:9" x14ac:dyDescent="0.25">
      <c r="A21" s="8">
        <v>18</v>
      </c>
      <c r="B21" s="11"/>
      <c r="C21" s="11"/>
      <c r="D21" s="11"/>
      <c r="E21" s="11"/>
      <c r="F21" s="11"/>
      <c r="G21" s="12"/>
      <c r="H21" s="13"/>
    </row>
    <row r="22" spans="1:9" x14ac:dyDescent="0.25">
      <c r="A22" s="8">
        <v>19</v>
      </c>
      <c r="B22" s="11"/>
      <c r="C22" s="11"/>
      <c r="D22" s="11"/>
      <c r="E22" s="11"/>
      <c r="F22" s="11"/>
      <c r="G22" s="12"/>
      <c r="H22" s="13"/>
    </row>
    <row r="23" spans="1:9" x14ac:dyDescent="0.25">
      <c r="A23" s="8">
        <v>20</v>
      </c>
      <c r="B23" s="11"/>
      <c r="C23" s="11"/>
      <c r="D23" s="11"/>
      <c r="E23" s="11"/>
      <c r="F23" s="11"/>
      <c r="G23" s="12"/>
      <c r="H23" s="13"/>
    </row>
    <row r="24" spans="1:9" x14ac:dyDescent="0.25">
      <c r="A24" s="8">
        <v>21</v>
      </c>
      <c r="B24" s="11"/>
      <c r="C24" s="11"/>
      <c r="D24" s="11"/>
      <c r="E24" s="11"/>
      <c r="F24" s="11"/>
      <c r="G24" s="12"/>
      <c r="H24" s="13"/>
    </row>
    <row r="25" spans="1:9" x14ac:dyDescent="0.25">
      <c r="A25" s="8">
        <v>22</v>
      </c>
      <c r="B25" s="11"/>
      <c r="C25" s="11"/>
      <c r="D25" s="11"/>
      <c r="E25" s="11"/>
      <c r="F25" s="11"/>
      <c r="G25" s="12"/>
      <c r="H25" s="13"/>
    </row>
    <row r="26" spans="1:9" x14ac:dyDescent="0.25">
      <c r="A26" s="8">
        <v>23</v>
      </c>
      <c r="B26" s="11"/>
      <c r="C26" s="11"/>
      <c r="D26" s="11"/>
      <c r="E26" s="11"/>
      <c r="F26" s="11"/>
      <c r="G26" s="12"/>
      <c r="H26" s="13"/>
    </row>
    <row r="27" spans="1:9" x14ac:dyDescent="0.25">
      <c r="A27" s="8">
        <v>24</v>
      </c>
      <c r="B27" s="11"/>
      <c r="C27" s="11"/>
      <c r="D27" s="11"/>
      <c r="E27" s="11"/>
      <c r="F27" s="11"/>
      <c r="G27" s="12"/>
      <c r="H27" s="13"/>
    </row>
    <row r="28" spans="1:9" x14ac:dyDescent="0.25">
      <c r="A28" s="8">
        <v>25</v>
      </c>
      <c r="B28" s="11"/>
      <c r="C28" s="11"/>
      <c r="D28" s="11"/>
      <c r="E28" s="11"/>
      <c r="F28" s="11"/>
      <c r="G28" s="12"/>
      <c r="H28" s="13"/>
    </row>
    <row r="29" spans="1:9" x14ac:dyDescent="0.25">
      <c r="A29" s="8">
        <v>26</v>
      </c>
      <c r="B29" s="11"/>
      <c r="C29" s="11"/>
      <c r="D29" s="11"/>
      <c r="E29" s="11"/>
      <c r="F29" s="11"/>
      <c r="G29" s="12"/>
      <c r="H29" s="13"/>
    </row>
    <row r="30" spans="1:9" x14ac:dyDescent="0.25">
      <c r="A30" s="8">
        <v>27</v>
      </c>
      <c r="B30" s="11"/>
      <c r="C30" s="11"/>
      <c r="D30" s="11"/>
      <c r="E30" s="11"/>
      <c r="F30" s="11"/>
      <c r="G30" s="12"/>
      <c r="H30" s="13"/>
    </row>
    <row r="31" spans="1:9" x14ac:dyDescent="0.25">
      <c r="A31" s="8">
        <v>28</v>
      </c>
      <c r="B31" s="11"/>
      <c r="C31" s="11"/>
      <c r="D31" s="11"/>
      <c r="E31" s="11"/>
      <c r="F31" s="11"/>
      <c r="G31" s="12"/>
      <c r="H31" s="13"/>
    </row>
    <row r="32" spans="1:9" x14ac:dyDescent="0.25">
      <c r="A32" s="8">
        <v>29</v>
      </c>
      <c r="B32" s="11"/>
      <c r="C32" s="11"/>
      <c r="D32" s="11"/>
      <c r="E32" s="11"/>
      <c r="F32" s="11"/>
      <c r="G32" s="12"/>
      <c r="H32" s="13"/>
    </row>
    <row r="33" spans="1:8" x14ac:dyDescent="0.25">
      <c r="A33" s="8">
        <v>30</v>
      </c>
      <c r="B33" s="11"/>
      <c r="C33" s="11"/>
      <c r="D33" s="11"/>
      <c r="E33" s="11"/>
      <c r="F33" s="11"/>
      <c r="G33" s="12"/>
      <c r="H33" s="13"/>
    </row>
    <row r="34" spans="1:8" x14ac:dyDescent="0.25">
      <c r="A34" s="8">
        <v>31</v>
      </c>
      <c r="B34" s="11"/>
      <c r="C34" s="11"/>
      <c r="D34" s="11"/>
      <c r="E34" s="11"/>
      <c r="F34" s="11"/>
      <c r="G34" s="12"/>
      <c r="H34" s="13"/>
    </row>
    <row r="35" spans="1:8" x14ac:dyDescent="0.25">
      <c r="A35" s="8">
        <v>32</v>
      </c>
      <c r="B35" s="11"/>
      <c r="C35" s="38"/>
      <c r="D35" s="38"/>
      <c r="E35" s="38"/>
      <c r="F35" s="38"/>
      <c r="G35" s="39"/>
      <c r="H35" s="40"/>
    </row>
    <row r="36" spans="1:8" x14ac:dyDescent="0.25">
      <c r="A36" s="8">
        <v>33</v>
      </c>
      <c r="B36" s="11"/>
      <c r="C36" s="38"/>
      <c r="D36" s="38"/>
      <c r="E36" s="38"/>
      <c r="F36" s="38"/>
      <c r="G36" s="39"/>
      <c r="H36" s="40"/>
    </row>
  </sheetData>
  <mergeCells count="1">
    <mergeCell ref="A1:H2"/>
  </mergeCells>
  <conditionalFormatting sqref="C4:C17">
    <cfRule type="duplicateValues" priority="1"/>
  </conditionalFormatting>
  <dataValidations count="3">
    <dataValidation type="list" allowBlank="1" showInputMessage="1" showErrorMessage="1" sqref="G37:H109" xr:uid="{00000000-0002-0000-0D00-000000000000}">
      <formula1>"implist"</formula1>
    </dataValidation>
    <dataValidation type="list" allowBlank="1" showInputMessage="1" showErrorMessage="1" sqref="F4:F17" xr:uid="{00000000-0002-0000-0D00-000001000000}">
      <formula1>Status</formula1>
    </dataValidation>
    <dataValidation type="list" allowBlank="1" showInputMessage="1" showErrorMessage="1" sqref="I4:I17" xr:uid="{00000000-0002-0000-0D00-000002000000}">
      <formula1>Funding</formula1>
    </dataValidation>
  </dataValidation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41"/>
  <sheetViews>
    <sheetView workbookViewId="0">
      <selection activeCell="J24" sqref="J24"/>
    </sheetView>
  </sheetViews>
  <sheetFormatPr defaultColWidth="14.7109375" defaultRowHeight="15" x14ac:dyDescent="0.25"/>
  <cols>
    <col min="1" max="1" width="6.140625" style="51" customWidth="1"/>
    <col min="2" max="2" width="19.7109375" style="49" customWidth="1"/>
    <col min="3" max="3" width="34.5703125" style="66"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600</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82" t="s">
        <v>48</v>
      </c>
      <c r="B3" s="63" t="s">
        <v>49</v>
      </c>
      <c r="C3" s="63" t="s">
        <v>50</v>
      </c>
      <c r="D3" s="64" t="s">
        <v>51</v>
      </c>
      <c r="E3" s="64" t="s">
        <v>52</v>
      </c>
      <c r="F3" s="53" t="s">
        <v>595</v>
      </c>
      <c r="G3" s="55" t="s">
        <v>54</v>
      </c>
      <c r="H3" s="56" t="s">
        <v>596</v>
      </c>
      <c r="I3" s="134" t="s">
        <v>23</v>
      </c>
    </row>
    <row r="4" spans="1:9" ht="75" x14ac:dyDescent="0.25">
      <c r="A4" s="8">
        <v>1</v>
      </c>
      <c r="B4" s="15" t="s">
        <v>91</v>
      </c>
      <c r="C4" s="15" t="s">
        <v>677</v>
      </c>
      <c r="D4" s="15" t="s">
        <v>678</v>
      </c>
      <c r="E4" s="15" t="s">
        <v>98</v>
      </c>
      <c r="F4" s="15" t="s">
        <v>598</v>
      </c>
      <c r="G4" s="16">
        <v>350000</v>
      </c>
      <c r="H4" s="17">
        <v>2018</v>
      </c>
      <c r="I4" s="20" t="s">
        <v>30</v>
      </c>
    </row>
    <row r="5" spans="1:9" ht="90" x14ac:dyDescent="0.25">
      <c r="A5" s="8">
        <v>2</v>
      </c>
      <c r="B5" s="15" t="s">
        <v>91</v>
      </c>
      <c r="C5" s="15" t="s">
        <v>194</v>
      </c>
      <c r="D5" s="15" t="s">
        <v>195</v>
      </c>
      <c r="E5" s="108" t="s">
        <v>649</v>
      </c>
      <c r="F5" s="15" t="s">
        <v>598</v>
      </c>
      <c r="G5" s="16">
        <v>10000</v>
      </c>
      <c r="H5" s="17">
        <v>2018</v>
      </c>
      <c r="I5" s="20" t="s">
        <v>30</v>
      </c>
    </row>
    <row r="6" spans="1:9" ht="30" x14ac:dyDescent="0.25">
      <c r="A6" s="8">
        <v>3</v>
      </c>
      <c r="B6" s="11" t="s">
        <v>91</v>
      </c>
      <c r="C6" s="11" t="s">
        <v>92</v>
      </c>
      <c r="D6" s="11" t="s">
        <v>93</v>
      </c>
      <c r="E6" s="11" t="s">
        <v>641</v>
      </c>
      <c r="F6" s="11" t="s">
        <v>29</v>
      </c>
      <c r="G6" s="12">
        <v>250000</v>
      </c>
      <c r="H6" s="13">
        <v>2018</v>
      </c>
      <c r="I6" s="20" t="s">
        <v>30</v>
      </c>
    </row>
    <row r="7" spans="1:9" ht="60" x14ac:dyDescent="0.25">
      <c r="A7" s="8">
        <v>4</v>
      </c>
      <c r="B7" s="11" t="s">
        <v>91</v>
      </c>
      <c r="C7" s="11" t="s">
        <v>357</v>
      </c>
      <c r="D7" s="11" t="s">
        <v>358</v>
      </c>
      <c r="E7" s="11" t="s">
        <v>359</v>
      </c>
      <c r="F7" s="11" t="s">
        <v>29</v>
      </c>
      <c r="G7" s="12">
        <v>250000</v>
      </c>
      <c r="H7" s="13">
        <v>2018</v>
      </c>
      <c r="I7" s="20" t="s">
        <v>30</v>
      </c>
    </row>
    <row r="8" spans="1:9" ht="45" x14ac:dyDescent="0.25">
      <c r="A8" s="8">
        <v>5</v>
      </c>
      <c r="B8" s="11" t="s">
        <v>91</v>
      </c>
      <c r="C8" s="11" t="s">
        <v>242</v>
      </c>
      <c r="D8" s="11" t="s">
        <v>243</v>
      </c>
      <c r="E8" s="11" t="s">
        <v>244</v>
      </c>
      <c r="F8" s="11" t="s">
        <v>29</v>
      </c>
      <c r="G8" s="12">
        <v>350000</v>
      </c>
      <c r="H8" s="13">
        <v>2018</v>
      </c>
      <c r="I8" s="20" t="s">
        <v>30</v>
      </c>
    </row>
    <row r="9" spans="1:9" ht="60" x14ac:dyDescent="0.25">
      <c r="A9" s="8">
        <v>6</v>
      </c>
      <c r="B9" s="11" t="s">
        <v>91</v>
      </c>
      <c r="C9" s="11" t="s">
        <v>384</v>
      </c>
      <c r="D9" s="11" t="s">
        <v>385</v>
      </c>
      <c r="E9" s="11" t="s">
        <v>386</v>
      </c>
      <c r="F9" s="11" t="s">
        <v>29</v>
      </c>
      <c r="G9" s="12">
        <v>150000</v>
      </c>
      <c r="H9" s="13">
        <v>2018</v>
      </c>
      <c r="I9" s="20" t="s">
        <v>30</v>
      </c>
    </row>
    <row r="10" spans="1:9" ht="60" x14ac:dyDescent="0.25">
      <c r="A10" s="8">
        <v>7</v>
      </c>
      <c r="B10" s="11" t="s">
        <v>91</v>
      </c>
      <c r="C10" s="11" t="s">
        <v>393</v>
      </c>
      <c r="D10" s="11" t="s">
        <v>394</v>
      </c>
      <c r="E10" s="11" t="s">
        <v>395</v>
      </c>
      <c r="F10" s="11" t="s">
        <v>29</v>
      </c>
      <c r="G10" s="12">
        <v>85000</v>
      </c>
      <c r="H10" s="13">
        <v>2018</v>
      </c>
      <c r="I10" s="20" t="s">
        <v>30</v>
      </c>
    </row>
    <row r="11" spans="1:9" ht="30" x14ac:dyDescent="0.25">
      <c r="A11" s="8">
        <v>8</v>
      </c>
      <c r="B11" s="11" t="s">
        <v>91</v>
      </c>
      <c r="C11" s="11" t="s">
        <v>481</v>
      </c>
      <c r="D11" s="11" t="s">
        <v>482</v>
      </c>
      <c r="E11" s="11" t="s">
        <v>483</v>
      </c>
      <c r="F11" s="11" t="s">
        <v>29</v>
      </c>
      <c r="G11" s="12">
        <v>150000</v>
      </c>
      <c r="H11" s="13">
        <v>2018</v>
      </c>
      <c r="I11" s="20" t="s">
        <v>34</v>
      </c>
    </row>
    <row r="12" spans="1:9" ht="30" x14ac:dyDescent="0.25">
      <c r="A12" s="8">
        <v>9</v>
      </c>
      <c r="B12" s="11" t="s">
        <v>91</v>
      </c>
      <c r="C12" s="68" t="s">
        <v>453</v>
      </c>
      <c r="D12" s="11" t="s">
        <v>454</v>
      </c>
      <c r="E12" s="11"/>
      <c r="F12" s="11" t="s">
        <v>29</v>
      </c>
      <c r="G12" s="12">
        <v>60000</v>
      </c>
      <c r="H12" s="13">
        <v>2018</v>
      </c>
      <c r="I12" s="20" t="s">
        <v>34</v>
      </c>
    </row>
    <row r="13" spans="1:9" ht="45" x14ac:dyDescent="0.25">
      <c r="A13" s="8">
        <v>10</v>
      </c>
      <c r="B13" s="11" t="s">
        <v>91</v>
      </c>
      <c r="C13" s="11" t="s">
        <v>492</v>
      </c>
      <c r="D13" s="11" t="s">
        <v>493</v>
      </c>
      <c r="E13" s="11" t="s">
        <v>494</v>
      </c>
      <c r="F13" s="11" t="s">
        <v>29</v>
      </c>
      <c r="G13" s="12">
        <v>75000</v>
      </c>
      <c r="H13" s="13">
        <v>2018</v>
      </c>
      <c r="I13" s="20" t="s">
        <v>30</v>
      </c>
    </row>
    <row r="14" spans="1:9" ht="30" x14ac:dyDescent="0.25">
      <c r="A14" s="8">
        <v>11</v>
      </c>
      <c r="B14" s="11" t="s">
        <v>91</v>
      </c>
      <c r="C14" s="11" t="s">
        <v>534</v>
      </c>
      <c r="D14" s="11"/>
      <c r="E14" s="11"/>
      <c r="F14" s="11" t="s">
        <v>29</v>
      </c>
      <c r="G14" s="12">
        <v>20000</v>
      </c>
      <c r="H14" s="13">
        <v>2018</v>
      </c>
      <c r="I14" s="20" t="s">
        <v>30</v>
      </c>
    </row>
    <row r="15" spans="1:9" x14ac:dyDescent="0.25">
      <c r="A15" s="8">
        <v>12</v>
      </c>
      <c r="B15" s="38" t="s">
        <v>91</v>
      </c>
      <c r="C15" s="38" t="s">
        <v>565</v>
      </c>
      <c r="D15" s="38"/>
      <c r="E15" s="38"/>
      <c r="F15" s="11" t="s">
        <v>29</v>
      </c>
      <c r="G15" s="39">
        <v>25000</v>
      </c>
      <c r="H15" s="40">
        <v>2018</v>
      </c>
      <c r="I15" s="20" t="s">
        <v>30</v>
      </c>
    </row>
    <row r="16" spans="1:9" x14ac:dyDescent="0.25">
      <c r="A16" s="8">
        <v>13</v>
      </c>
      <c r="B16" s="38" t="s">
        <v>91</v>
      </c>
      <c r="C16" s="38" t="s">
        <v>566</v>
      </c>
      <c r="D16" s="38"/>
      <c r="E16" s="38"/>
      <c r="F16" s="11" t="s">
        <v>29</v>
      </c>
      <c r="G16" s="12">
        <v>400000</v>
      </c>
      <c r="H16" s="40">
        <v>2018</v>
      </c>
      <c r="I16" s="20" t="s">
        <v>30</v>
      </c>
    </row>
    <row r="17" spans="1:9" x14ac:dyDescent="0.25">
      <c r="A17" s="8">
        <v>14</v>
      </c>
      <c r="B17" s="38" t="s">
        <v>91</v>
      </c>
      <c r="C17" s="38" t="s">
        <v>573</v>
      </c>
      <c r="D17" s="38"/>
      <c r="E17" s="38" t="s">
        <v>574</v>
      </c>
      <c r="F17" s="11" t="s">
        <v>29</v>
      </c>
      <c r="G17" s="12">
        <v>50000</v>
      </c>
      <c r="H17" s="40">
        <v>2018</v>
      </c>
      <c r="I17" s="20" t="s">
        <v>30</v>
      </c>
    </row>
    <row r="18" spans="1:9" x14ac:dyDescent="0.25">
      <c r="A18" s="8">
        <v>15</v>
      </c>
      <c r="B18" s="11"/>
      <c r="C18" s="11"/>
      <c r="D18" s="11"/>
      <c r="E18" s="11"/>
      <c r="F18" s="21"/>
      <c r="G18" s="12"/>
      <c r="H18" s="13"/>
      <c r="I18" s="48"/>
    </row>
    <row r="19" spans="1:9" x14ac:dyDescent="0.25">
      <c r="A19" s="8">
        <v>16</v>
      </c>
      <c r="B19" s="11"/>
      <c r="C19" s="11"/>
      <c r="D19" s="11"/>
      <c r="E19" s="11"/>
      <c r="F19" s="21"/>
      <c r="G19" s="12"/>
      <c r="H19" s="13"/>
      <c r="I19" s="48"/>
    </row>
    <row r="20" spans="1:9" x14ac:dyDescent="0.25">
      <c r="A20" s="8">
        <v>17</v>
      </c>
      <c r="B20" s="11"/>
      <c r="C20" s="11"/>
      <c r="D20" s="11"/>
      <c r="E20" s="11"/>
      <c r="F20" s="21"/>
      <c r="G20" s="12"/>
      <c r="H20" s="13"/>
      <c r="I20" s="48"/>
    </row>
    <row r="21" spans="1:9" x14ac:dyDescent="0.25">
      <c r="A21" s="8">
        <v>18</v>
      </c>
      <c r="B21" s="11"/>
      <c r="C21" s="11"/>
      <c r="D21" s="11"/>
      <c r="E21" s="11"/>
      <c r="F21" s="21"/>
      <c r="G21" s="12"/>
      <c r="H21" s="13"/>
      <c r="I21" s="48"/>
    </row>
    <row r="22" spans="1:9" x14ac:dyDescent="0.25">
      <c r="A22" s="8">
        <v>19</v>
      </c>
      <c r="B22" s="11"/>
      <c r="C22" s="11"/>
      <c r="D22" s="11"/>
      <c r="E22" s="11"/>
      <c r="F22" s="21"/>
      <c r="G22" s="12"/>
      <c r="H22" s="13"/>
      <c r="I22" s="48"/>
    </row>
    <row r="23" spans="1:9" x14ac:dyDescent="0.25">
      <c r="A23" s="8">
        <v>20</v>
      </c>
      <c r="B23" s="33"/>
      <c r="C23" s="33"/>
      <c r="D23" s="33"/>
      <c r="E23" s="33"/>
      <c r="F23" s="34"/>
      <c r="G23" s="35"/>
      <c r="H23" s="36"/>
      <c r="I23" s="48"/>
    </row>
    <row r="24" spans="1:9" x14ac:dyDescent="0.25">
      <c r="A24" s="8">
        <v>21</v>
      </c>
      <c r="B24" s="11"/>
      <c r="C24" s="11"/>
      <c r="D24" s="11"/>
      <c r="E24" s="11"/>
      <c r="F24" s="21"/>
      <c r="G24" s="12"/>
      <c r="H24" s="13"/>
      <c r="I24" s="48"/>
    </row>
    <row r="25" spans="1:9" x14ac:dyDescent="0.25">
      <c r="A25" s="8">
        <v>22</v>
      </c>
      <c r="B25" s="23"/>
      <c r="C25" s="23"/>
      <c r="D25" s="23"/>
      <c r="E25" s="23"/>
      <c r="F25" s="24"/>
      <c r="G25" s="25"/>
      <c r="H25" s="26"/>
      <c r="I25" s="48"/>
    </row>
    <row r="26" spans="1:9" x14ac:dyDescent="0.25">
      <c r="A26" s="8">
        <v>23</v>
      </c>
      <c r="B26" s="11"/>
      <c r="C26" s="11"/>
      <c r="D26" s="11"/>
      <c r="E26" s="11"/>
      <c r="F26" s="21"/>
      <c r="G26" s="12"/>
      <c r="H26" s="13"/>
      <c r="I26" s="48"/>
    </row>
    <row r="27" spans="1:9" x14ac:dyDescent="0.25">
      <c r="A27" s="8">
        <v>24</v>
      </c>
      <c r="B27" s="11"/>
      <c r="C27" s="11"/>
      <c r="D27" s="11"/>
      <c r="E27" s="11"/>
      <c r="F27" s="21"/>
      <c r="G27" s="12"/>
      <c r="H27" s="13"/>
      <c r="I27" s="48"/>
    </row>
    <row r="28" spans="1:9" x14ac:dyDescent="0.25">
      <c r="A28" s="8">
        <v>25</v>
      </c>
      <c r="B28" s="11"/>
      <c r="C28" s="11"/>
      <c r="D28" s="11"/>
      <c r="E28" s="11"/>
      <c r="F28" s="21"/>
      <c r="G28" s="12"/>
      <c r="H28" s="13"/>
      <c r="I28" s="48"/>
    </row>
    <row r="29" spans="1:9" x14ac:dyDescent="0.25">
      <c r="A29" s="8">
        <v>26</v>
      </c>
      <c r="B29" s="68"/>
      <c r="C29" s="11"/>
      <c r="D29" s="11"/>
      <c r="E29" s="11"/>
      <c r="F29" s="69"/>
      <c r="G29" s="12"/>
      <c r="H29" s="21"/>
      <c r="I29" s="48"/>
    </row>
    <row r="30" spans="1:9" x14ac:dyDescent="0.25">
      <c r="A30" s="8">
        <v>27</v>
      </c>
      <c r="B30" s="68"/>
      <c r="C30" s="11"/>
      <c r="D30" s="11"/>
      <c r="E30" s="11"/>
      <c r="F30" s="69"/>
      <c r="G30" s="12"/>
      <c r="H30" s="21"/>
      <c r="I30" s="48"/>
    </row>
    <row r="31" spans="1:9" x14ac:dyDescent="0.25">
      <c r="A31" s="8">
        <v>28</v>
      </c>
      <c r="B31" s="68"/>
      <c r="C31" s="11"/>
      <c r="D31" s="11"/>
      <c r="E31" s="11"/>
      <c r="F31" s="69"/>
      <c r="G31" s="12"/>
      <c r="H31" s="21"/>
      <c r="I31" s="48"/>
    </row>
    <row r="32" spans="1:9" x14ac:dyDescent="0.25">
      <c r="A32" s="8">
        <v>29</v>
      </c>
      <c r="B32" s="68"/>
      <c r="C32" s="11"/>
      <c r="D32" s="11"/>
      <c r="E32" s="11"/>
      <c r="F32" s="69"/>
      <c r="G32" s="12"/>
      <c r="H32" s="21"/>
      <c r="I32" s="48"/>
    </row>
    <row r="33" spans="1:9" x14ac:dyDescent="0.25">
      <c r="A33" s="8">
        <v>30</v>
      </c>
      <c r="B33" s="68"/>
      <c r="C33" s="11"/>
      <c r="D33" s="11"/>
      <c r="E33" s="11"/>
      <c r="F33" s="69"/>
      <c r="G33" s="12"/>
      <c r="H33" s="21"/>
      <c r="I33" s="48"/>
    </row>
    <row r="34" spans="1:9" x14ac:dyDescent="0.25">
      <c r="A34" s="8">
        <v>31</v>
      </c>
      <c r="B34" s="68"/>
      <c r="C34" s="11"/>
      <c r="D34" s="11"/>
      <c r="E34" s="11"/>
      <c r="F34" s="69"/>
      <c r="G34" s="12"/>
      <c r="H34" s="21"/>
      <c r="I34" s="48"/>
    </row>
    <row r="35" spans="1:9" x14ac:dyDescent="0.25">
      <c r="A35" s="8">
        <v>32</v>
      </c>
      <c r="B35" s="68"/>
      <c r="C35" s="11"/>
      <c r="D35" s="11"/>
      <c r="E35" s="11"/>
      <c r="F35" s="69"/>
      <c r="G35" s="12"/>
      <c r="H35" s="21"/>
      <c r="I35" s="48"/>
    </row>
    <row r="36" spans="1:9" x14ac:dyDescent="0.25">
      <c r="A36" s="8">
        <v>33</v>
      </c>
      <c r="B36" s="68"/>
      <c r="C36" s="11"/>
      <c r="D36" s="11"/>
      <c r="E36" s="11"/>
      <c r="F36" s="69"/>
      <c r="G36" s="12"/>
      <c r="H36" s="21"/>
      <c r="I36" s="48"/>
    </row>
    <row r="37" spans="1:9" x14ac:dyDescent="0.25">
      <c r="B37" s="70"/>
      <c r="C37" s="29"/>
      <c r="D37" s="29"/>
      <c r="E37" s="29"/>
      <c r="F37" s="71"/>
      <c r="G37" s="30"/>
      <c r="H37" s="32"/>
      <c r="I37" s="48"/>
    </row>
    <row r="38" spans="1:9" x14ac:dyDescent="0.25">
      <c r="B38" s="50"/>
      <c r="C38" s="72"/>
      <c r="D38" s="47"/>
      <c r="E38" s="73"/>
      <c r="F38" s="74"/>
      <c r="G38" s="48"/>
      <c r="H38" s="75"/>
    </row>
    <row r="39" spans="1:9" x14ac:dyDescent="0.25">
      <c r="B39" s="50"/>
      <c r="C39" s="72"/>
      <c r="D39" s="47"/>
      <c r="E39" s="73"/>
      <c r="F39" s="74"/>
      <c r="G39" s="48"/>
      <c r="H39" s="75"/>
    </row>
    <row r="40" spans="1:9" x14ac:dyDescent="0.25">
      <c r="B40" s="50"/>
      <c r="C40" s="72"/>
      <c r="D40" s="47"/>
      <c r="E40" s="73"/>
      <c r="F40" s="74"/>
      <c r="G40" s="48"/>
      <c r="H40" s="75"/>
    </row>
    <row r="41" spans="1:9" x14ac:dyDescent="0.25">
      <c r="B41" s="50"/>
      <c r="C41" s="72"/>
      <c r="D41" s="47"/>
      <c r="E41" s="73"/>
      <c r="F41" s="74"/>
      <c r="G41" s="48"/>
      <c r="H41" s="75"/>
    </row>
  </sheetData>
  <mergeCells count="1">
    <mergeCell ref="A1:H2"/>
  </mergeCells>
  <conditionalFormatting sqref="C4:C17">
    <cfRule type="duplicateValues" priority="1"/>
  </conditionalFormatting>
  <dataValidations disablePrompts="1" count="3">
    <dataValidation type="list" allowBlank="1" showInputMessage="1" showErrorMessage="1" sqref="G38:H110 G29:G37" xr:uid="{00000000-0002-0000-0E00-000000000000}">
      <formula1>"implist"</formula1>
    </dataValidation>
    <dataValidation type="list" allowBlank="1" showInputMessage="1" showErrorMessage="1" sqref="F4:F17" xr:uid="{00000000-0002-0000-0E00-000001000000}">
      <formula1>Status</formula1>
    </dataValidation>
    <dataValidation type="list" allowBlank="1" showInputMessage="1" showErrorMessage="1" sqref="I4:I17" xr:uid="{00000000-0002-0000-0E00-000002000000}">
      <formula1>Funding</formula1>
    </dataValidation>
  </dataValidation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I41"/>
  <sheetViews>
    <sheetView workbookViewId="0">
      <selection activeCell="J24" sqref="J24"/>
    </sheetView>
  </sheetViews>
  <sheetFormatPr defaultColWidth="14.7109375" defaultRowHeight="15" x14ac:dyDescent="0.25"/>
  <cols>
    <col min="1" max="1" width="6.140625" style="51" customWidth="1"/>
    <col min="2" max="2" width="19.7109375" style="49" customWidth="1"/>
    <col min="3" max="3" width="34.5703125" style="66"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67</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x14ac:dyDescent="0.25">
      <c r="A4" s="60">
        <v>1</v>
      </c>
      <c r="B4" s="98" t="s">
        <v>67</v>
      </c>
      <c r="C4" s="15" t="s">
        <v>68</v>
      </c>
      <c r="D4" s="15" t="s">
        <v>62</v>
      </c>
      <c r="E4" s="15"/>
      <c r="F4" s="15" t="s">
        <v>598</v>
      </c>
      <c r="G4" s="16">
        <v>4000000</v>
      </c>
      <c r="H4" s="17">
        <v>2018</v>
      </c>
      <c r="I4" s="20" t="s">
        <v>38</v>
      </c>
    </row>
    <row r="5" spans="1:9" ht="30" x14ac:dyDescent="0.25">
      <c r="A5" s="8">
        <v>2</v>
      </c>
      <c r="B5" s="11" t="s">
        <v>67</v>
      </c>
      <c r="C5" s="11" t="s">
        <v>425</v>
      </c>
      <c r="D5" s="11" t="s">
        <v>426</v>
      </c>
      <c r="E5" s="11" t="s">
        <v>427</v>
      </c>
      <c r="F5" s="11" t="s">
        <v>29</v>
      </c>
      <c r="G5" s="12">
        <v>275000</v>
      </c>
      <c r="H5" s="13">
        <v>2018</v>
      </c>
      <c r="I5" s="20" t="s">
        <v>30</v>
      </c>
    </row>
    <row r="6" spans="1:9" ht="45" x14ac:dyDescent="0.25">
      <c r="A6" s="60">
        <v>3</v>
      </c>
      <c r="B6" s="11" t="s">
        <v>67</v>
      </c>
      <c r="C6" s="11" t="s">
        <v>428</v>
      </c>
      <c r="D6" s="11" t="s">
        <v>429</v>
      </c>
      <c r="E6" s="11" t="s">
        <v>430</v>
      </c>
      <c r="F6" s="11" t="s">
        <v>29</v>
      </c>
      <c r="G6" s="12">
        <v>75000</v>
      </c>
      <c r="H6" s="13">
        <v>2018</v>
      </c>
      <c r="I6" s="20" t="s">
        <v>30</v>
      </c>
    </row>
    <row r="7" spans="1:9" ht="30" x14ac:dyDescent="0.25">
      <c r="A7" s="8">
        <v>4</v>
      </c>
      <c r="B7" s="11" t="s">
        <v>67</v>
      </c>
      <c r="C7" s="11" t="s">
        <v>205</v>
      </c>
      <c r="D7" s="11" t="s">
        <v>206</v>
      </c>
      <c r="E7" s="11" t="s">
        <v>207</v>
      </c>
      <c r="F7" s="11" t="s">
        <v>29</v>
      </c>
      <c r="G7" s="12">
        <v>2000000</v>
      </c>
      <c r="H7" s="13">
        <v>2018</v>
      </c>
      <c r="I7" s="20" t="s">
        <v>34</v>
      </c>
    </row>
    <row r="8" spans="1:9" ht="30" x14ac:dyDescent="0.25">
      <c r="A8" s="60">
        <v>5</v>
      </c>
      <c r="B8" s="11" t="s">
        <v>67</v>
      </c>
      <c r="C8" s="11" t="s">
        <v>437</v>
      </c>
      <c r="D8" s="11"/>
      <c r="E8" s="11"/>
      <c r="F8" s="11" t="s">
        <v>29</v>
      </c>
      <c r="G8" s="12"/>
      <c r="H8" s="13">
        <v>2018</v>
      </c>
      <c r="I8" s="20" t="s">
        <v>30</v>
      </c>
    </row>
    <row r="9" spans="1:9" ht="105" x14ac:dyDescent="0.25">
      <c r="A9" s="8">
        <v>6</v>
      </c>
      <c r="B9" s="11" t="s">
        <v>67</v>
      </c>
      <c r="C9" s="11" t="s">
        <v>419</v>
      </c>
      <c r="D9" s="11" t="s">
        <v>420</v>
      </c>
      <c r="E9" s="11" t="s">
        <v>421</v>
      </c>
      <c r="F9" s="11" t="s">
        <v>29</v>
      </c>
      <c r="G9" s="12"/>
      <c r="H9" s="13">
        <v>2018</v>
      </c>
      <c r="I9" s="20" t="s">
        <v>34</v>
      </c>
    </row>
    <row r="10" spans="1:9" ht="45" x14ac:dyDescent="0.25">
      <c r="A10" s="8">
        <v>7</v>
      </c>
      <c r="B10" s="11" t="s">
        <v>67</v>
      </c>
      <c r="C10" s="11" t="s">
        <v>431</v>
      </c>
      <c r="D10" s="11" t="s">
        <v>432</v>
      </c>
      <c r="E10" s="11" t="s">
        <v>433</v>
      </c>
      <c r="F10" s="11" t="s">
        <v>29</v>
      </c>
      <c r="G10" s="12">
        <v>25000</v>
      </c>
      <c r="H10" s="13">
        <v>2018</v>
      </c>
      <c r="I10" s="20" t="s">
        <v>30</v>
      </c>
    </row>
    <row r="11" spans="1:9" ht="75" x14ac:dyDescent="0.25">
      <c r="A11" s="8">
        <v>8</v>
      </c>
      <c r="B11" s="11" t="s">
        <v>67</v>
      </c>
      <c r="C11" s="11" t="s">
        <v>434</v>
      </c>
      <c r="D11" s="11" t="s">
        <v>435</v>
      </c>
      <c r="E11" s="11" t="s">
        <v>436</v>
      </c>
      <c r="F11" s="11" t="s">
        <v>29</v>
      </c>
      <c r="G11" s="12"/>
      <c r="H11" s="13">
        <v>2018</v>
      </c>
      <c r="I11" s="20" t="s">
        <v>30</v>
      </c>
    </row>
    <row r="12" spans="1:9" ht="75" x14ac:dyDescent="0.25">
      <c r="A12" s="8">
        <v>9</v>
      </c>
      <c r="B12" s="11" t="s">
        <v>67</v>
      </c>
      <c r="C12" s="11" t="s">
        <v>531</v>
      </c>
      <c r="D12" s="11" t="s">
        <v>532</v>
      </c>
      <c r="E12" s="11" t="s">
        <v>533</v>
      </c>
      <c r="F12" s="11" t="s">
        <v>29</v>
      </c>
      <c r="G12" s="12">
        <v>2000000</v>
      </c>
      <c r="H12" s="13">
        <v>2018</v>
      </c>
      <c r="I12" s="20" t="s">
        <v>34</v>
      </c>
    </row>
    <row r="13" spans="1:9" ht="45" x14ac:dyDescent="0.25">
      <c r="A13" s="8">
        <v>10</v>
      </c>
      <c r="B13" s="11" t="s">
        <v>67</v>
      </c>
      <c r="C13" s="11" t="s">
        <v>621</v>
      </c>
      <c r="D13" s="11" t="s">
        <v>622</v>
      </c>
      <c r="E13" s="11" t="s">
        <v>623</v>
      </c>
      <c r="F13" s="11" t="s">
        <v>29</v>
      </c>
      <c r="G13" s="106">
        <v>400000</v>
      </c>
      <c r="H13" s="13">
        <v>2019</v>
      </c>
      <c r="I13" s="13" t="s">
        <v>34</v>
      </c>
    </row>
    <row r="14" spans="1:9" ht="45" x14ac:dyDescent="0.25">
      <c r="A14" s="8">
        <v>11</v>
      </c>
      <c r="B14" s="11" t="s">
        <v>67</v>
      </c>
      <c r="C14" s="11" t="s">
        <v>618</v>
      </c>
      <c r="D14" s="11" t="s">
        <v>619</v>
      </c>
      <c r="E14" s="11" t="s">
        <v>620</v>
      </c>
      <c r="F14" s="11" t="s">
        <v>29</v>
      </c>
      <c r="G14" s="106">
        <v>500000</v>
      </c>
      <c r="H14" s="13">
        <v>2019</v>
      </c>
      <c r="I14" s="13" t="s">
        <v>34</v>
      </c>
    </row>
    <row r="15" spans="1:9" ht="45" x14ac:dyDescent="0.25">
      <c r="A15" s="8">
        <v>12</v>
      </c>
      <c r="B15" s="11" t="s">
        <v>67</v>
      </c>
      <c r="C15" s="11" t="s">
        <v>624</v>
      </c>
      <c r="D15" s="11" t="s">
        <v>625</v>
      </c>
      <c r="E15" s="11"/>
      <c r="F15" s="11" t="s">
        <v>29</v>
      </c>
      <c r="G15" s="106">
        <v>750000</v>
      </c>
      <c r="H15" s="13">
        <v>2019</v>
      </c>
      <c r="I15" s="13" t="s">
        <v>34</v>
      </c>
    </row>
    <row r="16" spans="1:9" ht="60" x14ac:dyDescent="0.25">
      <c r="A16" s="8">
        <v>13</v>
      </c>
      <c r="B16" s="11" t="s">
        <v>67</v>
      </c>
      <c r="C16" s="11" t="s">
        <v>626</v>
      </c>
      <c r="D16" s="11" t="s">
        <v>627</v>
      </c>
      <c r="E16" s="11" t="s">
        <v>628</v>
      </c>
      <c r="F16" s="11" t="s">
        <v>29</v>
      </c>
      <c r="G16" s="106"/>
      <c r="H16" s="13">
        <v>2019</v>
      </c>
      <c r="I16" s="13" t="s">
        <v>34</v>
      </c>
    </row>
    <row r="17" spans="1:9" ht="45" x14ac:dyDescent="0.25">
      <c r="A17" s="8">
        <v>14</v>
      </c>
      <c r="B17" s="11" t="s">
        <v>67</v>
      </c>
      <c r="C17" s="11" t="s">
        <v>615</v>
      </c>
      <c r="D17" s="11" t="s">
        <v>616</v>
      </c>
      <c r="E17" s="11" t="s">
        <v>617</v>
      </c>
      <c r="F17" s="11" t="s">
        <v>29</v>
      </c>
      <c r="G17" s="106">
        <v>1500000</v>
      </c>
      <c r="H17" s="13">
        <v>2019</v>
      </c>
      <c r="I17" s="13" t="s">
        <v>34</v>
      </c>
    </row>
    <row r="18" spans="1:9" x14ac:dyDescent="0.25">
      <c r="A18" s="8">
        <v>15</v>
      </c>
      <c r="B18" s="11"/>
      <c r="C18" s="11"/>
      <c r="D18" s="11"/>
      <c r="E18" s="11"/>
      <c r="F18" s="11"/>
      <c r="G18" s="12"/>
      <c r="H18" s="40"/>
      <c r="I18" s="48"/>
    </row>
    <row r="19" spans="1:9" x14ac:dyDescent="0.25">
      <c r="A19" s="8">
        <v>16</v>
      </c>
      <c r="B19" s="11"/>
      <c r="C19" s="11"/>
      <c r="D19" s="11"/>
      <c r="E19" s="11"/>
      <c r="F19" s="11"/>
      <c r="G19" s="12"/>
      <c r="H19" s="40"/>
      <c r="I19" s="48"/>
    </row>
    <row r="20" spans="1:9" x14ac:dyDescent="0.25">
      <c r="A20" s="8">
        <v>17</v>
      </c>
      <c r="B20" s="29"/>
      <c r="C20" s="70"/>
      <c r="D20" s="29"/>
      <c r="E20" s="29"/>
      <c r="F20" s="21"/>
      <c r="G20" s="122"/>
      <c r="H20" s="13"/>
      <c r="I20" s="48"/>
    </row>
    <row r="21" spans="1:9" x14ac:dyDescent="0.25">
      <c r="A21" s="8">
        <v>18</v>
      </c>
      <c r="B21" s="29"/>
      <c r="C21" s="70"/>
      <c r="D21" s="29"/>
      <c r="E21" s="29"/>
      <c r="F21" s="21"/>
      <c r="G21" s="122"/>
      <c r="H21" s="13"/>
      <c r="I21" s="48"/>
    </row>
    <row r="22" spans="1:9" x14ac:dyDescent="0.25">
      <c r="A22" s="8">
        <v>19</v>
      </c>
      <c r="B22" s="29"/>
      <c r="C22" s="70"/>
      <c r="D22" s="126"/>
      <c r="E22" s="29"/>
      <c r="F22" s="21"/>
      <c r="G22" s="122"/>
      <c r="H22" s="13"/>
      <c r="I22" s="48"/>
    </row>
    <row r="23" spans="1:9" x14ac:dyDescent="0.25">
      <c r="A23" s="8">
        <v>20</v>
      </c>
      <c r="B23" s="29"/>
      <c r="C23" s="70"/>
      <c r="D23" s="29"/>
      <c r="E23" s="29"/>
      <c r="F23" s="34"/>
      <c r="G23" s="122"/>
      <c r="H23" s="36"/>
      <c r="I23" s="48"/>
    </row>
    <row r="24" spans="1:9" x14ac:dyDescent="0.25">
      <c r="A24" s="8">
        <v>21</v>
      </c>
      <c r="B24" s="29"/>
      <c r="C24" s="70"/>
      <c r="D24" s="29"/>
      <c r="E24" s="29"/>
      <c r="F24" s="21"/>
      <c r="G24" s="12"/>
      <c r="H24" s="13"/>
      <c r="I24" s="48"/>
    </row>
    <row r="25" spans="1:9" x14ac:dyDescent="0.25">
      <c r="A25" s="8">
        <v>22</v>
      </c>
      <c r="B25" s="23"/>
      <c r="C25" s="23"/>
      <c r="D25" s="23"/>
      <c r="E25" s="23"/>
      <c r="F25" s="24"/>
      <c r="G25" s="25"/>
      <c r="H25" s="26"/>
      <c r="I25" s="48"/>
    </row>
    <row r="26" spans="1:9" x14ac:dyDescent="0.25">
      <c r="A26" s="8">
        <v>23</v>
      </c>
      <c r="B26" s="11"/>
      <c r="C26" s="11"/>
      <c r="D26" s="11"/>
      <c r="E26" s="11"/>
      <c r="F26" s="21"/>
      <c r="G26" s="12"/>
      <c r="H26" s="13"/>
      <c r="I26" s="48"/>
    </row>
    <row r="27" spans="1:9" x14ac:dyDescent="0.25">
      <c r="A27" s="8">
        <v>24</v>
      </c>
      <c r="B27" s="11"/>
      <c r="C27" s="11"/>
      <c r="D27" s="11"/>
      <c r="E27" s="11"/>
      <c r="F27" s="21"/>
      <c r="G27" s="12"/>
      <c r="H27" s="13"/>
      <c r="I27" s="48"/>
    </row>
    <row r="28" spans="1:9" x14ac:dyDescent="0.25">
      <c r="A28" s="8">
        <v>25</v>
      </c>
      <c r="B28" s="11"/>
      <c r="C28" s="11"/>
      <c r="D28" s="11"/>
      <c r="E28" s="11"/>
      <c r="F28" s="21"/>
      <c r="G28" s="12"/>
      <c r="H28" s="13"/>
      <c r="I28" s="48"/>
    </row>
    <row r="29" spans="1:9" x14ac:dyDescent="0.25">
      <c r="A29" s="8">
        <v>26</v>
      </c>
      <c r="B29" s="68"/>
      <c r="C29" s="11"/>
      <c r="D29" s="11"/>
      <c r="E29" s="11"/>
      <c r="F29" s="69"/>
      <c r="G29" s="12"/>
      <c r="H29" s="21"/>
      <c r="I29" s="48"/>
    </row>
    <row r="30" spans="1:9" x14ac:dyDescent="0.25">
      <c r="A30" s="8">
        <v>27</v>
      </c>
      <c r="B30" s="68"/>
      <c r="C30" s="11"/>
      <c r="D30" s="11"/>
      <c r="E30" s="11"/>
      <c r="F30" s="69"/>
      <c r="G30" s="12"/>
      <c r="H30" s="21"/>
      <c r="I30" s="48"/>
    </row>
    <row r="31" spans="1:9" x14ac:dyDescent="0.25">
      <c r="A31" s="8">
        <v>28</v>
      </c>
      <c r="B31" s="68"/>
      <c r="C31" s="11"/>
      <c r="D31" s="11"/>
      <c r="E31" s="11"/>
      <c r="F31" s="69"/>
      <c r="G31" s="12"/>
      <c r="H31" s="21"/>
      <c r="I31" s="48"/>
    </row>
    <row r="32" spans="1:9" x14ac:dyDescent="0.25">
      <c r="A32" s="8">
        <v>29</v>
      </c>
      <c r="B32" s="68"/>
      <c r="C32" s="11"/>
      <c r="D32" s="11"/>
      <c r="E32" s="11"/>
      <c r="F32" s="69"/>
      <c r="G32" s="12"/>
      <c r="H32" s="21"/>
      <c r="I32" s="48"/>
    </row>
    <row r="33" spans="1:9" x14ac:dyDescent="0.25">
      <c r="A33" s="8">
        <v>30</v>
      </c>
      <c r="B33" s="68"/>
      <c r="C33" s="11"/>
      <c r="D33" s="11"/>
      <c r="E33" s="11"/>
      <c r="F33" s="69"/>
      <c r="G33" s="12"/>
      <c r="H33" s="21"/>
      <c r="I33" s="48"/>
    </row>
    <row r="34" spans="1:9" x14ac:dyDescent="0.25">
      <c r="A34" s="8">
        <v>31</v>
      </c>
      <c r="B34" s="68"/>
      <c r="C34" s="11"/>
      <c r="D34" s="11"/>
      <c r="E34" s="11"/>
      <c r="F34" s="69"/>
      <c r="G34" s="12"/>
      <c r="H34" s="21"/>
      <c r="I34" s="48"/>
    </row>
    <row r="35" spans="1:9" x14ac:dyDescent="0.25">
      <c r="A35" s="8">
        <v>32</v>
      </c>
      <c r="B35" s="68"/>
      <c r="C35" s="11"/>
      <c r="D35" s="11"/>
      <c r="E35" s="11"/>
      <c r="F35" s="69"/>
      <c r="G35" s="12"/>
      <c r="H35" s="21"/>
      <c r="I35" s="48"/>
    </row>
    <row r="36" spans="1:9" x14ac:dyDescent="0.25">
      <c r="A36" s="8">
        <v>33</v>
      </c>
      <c r="B36" s="68"/>
      <c r="C36" s="11"/>
      <c r="D36" s="11"/>
      <c r="E36" s="11"/>
      <c r="F36" s="69"/>
      <c r="G36" s="12"/>
      <c r="H36" s="21"/>
      <c r="I36" s="48"/>
    </row>
    <row r="37" spans="1:9" x14ac:dyDescent="0.25">
      <c r="B37" s="70"/>
      <c r="C37" s="29"/>
      <c r="D37" s="29"/>
      <c r="E37" s="29"/>
      <c r="F37" s="71"/>
      <c r="G37" s="30"/>
      <c r="H37" s="32"/>
      <c r="I37" s="48"/>
    </row>
    <row r="38" spans="1:9" x14ac:dyDescent="0.25">
      <c r="B38" s="50"/>
      <c r="C38" s="72"/>
      <c r="D38" s="47"/>
      <c r="E38" s="73"/>
      <c r="F38" s="74"/>
      <c r="G38" s="48"/>
      <c r="H38" s="75"/>
    </row>
    <row r="39" spans="1:9" x14ac:dyDescent="0.25">
      <c r="B39" s="50"/>
      <c r="C39" s="72"/>
      <c r="D39" s="47"/>
      <c r="E39" s="73"/>
      <c r="F39" s="74"/>
      <c r="G39" s="48"/>
      <c r="H39" s="75"/>
    </row>
    <row r="40" spans="1:9" x14ac:dyDescent="0.25">
      <c r="B40" s="50"/>
      <c r="C40" s="72"/>
      <c r="D40" s="47"/>
      <c r="E40" s="73"/>
      <c r="F40" s="74"/>
      <c r="G40" s="48"/>
      <c r="H40" s="75"/>
    </row>
    <row r="41" spans="1:9" x14ac:dyDescent="0.25">
      <c r="B41" s="50"/>
      <c r="C41" s="72"/>
      <c r="D41" s="47"/>
      <c r="E41" s="73"/>
      <c r="F41" s="74"/>
      <c r="G41" s="48"/>
      <c r="H41" s="75"/>
    </row>
  </sheetData>
  <mergeCells count="1">
    <mergeCell ref="A1:H2"/>
  </mergeCells>
  <conditionalFormatting sqref="C4:C17">
    <cfRule type="duplicateValues" priority="1"/>
  </conditionalFormatting>
  <dataValidations count="3">
    <dataValidation type="list" allowBlank="1" showInputMessage="1" showErrorMessage="1" sqref="G38:H110 G29:G37" xr:uid="{00000000-0002-0000-0F00-000000000000}">
      <formula1>"implist"</formula1>
    </dataValidation>
    <dataValidation type="list" allowBlank="1" showInputMessage="1" showErrorMessage="1" sqref="F4:F19" xr:uid="{00000000-0002-0000-0F00-000001000000}">
      <formula1>Status</formula1>
    </dataValidation>
    <dataValidation type="list" allowBlank="1" showInputMessage="1" showErrorMessage="1" sqref="I4:I17" xr:uid="{00000000-0002-0000-0F00-000002000000}">
      <formula1>Funding</formula1>
    </dataValidation>
  </dataValidation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I55"/>
  <sheetViews>
    <sheetView workbookViewId="0">
      <selection activeCell="J24" sqref="J24"/>
    </sheetView>
  </sheetViews>
  <sheetFormatPr defaultColWidth="14.7109375" defaultRowHeight="15" x14ac:dyDescent="0.25"/>
  <cols>
    <col min="1" max="1" width="6.140625" style="51" customWidth="1"/>
    <col min="2" max="2" width="19.7109375" style="49" customWidth="1"/>
    <col min="3" max="3" width="34.5703125" style="66" customWidth="1"/>
    <col min="4" max="4" width="24.7109375" style="9" customWidth="1"/>
    <col min="5" max="5" width="24.7109375" style="45" customWidth="1"/>
    <col min="6" max="6" width="24.7109375" style="52" customWidth="1"/>
    <col min="7" max="7" width="18.140625" customWidth="1"/>
    <col min="8" max="8" width="24.7109375" style="58" customWidth="1"/>
  </cols>
  <sheetData>
    <row r="1" spans="1:9" ht="30" customHeight="1" x14ac:dyDescent="0.25">
      <c r="A1" s="379" t="s">
        <v>602</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x14ac:dyDescent="0.25">
      <c r="A4" s="60">
        <v>1</v>
      </c>
      <c r="B4" s="15" t="s">
        <v>69</v>
      </c>
      <c r="C4" s="15" t="s">
        <v>9</v>
      </c>
      <c r="D4" s="15" t="s">
        <v>62</v>
      </c>
      <c r="E4" s="15"/>
      <c r="F4" s="15" t="s">
        <v>598</v>
      </c>
      <c r="G4" s="16">
        <v>500000</v>
      </c>
      <c r="H4" s="17">
        <v>2018</v>
      </c>
      <c r="I4" s="18" t="s">
        <v>38</v>
      </c>
    </row>
    <row r="5" spans="1:9" ht="60" x14ac:dyDescent="0.25">
      <c r="A5" s="8">
        <v>2</v>
      </c>
      <c r="B5" s="11" t="s">
        <v>299</v>
      </c>
      <c r="C5" s="11" t="s">
        <v>300</v>
      </c>
      <c r="D5" s="11" t="s">
        <v>301</v>
      </c>
      <c r="E5" s="11" t="s">
        <v>302</v>
      </c>
      <c r="F5" s="11" t="s">
        <v>29</v>
      </c>
      <c r="G5" s="22">
        <v>35000</v>
      </c>
      <c r="H5" s="13">
        <v>2018</v>
      </c>
      <c r="I5" s="20" t="s">
        <v>30</v>
      </c>
    </row>
    <row r="6" spans="1:9" ht="105" x14ac:dyDescent="0.25">
      <c r="A6" s="60">
        <v>3</v>
      </c>
      <c r="B6" s="11" t="s">
        <v>143</v>
      </c>
      <c r="C6" s="11" t="s">
        <v>333</v>
      </c>
      <c r="D6" s="11" t="s">
        <v>334</v>
      </c>
      <c r="E6" s="11" t="s">
        <v>335</v>
      </c>
      <c r="F6" s="11" t="s">
        <v>29</v>
      </c>
      <c r="G6" s="22">
        <v>40000</v>
      </c>
      <c r="H6" s="13">
        <v>2018</v>
      </c>
      <c r="I6" s="20" t="s">
        <v>30</v>
      </c>
    </row>
    <row r="7" spans="1:9" ht="75" x14ac:dyDescent="0.25">
      <c r="A7" s="8">
        <v>4</v>
      </c>
      <c r="B7" s="11" t="s">
        <v>143</v>
      </c>
      <c r="C7" s="38" t="s">
        <v>163</v>
      </c>
      <c r="D7" s="38" t="s">
        <v>164</v>
      </c>
      <c r="E7" s="38" t="s">
        <v>165</v>
      </c>
      <c r="F7" s="11" t="s">
        <v>29</v>
      </c>
      <c r="G7" s="22">
        <v>40000</v>
      </c>
      <c r="H7" s="13">
        <v>2018</v>
      </c>
      <c r="I7" s="20" t="s">
        <v>30</v>
      </c>
    </row>
    <row r="8" spans="1:9" ht="135" x14ac:dyDescent="0.25">
      <c r="A8" s="60">
        <v>5</v>
      </c>
      <c r="B8" s="11" t="s">
        <v>69</v>
      </c>
      <c r="C8" s="11" t="s">
        <v>378</v>
      </c>
      <c r="D8" s="11" t="s">
        <v>379</v>
      </c>
      <c r="E8" s="11" t="s">
        <v>380</v>
      </c>
      <c r="F8" s="11" t="s">
        <v>29</v>
      </c>
      <c r="G8" s="22">
        <v>20000</v>
      </c>
      <c r="H8" s="13">
        <v>2018</v>
      </c>
      <c r="I8" s="20" t="s">
        <v>34</v>
      </c>
    </row>
    <row r="9" spans="1:9" ht="105" x14ac:dyDescent="0.25">
      <c r="A9" s="8">
        <v>6</v>
      </c>
      <c r="B9" s="11" t="s">
        <v>143</v>
      </c>
      <c r="C9" s="11" t="s">
        <v>144</v>
      </c>
      <c r="D9" s="11" t="s">
        <v>145</v>
      </c>
      <c r="E9" s="11" t="s">
        <v>146</v>
      </c>
      <c r="F9" s="11" t="s">
        <v>29</v>
      </c>
      <c r="G9" s="22">
        <v>50000</v>
      </c>
      <c r="H9" s="13">
        <v>2018</v>
      </c>
      <c r="I9" s="20" t="s">
        <v>34</v>
      </c>
    </row>
    <row r="10" spans="1:9" ht="60" x14ac:dyDescent="0.25">
      <c r="A10" s="8">
        <v>7</v>
      </c>
      <c r="B10" s="11" t="s">
        <v>299</v>
      </c>
      <c r="C10" s="11" t="s">
        <v>414</v>
      </c>
      <c r="D10" s="11" t="s">
        <v>414</v>
      </c>
      <c r="E10" s="11" t="s">
        <v>415</v>
      </c>
      <c r="F10" s="11" t="s">
        <v>29</v>
      </c>
      <c r="G10" s="22">
        <v>100000</v>
      </c>
      <c r="H10" s="13">
        <v>2018</v>
      </c>
      <c r="I10" s="20" t="s">
        <v>30</v>
      </c>
    </row>
    <row r="11" spans="1:9" ht="45" x14ac:dyDescent="0.25">
      <c r="A11" s="8">
        <v>8</v>
      </c>
      <c r="B11" s="11" t="s">
        <v>143</v>
      </c>
      <c r="C11" s="38" t="s">
        <v>166</v>
      </c>
      <c r="D11" s="38" t="s">
        <v>167</v>
      </c>
      <c r="E11" s="38" t="s">
        <v>168</v>
      </c>
      <c r="F11" s="11" t="s">
        <v>29</v>
      </c>
      <c r="G11" s="22">
        <v>40000</v>
      </c>
      <c r="H11" s="13">
        <v>2018</v>
      </c>
      <c r="I11" s="20" t="s">
        <v>34</v>
      </c>
    </row>
    <row r="12" spans="1:9" ht="150" x14ac:dyDescent="0.25">
      <c r="A12" s="8">
        <v>9</v>
      </c>
      <c r="B12" s="11" t="s">
        <v>299</v>
      </c>
      <c r="C12" s="11" t="s">
        <v>450</v>
      </c>
      <c r="D12" s="11" t="s">
        <v>451</v>
      </c>
      <c r="E12" s="11" t="s">
        <v>452</v>
      </c>
      <c r="F12" s="11" t="s">
        <v>29</v>
      </c>
      <c r="G12" s="22">
        <v>50000</v>
      </c>
      <c r="H12" s="13">
        <v>2018</v>
      </c>
      <c r="I12" s="20" t="s">
        <v>34</v>
      </c>
    </row>
    <row r="13" spans="1:9" ht="30" x14ac:dyDescent="0.25">
      <c r="A13" s="8">
        <v>10</v>
      </c>
      <c r="B13" s="11" t="s">
        <v>69</v>
      </c>
      <c r="C13" s="11" t="s">
        <v>552</v>
      </c>
      <c r="D13" s="11" t="s">
        <v>553</v>
      </c>
      <c r="E13" s="11" t="s">
        <v>554</v>
      </c>
      <c r="F13" s="11" t="s">
        <v>29</v>
      </c>
      <c r="G13" s="22">
        <v>400000</v>
      </c>
      <c r="H13" s="13">
        <v>2018</v>
      </c>
      <c r="I13" s="20" t="s">
        <v>30</v>
      </c>
    </row>
    <row r="14" spans="1:9" ht="60" x14ac:dyDescent="0.25">
      <c r="A14" s="8">
        <v>11</v>
      </c>
      <c r="B14" s="33" t="s">
        <v>143</v>
      </c>
      <c r="C14" s="33" t="s">
        <v>372</v>
      </c>
      <c r="D14" s="33" t="s">
        <v>373</v>
      </c>
      <c r="E14" s="33" t="s">
        <v>374</v>
      </c>
      <c r="F14" s="33" t="s">
        <v>29</v>
      </c>
      <c r="G14" s="124">
        <v>15000000</v>
      </c>
      <c r="H14" s="36">
        <v>2018</v>
      </c>
      <c r="I14" s="103" t="s">
        <v>34</v>
      </c>
    </row>
    <row r="15" spans="1:9" x14ac:dyDescent="0.25">
      <c r="A15" s="8">
        <v>12</v>
      </c>
      <c r="B15" s="11"/>
      <c r="C15" s="11"/>
      <c r="D15" s="11"/>
      <c r="E15" s="11"/>
      <c r="F15" s="11"/>
      <c r="G15" s="80"/>
      <c r="H15" s="13"/>
      <c r="I15" s="48"/>
    </row>
    <row r="16" spans="1:9" x14ac:dyDescent="0.25">
      <c r="A16" s="8">
        <v>13</v>
      </c>
      <c r="B16" s="11"/>
      <c r="C16" s="11"/>
      <c r="D16" s="11"/>
      <c r="E16" s="11"/>
      <c r="F16" s="21"/>
      <c r="G16" s="67"/>
      <c r="H16" s="13"/>
      <c r="I16" s="48"/>
    </row>
    <row r="17" spans="1:9" x14ac:dyDescent="0.25">
      <c r="A17" s="8">
        <v>14</v>
      </c>
      <c r="B17" s="11"/>
      <c r="C17" s="11"/>
      <c r="D17" s="11"/>
      <c r="E17" s="11"/>
      <c r="F17" s="21"/>
      <c r="G17" s="12"/>
      <c r="H17" s="13"/>
      <c r="I17" s="48"/>
    </row>
    <row r="18" spans="1:9" x14ac:dyDescent="0.25">
      <c r="A18" s="8">
        <v>15</v>
      </c>
      <c r="B18" s="11"/>
      <c r="C18" s="11"/>
      <c r="D18" s="11"/>
      <c r="E18" s="11"/>
      <c r="F18" s="21"/>
      <c r="G18" s="12"/>
      <c r="H18" s="13"/>
      <c r="I18" s="48"/>
    </row>
    <row r="19" spans="1:9" x14ac:dyDescent="0.25">
      <c r="A19" s="8">
        <v>16</v>
      </c>
      <c r="B19" s="11"/>
      <c r="C19" s="11"/>
      <c r="D19" s="11"/>
      <c r="E19" s="11"/>
      <c r="F19" s="21"/>
      <c r="G19" s="12"/>
      <c r="H19" s="13"/>
      <c r="I19" s="48"/>
    </row>
    <row r="20" spans="1:9" x14ac:dyDescent="0.25">
      <c r="A20" s="8">
        <v>17</v>
      </c>
      <c r="B20" s="11"/>
      <c r="C20" s="11"/>
      <c r="D20" s="11"/>
      <c r="E20" s="11"/>
      <c r="F20" s="21"/>
      <c r="G20" s="12"/>
      <c r="H20" s="13"/>
      <c r="I20" s="48"/>
    </row>
    <row r="21" spans="1:9" x14ac:dyDescent="0.25">
      <c r="A21" s="8">
        <v>18</v>
      </c>
      <c r="B21" s="11"/>
      <c r="C21" s="11"/>
      <c r="D21" s="11"/>
      <c r="E21" s="11"/>
      <c r="F21" s="21"/>
      <c r="G21" s="12"/>
      <c r="H21" s="13"/>
      <c r="I21" s="48"/>
    </row>
    <row r="22" spans="1:9" x14ac:dyDescent="0.25">
      <c r="A22" s="8">
        <v>19</v>
      </c>
      <c r="B22" s="11"/>
      <c r="C22" s="11"/>
      <c r="D22" s="11"/>
      <c r="E22" s="11"/>
      <c r="F22" s="21"/>
      <c r="G22" s="12"/>
      <c r="H22" s="13"/>
      <c r="I22" s="48"/>
    </row>
    <row r="23" spans="1:9" x14ac:dyDescent="0.25">
      <c r="A23" s="8">
        <v>20</v>
      </c>
      <c r="B23" s="11"/>
      <c r="C23" s="11"/>
      <c r="D23" s="11"/>
      <c r="E23" s="11"/>
      <c r="F23" s="21"/>
      <c r="G23" s="12"/>
      <c r="H23" s="13"/>
      <c r="I23" s="48"/>
    </row>
    <row r="24" spans="1:9" x14ac:dyDescent="0.25">
      <c r="A24" s="8">
        <v>21</v>
      </c>
      <c r="B24" s="11"/>
      <c r="C24" s="11"/>
      <c r="D24" s="11"/>
      <c r="E24" s="11"/>
      <c r="F24" s="21"/>
      <c r="G24" s="12"/>
      <c r="H24" s="13"/>
      <c r="I24" s="48"/>
    </row>
    <row r="25" spans="1:9" x14ac:dyDescent="0.25">
      <c r="A25" s="8">
        <v>22</v>
      </c>
      <c r="B25" s="11"/>
      <c r="C25" s="11"/>
      <c r="D25" s="11"/>
      <c r="E25" s="11"/>
      <c r="F25" s="21"/>
      <c r="G25" s="12"/>
      <c r="H25" s="13"/>
      <c r="I25" s="48"/>
    </row>
    <row r="26" spans="1:9" x14ac:dyDescent="0.25">
      <c r="A26" s="8">
        <v>23</v>
      </c>
      <c r="B26" s="11"/>
      <c r="C26" s="11"/>
      <c r="D26" s="11"/>
      <c r="E26" s="11"/>
      <c r="F26" s="21"/>
      <c r="G26" s="12"/>
      <c r="H26" s="13"/>
      <c r="I26" s="48"/>
    </row>
    <row r="27" spans="1:9" x14ac:dyDescent="0.25">
      <c r="A27" s="8">
        <v>24</v>
      </c>
      <c r="B27" s="11"/>
      <c r="C27" s="11"/>
      <c r="D27" s="11"/>
      <c r="E27" s="11"/>
      <c r="F27" s="21"/>
      <c r="G27" s="12"/>
      <c r="H27" s="13"/>
      <c r="I27" s="48"/>
    </row>
    <row r="28" spans="1:9" x14ac:dyDescent="0.25">
      <c r="A28" s="8">
        <v>25</v>
      </c>
      <c r="B28" s="11"/>
      <c r="C28" s="11"/>
      <c r="D28" s="11"/>
      <c r="E28" s="11"/>
      <c r="F28" s="21"/>
      <c r="G28" s="12"/>
      <c r="H28" s="13"/>
      <c r="I28" s="48"/>
    </row>
    <row r="29" spans="1:9" x14ac:dyDescent="0.25">
      <c r="A29" s="8">
        <v>26</v>
      </c>
      <c r="B29" s="11"/>
      <c r="C29" s="11"/>
      <c r="D29" s="11"/>
      <c r="E29" s="11"/>
      <c r="F29" s="21"/>
      <c r="G29" s="12"/>
      <c r="H29" s="13"/>
      <c r="I29" s="48"/>
    </row>
    <row r="30" spans="1:9" x14ac:dyDescent="0.25">
      <c r="A30" s="8">
        <v>27</v>
      </c>
      <c r="B30" s="11"/>
      <c r="C30" s="11"/>
      <c r="D30" s="11"/>
      <c r="E30" s="11"/>
      <c r="F30" s="21"/>
      <c r="G30" s="12"/>
      <c r="H30" s="13"/>
      <c r="I30" s="48"/>
    </row>
    <row r="31" spans="1:9" x14ac:dyDescent="0.25">
      <c r="A31" s="8">
        <v>28</v>
      </c>
      <c r="B31" s="11"/>
      <c r="C31" s="11"/>
      <c r="D31" s="11"/>
      <c r="E31" s="11"/>
      <c r="F31" s="21"/>
      <c r="G31" s="12"/>
      <c r="H31" s="13"/>
      <c r="I31" s="48"/>
    </row>
    <row r="32" spans="1:9" x14ac:dyDescent="0.25">
      <c r="A32" s="8">
        <v>29</v>
      </c>
      <c r="B32" s="11"/>
      <c r="C32" s="11"/>
      <c r="D32" s="11"/>
      <c r="E32" s="11"/>
      <c r="F32" s="21"/>
      <c r="G32" s="12"/>
      <c r="H32" s="13"/>
      <c r="I32" s="48"/>
    </row>
    <row r="33" spans="1:9" x14ac:dyDescent="0.25">
      <c r="A33" s="8">
        <v>30</v>
      </c>
      <c r="B33" s="11"/>
      <c r="C33" s="11"/>
      <c r="D33" s="11"/>
      <c r="E33" s="11"/>
      <c r="F33" s="21"/>
      <c r="G33" s="12"/>
      <c r="H33" s="13"/>
      <c r="I33" s="48"/>
    </row>
    <row r="34" spans="1:9" x14ac:dyDescent="0.25">
      <c r="A34" s="8">
        <v>31</v>
      </c>
      <c r="B34" s="11"/>
      <c r="C34" s="11"/>
      <c r="D34" s="11"/>
      <c r="E34" s="11"/>
      <c r="F34" s="21"/>
      <c r="G34" s="12"/>
      <c r="H34" s="13"/>
      <c r="I34" s="48"/>
    </row>
    <row r="35" spans="1:9" x14ac:dyDescent="0.25">
      <c r="A35" s="8">
        <v>32</v>
      </c>
      <c r="B35" s="11"/>
      <c r="C35" s="11"/>
      <c r="D35" s="11"/>
      <c r="E35" s="11"/>
      <c r="F35" s="21"/>
      <c r="G35" s="12"/>
      <c r="H35" s="13"/>
      <c r="I35" s="48"/>
    </row>
    <row r="36" spans="1:9" x14ac:dyDescent="0.25">
      <c r="A36" s="8">
        <v>33</v>
      </c>
      <c r="B36" s="11"/>
      <c r="C36" s="11"/>
      <c r="D36" s="11"/>
      <c r="E36" s="11"/>
      <c r="F36" s="21"/>
      <c r="G36" s="12"/>
      <c r="H36" s="13"/>
      <c r="I36" s="48"/>
    </row>
    <row r="37" spans="1:9" x14ac:dyDescent="0.25">
      <c r="B37" s="11"/>
      <c r="C37" s="11"/>
      <c r="D37" s="11"/>
      <c r="E37" s="11"/>
      <c r="F37" s="21"/>
      <c r="G37" s="12"/>
      <c r="H37" s="13"/>
      <c r="I37" s="48"/>
    </row>
    <row r="38" spans="1:9" x14ac:dyDescent="0.25">
      <c r="B38" s="29"/>
      <c r="C38" s="78"/>
      <c r="D38" s="29"/>
      <c r="E38" s="29"/>
      <c r="F38" s="32"/>
      <c r="G38" s="79"/>
      <c r="H38" s="31"/>
      <c r="I38" s="48"/>
    </row>
    <row r="39" spans="1:9" x14ac:dyDescent="0.25">
      <c r="B39" s="11"/>
      <c r="C39" s="76"/>
      <c r="D39" s="11"/>
      <c r="E39" s="11"/>
      <c r="F39" s="21"/>
      <c r="G39" s="77"/>
      <c r="H39" s="13"/>
      <c r="I39" s="48"/>
    </row>
    <row r="40" spans="1:9" x14ac:dyDescent="0.25">
      <c r="B40" s="11"/>
      <c r="C40" s="76"/>
      <c r="D40" s="11"/>
      <c r="E40" s="11"/>
      <c r="F40" s="21"/>
      <c r="G40" s="77"/>
      <c r="H40" s="13"/>
      <c r="I40" s="48"/>
    </row>
    <row r="41" spans="1:9" x14ac:dyDescent="0.25">
      <c r="B41" s="11"/>
      <c r="C41" s="76"/>
      <c r="D41" s="11"/>
      <c r="E41" s="11"/>
      <c r="F41" s="21"/>
      <c r="G41" s="77"/>
      <c r="H41" s="13"/>
      <c r="I41" s="48"/>
    </row>
    <row r="42" spans="1:9" x14ac:dyDescent="0.25">
      <c r="B42" s="11"/>
      <c r="C42" s="76"/>
      <c r="D42" s="11"/>
      <c r="E42" s="11"/>
      <c r="F42" s="21"/>
      <c r="G42" s="77"/>
      <c r="H42" s="13"/>
      <c r="I42" s="48"/>
    </row>
    <row r="43" spans="1:9" x14ac:dyDescent="0.25">
      <c r="B43" s="29"/>
      <c r="C43" s="78"/>
      <c r="D43" s="29"/>
      <c r="E43" s="29"/>
      <c r="F43" s="32"/>
      <c r="G43" s="79"/>
      <c r="H43" s="31"/>
      <c r="I43" s="48"/>
    </row>
    <row r="44" spans="1:9" x14ac:dyDescent="0.25">
      <c r="B44" s="29"/>
      <c r="C44" s="78"/>
      <c r="D44" s="29"/>
      <c r="E44" s="29"/>
      <c r="F44" s="32"/>
      <c r="G44" s="79"/>
      <c r="H44" s="31"/>
      <c r="I44" s="48"/>
    </row>
    <row r="45" spans="1:9" x14ac:dyDescent="0.25">
      <c r="B45" s="11"/>
      <c r="C45" s="76"/>
      <c r="D45" s="11"/>
      <c r="E45" s="11"/>
      <c r="F45" s="21"/>
      <c r="G45" s="77"/>
      <c r="H45" s="13"/>
      <c r="I45" s="48"/>
    </row>
    <row r="46" spans="1:9" x14ac:dyDescent="0.25">
      <c r="B46" s="11"/>
      <c r="C46" s="76"/>
      <c r="D46" s="11"/>
      <c r="E46" s="11"/>
      <c r="F46" s="21"/>
      <c r="G46" s="77"/>
      <c r="H46" s="13"/>
      <c r="I46" s="48"/>
    </row>
    <row r="47" spans="1:9" x14ac:dyDescent="0.25">
      <c r="B47" s="29"/>
      <c r="C47" s="78"/>
      <c r="D47" s="29"/>
      <c r="E47" s="29"/>
      <c r="F47" s="32"/>
      <c r="G47" s="79"/>
      <c r="H47" s="31"/>
      <c r="I47" s="48"/>
    </row>
    <row r="48" spans="1:9" x14ac:dyDescent="0.25">
      <c r="B48" s="29"/>
      <c r="C48" s="78"/>
      <c r="D48" s="29"/>
      <c r="E48" s="29"/>
      <c r="F48" s="32"/>
      <c r="G48" s="79"/>
      <c r="H48" s="31"/>
      <c r="I48" s="48"/>
    </row>
    <row r="49" spans="2:8" x14ac:dyDescent="0.25">
      <c r="B49" s="50"/>
      <c r="C49" s="72"/>
      <c r="D49" s="47"/>
      <c r="E49" s="73"/>
      <c r="F49" s="74"/>
      <c r="G49" s="48"/>
      <c r="H49" s="75"/>
    </row>
    <row r="50" spans="2:8" x14ac:dyDescent="0.25">
      <c r="B50" s="50"/>
      <c r="C50" s="72"/>
      <c r="D50" s="47"/>
      <c r="E50" s="73"/>
      <c r="F50" s="74"/>
      <c r="G50" s="48"/>
      <c r="H50" s="75"/>
    </row>
    <row r="51" spans="2:8" x14ac:dyDescent="0.25">
      <c r="B51" s="50"/>
      <c r="C51" s="72"/>
      <c r="D51" s="47"/>
      <c r="E51" s="73"/>
      <c r="F51" s="74"/>
      <c r="G51" s="48"/>
      <c r="H51" s="75"/>
    </row>
    <row r="52" spans="2:8" x14ac:dyDescent="0.25">
      <c r="B52" s="50"/>
      <c r="C52" s="72"/>
      <c r="D52" s="47"/>
      <c r="E52" s="73"/>
      <c r="F52" s="74"/>
      <c r="G52" s="48"/>
      <c r="H52" s="75"/>
    </row>
    <row r="53" spans="2:8" x14ac:dyDescent="0.25">
      <c r="B53" s="50"/>
      <c r="C53" s="72"/>
      <c r="D53" s="47"/>
      <c r="E53" s="73"/>
      <c r="F53" s="74"/>
      <c r="G53" s="48"/>
      <c r="H53" s="75"/>
    </row>
    <row r="54" spans="2:8" x14ac:dyDescent="0.25">
      <c r="B54" s="50"/>
      <c r="C54" s="72"/>
      <c r="D54" s="47"/>
      <c r="E54" s="73"/>
      <c r="F54" s="74"/>
      <c r="G54" s="48"/>
      <c r="H54" s="75"/>
    </row>
    <row r="55" spans="2:8" x14ac:dyDescent="0.25">
      <c r="B55" s="50"/>
      <c r="C55" s="72"/>
      <c r="D55" s="47"/>
      <c r="E55" s="73"/>
      <c r="F55" s="74"/>
      <c r="G55" s="48"/>
      <c r="H55" s="75"/>
    </row>
  </sheetData>
  <mergeCells count="1">
    <mergeCell ref="A1:H2"/>
  </mergeCells>
  <conditionalFormatting sqref="C4:C14">
    <cfRule type="duplicateValues" priority="1"/>
  </conditionalFormatting>
  <dataValidations count="3">
    <dataValidation type="list" allowBlank="1" showInputMessage="1" showErrorMessage="1" sqref="G49:H110" xr:uid="{00000000-0002-0000-1000-000000000000}">
      <formula1>"implist"</formula1>
    </dataValidation>
    <dataValidation type="list" allowBlank="1" showInputMessage="1" showErrorMessage="1" sqref="F4:F14" xr:uid="{00000000-0002-0000-1000-000001000000}">
      <formula1>Status</formula1>
    </dataValidation>
    <dataValidation type="list" allowBlank="1" showInputMessage="1" showErrorMessage="1" sqref="I4:I14" xr:uid="{00000000-0002-0000-1000-000002000000}">
      <formula1>Funding</formula1>
    </dataValidation>
  </dataValidation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41"/>
  <sheetViews>
    <sheetView workbookViewId="0">
      <selection activeCell="J24" sqref="J24"/>
    </sheetView>
  </sheetViews>
  <sheetFormatPr defaultColWidth="14.7109375" defaultRowHeight="15" x14ac:dyDescent="0.25"/>
  <cols>
    <col min="1" max="1" width="6.140625" style="51" customWidth="1"/>
    <col min="2" max="2" width="19.7109375" style="49" customWidth="1"/>
    <col min="3" max="3" width="34.5703125" style="66"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61</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x14ac:dyDescent="0.25">
      <c r="A4" s="60">
        <v>1</v>
      </c>
      <c r="B4" s="98" t="s">
        <v>61</v>
      </c>
      <c r="C4" s="15" t="s">
        <v>4</v>
      </c>
      <c r="D4" s="15" t="s">
        <v>62</v>
      </c>
      <c r="E4" s="15"/>
      <c r="F4" s="15" t="s">
        <v>598</v>
      </c>
      <c r="G4" s="16">
        <v>4500000</v>
      </c>
      <c r="H4" s="17">
        <v>2018</v>
      </c>
      <c r="I4" s="18" t="s">
        <v>38</v>
      </c>
    </row>
    <row r="5" spans="1:9" x14ac:dyDescent="0.25">
      <c r="A5" s="8">
        <v>2</v>
      </c>
      <c r="B5" s="98" t="s">
        <v>61</v>
      </c>
      <c r="C5" s="15" t="s">
        <v>5</v>
      </c>
      <c r="D5" s="15" t="s">
        <v>62</v>
      </c>
      <c r="E5" s="15"/>
      <c r="F5" s="15" t="s">
        <v>598</v>
      </c>
      <c r="G5" s="16">
        <v>750000</v>
      </c>
      <c r="H5" s="17">
        <v>2018</v>
      </c>
      <c r="I5" s="18" t="s">
        <v>38</v>
      </c>
    </row>
    <row r="6" spans="1:9" x14ac:dyDescent="0.25">
      <c r="A6" s="60">
        <v>3</v>
      </c>
      <c r="B6" s="15" t="s">
        <v>61</v>
      </c>
      <c r="C6" s="15" t="s">
        <v>17</v>
      </c>
      <c r="D6" s="15" t="s">
        <v>62</v>
      </c>
      <c r="E6" s="15"/>
      <c r="F6" s="15" t="s">
        <v>598</v>
      </c>
      <c r="G6" s="16">
        <v>2000000</v>
      </c>
      <c r="H6" s="17">
        <v>2018</v>
      </c>
      <c r="I6" s="18" t="s">
        <v>38</v>
      </c>
    </row>
    <row r="7" spans="1:9" ht="90" x14ac:dyDescent="0.25">
      <c r="A7" s="8">
        <v>4</v>
      </c>
      <c r="B7" s="15" t="s">
        <v>61</v>
      </c>
      <c r="C7" s="15" t="s">
        <v>3</v>
      </c>
      <c r="D7" s="15" t="s">
        <v>62</v>
      </c>
      <c r="E7" s="15" t="s">
        <v>63</v>
      </c>
      <c r="F7" s="15" t="s">
        <v>598</v>
      </c>
      <c r="G7" s="16" t="s">
        <v>64</v>
      </c>
      <c r="H7" s="17">
        <v>2018</v>
      </c>
      <c r="I7" s="18" t="s">
        <v>38</v>
      </c>
    </row>
    <row r="8" spans="1:9" ht="75" x14ac:dyDescent="0.25">
      <c r="A8" s="60">
        <v>5</v>
      </c>
      <c r="B8" s="15" t="s">
        <v>61</v>
      </c>
      <c r="C8" s="15" t="s">
        <v>498</v>
      </c>
      <c r="D8" s="15" t="s">
        <v>499</v>
      </c>
      <c r="E8" s="15" t="s">
        <v>458</v>
      </c>
      <c r="F8" s="15" t="s">
        <v>598</v>
      </c>
      <c r="G8" s="16">
        <v>4000000</v>
      </c>
      <c r="H8" s="17">
        <v>2018</v>
      </c>
      <c r="I8" s="18" t="s">
        <v>34</v>
      </c>
    </row>
    <row r="9" spans="1:9" ht="75" x14ac:dyDescent="0.25">
      <c r="A9" s="8">
        <v>6</v>
      </c>
      <c r="B9" s="15" t="s">
        <v>61</v>
      </c>
      <c r="C9" s="15" t="s">
        <v>478</v>
      </c>
      <c r="D9" s="15" t="s">
        <v>479</v>
      </c>
      <c r="E9" s="15" t="s">
        <v>480</v>
      </c>
      <c r="F9" s="15" t="s">
        <v>598</v>
      </c>
      <c r="G9" s="16">
        <v>300000</v>
      </c>
      <c r="H9" s="17">
        <v>2018</v>
      </c>
      <c r="I9" s="18" t="s">
        <v>34</v>
      </c>
    </row>
    <row r="10" spans="1:9" ht="45" x14ac:dyDescent="0.25">
      <c r="A10" s="8">
        <v>7</v>
      </c>
      <c r="B10" s="11" t="s">
        <v>61</v>
      </c>
      <c r="C10" s="11" t="s">
        <v>119</v>
      </c>
      <c r="D10" s="11" t="s">
        <v>120</v>
      </c>
      <c r="E10" s="11" t="s">
        <v>121</v>
      </c>
      <c r="F10" s="11" t="s">
        <v>29</v>
      </c>
      <c r="G10" s="12">
        <v>125000</v>
      </c>
      <c r="H10" s="13">
        <v>2018</v>
      </c>
      <c r="I10" s="20" t="s">
        <v>30</v>
      </c>
    </row>
    <row r="11" spans="1:9" ht="30" x14ac:dyDescent="0.25">
      <c r="A11" s="8">
        <v>8</v>
      </c>
      <c r="B11" s="11" t="s">
        <v>61</v>
      </c>
      <c r="C11" s="11" t="s">
        <v>642</v>
      </c>
      <c r="D11" s="11" t="s">
        <v>643</v>
      </c>
      <c r="E11" s="11" t="s">
        <v>644</v>
      </c>
      <c r="F11" s="11" t="s">
        <v>29</v>
      </c>
      <c r="G11" s="12">
        <v>550000</v>
      </c>
      <c r="H11" s="13">
        <v>2018</v>
      </c>
      <c r="I11" s="13" t="s">
        <v>30</v>
      </c>
    </row>
    <row r="12" spans="1:9" ht="75" x14ac:dyDescent="0.25">
      <c r="A12" s="8">
        <v>9</v>
      </c>
      <c r="B12" s="11" t="s">
        <v>61</v>
      </c>
      <c r="C12" s="11" t="s">
        <v>116</v>
      </c>
      <c r="D12" s="11" t="s">
        <v>117</v>
      </c>
      <c r="E12" s="11" t="s">
        <v>690</v>
      </c>
      <c r="F12" s="11" t="s">
        <v>29</v>
      </c>
      <c r="G12" s="12">
        <v>750000</v>
      </c>
      <c r="H12" s="13">
        <v>2018</v>
      </c>
      <c r="I12" s="20" t="s">
        <v>30</v>
      </c>
    </row>
    <row r="13" spans="1:9" ht="120" x14ac:dyDescent="0.25">
      <c r="A13" s="8">
        <v>10</v>
      </c>
      <c r="B13" s="104" t="s">
        <v>61</v>
      </c>
      <c r="C13" s="104" t="s">
        <v>629</v>
      </c>
      <c r="D13" s="104" t="s">
        <v>630</v>
      </c>
      <c r="E13" s="105" t="s">
        <v>631</v>
      </c>
      <c r="F13" s="11" t="s">
        <v>29</v>
      </c>
      <c r="G13" s="12">
        <v>750000</v>
      </c>
      <c r="H13" s="13">
        <v>2019</v>
      </c>
      <c r="I13" s="13" t="s">
        <v>34</v>
      </c>
    </row>
    <row r="14" spans="1:9" ht="45" x14ac:dyDescent="0.25">
      <c r="A14" s="8">
        <v>11</v>
      </c>
      <c r="B14" s="11" t="s">
        <v>61</v>
      </c>
      <c r="C14" s="38" t="s">
        <v>182</v>
      </c>
      <c r="D14" s="38" t="s">
        <v>183</v>
      </c>
      <c r="E14" s="38" t="s">
        <v>184</v>
      </c>
      <c r="F14" s="11" t="s">
        <v>29</v>
      </c>
      <c r="G14" s="12">
        <v>450000</v>
      </c>
      <c r="H14" s="13">
        <v>2018</v>
      </c>
      <c r="I14" s="20" t="s">
        <v>30</v>
      </c>
    </row>
    <row r="15" spans="1:9" ht="45" x14ac:dyDescent="0.25">
      <c r="A15" s="8">
        <v>12</v>
      </c>
      <c r="B15" s="11" t="s">
        <v>61</v>
      </c>
      <c r="C15" s="38" t="s">
        <v>217</v>
      </c>
      <c r="D15" s="38" t="s">
        <v>218</v>
      </c>
      <c r="E15" s="38" t="s">
        <v>219</v>
      </c>
      <c r="F15" s="11" t="s">
        <v>29</v>
      </c>
      <c r="G15" s="12">
        <v>1500000</v>
      </c>
      <c r="H15" s="13">
        <v>2018</v>
      </c>
      <c r="I15" s="20" t="s">
        <v>34</v>
      </c>
    </row>
    <row r="16" spans="1:9" ht="45" x14ac:dyDescent="0.25">
      <c r="A16" s="8">
        <v>13</v>
      </c>
      <c r="B16" s="11" t="s">
        <v>61</v>
      </c>
      <c r="C16" s="38" t="s">
        <v>265</v>
      </c>
      <c r="D16" s="38" t="s">
        <v>662</v>
      </c>
      <c r="E16" s="38" t="s">
        <v>266</v>
      </c>
      <c r="F16" s="11" t="s">
        <v>29</v>
      </c>
      <c r="G16" s="12">
        <v>50000</v>
      </c>
      <c r="H16" s="13">
        <v>2018</v>
      </c>
      <c r="I16" s="20" t="s">
        <v>30</v>
      </c>
    </row>
    <row r="17" spans="1:9" ht="105" x14ac:dyDescent="0.25">
      <c r="A17" s="8">
        <v>14</v>
      </c>
      <c r="B17" s="11" t="s">
        <v>61</v>
      </c>
      <c r="C17" s="11" t="s">
        <v>313</v>
      </c>
      <c r="D17" s="11" t="s">
        <v>314</v>
      </c>
      <c r="E17" s="11" t="s">
        <v>315</v>
      </c>
      <c r="F17" s="11" t="s">
        <v>29</v>
      </c>
      <c r="G17" s="12">
        <v>10000000</v>
      </c>
      <c r="H17" s="13">
        <v>2018</v>
      </c>
      <c r="I17" s="20" t="s">
        <v>34</v>
      </c>
    </row>
    <row r="18" spans="1:9" ht="105" x14ac:dyDescent="0.25">
      <c r="A18" s="8">
        <v>15</v>
      </c>
      <c r="B18" s="11" t="s">
        <v>61</v>
      </c>
      <c r="C18" s="11" t="s">
        <v>316</v>
      </c>
      <c r="D18" s="11" t="s">
        <v>317</v>
      </c>
      <c r="E18" s="11" t="s">
        <v>318</v>
      </c>
      <c r="F18" s="11" t="s">
        <v>29</v>
      </c>
      <c r="G18" s="12">
        <v>3000000</v>
      </c>
      <c r="H18" s="13">
        <v>2018</v>
      </c>
      <c r="I18" s="20" t="s">
        <v>34</v>
      </c>
    </row>
    <row r="19" spans="1:9" ht="150" x14ac:dyDescent="0.25">
      <c r="A19" s="8">
        <v>16</v>
      </c>
      <c r="B19" s="11" t="s">
        <v>61</v>
      </c>
      <c r="C19" s="11" t="s">
        <v>342</v>
      </c>
      <c r="D19" s="11" t="s">
        <v>343</v>
      </c>
      <c r="E19" s="11" t="s">
        <v>344</v>
      </c>
      <c r="F19" s="11" t="s">
        <v>29</v>
      </c>
      <c r="G19" s="12">
        <v>75000</v>
      </c>
      <c r="H19" s="13">
        <v>2018</v>
      </c>
      <c r="I19" s="20" t="s">
        <v>30</v>
      </c>
    </row>
    <row r="20" spans="1:9" ht="30" x14ac:dyDescent="0.25">
      <c r="A20" s="8">
        <v>17</v>
      </c>
      <c r="B20" s="11" t="s">
        <v>61</v>
      </c>
      <c r="C20" s="11" t="s">
        <v>345</v>
      </c>
      <c r="D20" s="11" t="s">
        <v>346</v>
      </c>
      <c r="E20" s="11" t="s">
        <v>347</v>
      </c>
      <c r="F20" s="11" t="s">
        <v>29</v>
      </c>
      <c r="G20" s="12">
        <v>75000</v>
      </c>
      <c r="H20" s="13">
        <v>2018</v>
      </c>
      <c r="I20" s="20" t="s">
        <v>30</v>
      </c>
    </row>
    <row r="21" spans="1:9" ht="90" x14ac:dyDescent="0.25">
      <c r="A21" s="8">
        <v>18</v>
      </c>
      <c r="B21" s="11" t="s">
        <v>61</v>
      </c>
      <c r="C21" s="11" t="s">
        <v>348</v>
      </c>
      <c r="D21" s="11" t="s">
        <v>349</v>
      </c>
      <c r="E21" s="11" t="s">
        <v>350</v>
      </c>
      <c r="F21" s="11" t="s">
        <v>29</v>
      </c>
      <c r="G21" s="12">
        <v>125000</v>
      </c>
      <c r="H21" s="13">
        <v>2018</v>
      </c>
      <c r="I21" s="20" t="s">
        <v>30</v>
      </c>
    </row>
    <row r="22" spans="1:9" ht="60" x14ac:dyDescent="0.25">
      <c r="A22" s="8">
        <v>19</v>
      </c>
      <c r="B22" s="104" t="s">
        <v>61</v>
      </c>
      <c r="C22" s="11" t="s">
        <v>632</v>
      </c>
      <c r="D22" s="11" t="s">
        <v>636</v>
      </c>
      <c r="E22" s="69" t="s">
        <v>633</v>
      </c>
      <c r="F22" s="11" t="s">
        <v>29</v>
      </c>
      <c r="G22" s="12"/>
      <c r="H22" s="13">
        <v>2019</v>
      </c>
      <c r="I22" s="13" t="s">
        <v>34</v>
      </c>
    </row>
    <row r="23" spans="1:9" ht="60" x14ac:dyDescent="0.25">
      <c r="A23" s="8">
        <v>20</v>
      </c>
      <c r="B23" s="11" t="s">
        <v>61</v>
      </c>
      <c r="C23" s="11" t="s">
        <v>369</v>
      </c>
      <c r="D23" s="11" t="s">
        <v>370</v>
      </c>
      <c r="E23" s="11" t="s">
        <v>371</v>
      </c>
      <c r="F23" s="11" t="s">
        <v>29</v>
      </c>
      <c r="G23" s="12">
        <v>250000</v>
      </c>
      <c r="H23" s="13">
        <v>2018</v>
      </c>
      <c r="I23" s="20" t="s">
        <v>30</v>
      </c>
    </row>
    <row r="24" spans="1:9" ht="45" x14ac:dyDescent="0.25">
      <c r="A24" s="8">
        <v>21</v>
      </c>
      <c r="B24" s="11" t="s">
        <v>61</v>
      </c>
      <c r="C24" s="11" t="s">
        <v>381</v>
      </c>
      <c r="D24" s="11" t="s">
        <v>382</v>
      </c>
      <c r="E24" s="11" t="s">
        <v>383</v>
      </c>
      <c r="F24" s="11" t="s">
        <v>29</v>
      </c>
      <c r="G24" s="12">
        <v>15000000</v>
      </c>
      <c r="H24" s="13">
        <v>2018</v>
      </c>
      <c r="I24" s="20" t="s">
        <v>34</v>
      </c>
    </row>
    <row r="25" spans="1:9" ht="45" x14ac:dyDescent="0.25">
      <c r="A25" s="8">
        <v>22</v>
      </c>
      <c r="B25" s="11" t="s">
        <v>61</v>
      </c>
      <c r="C25" s="11" t="s">
        <v>396</v>
      </c>
      <c r="D25" s="11" t="s">
        <v>397</v>
      </c>
      <c r="E25" s="11" t="s">
        <v>398</v>
      </c>
      <c r="F25" s="11" t="s">
        <v>29</v>
      </c>
      <c r="G25" s="12">
        <v>300000</v>
      </c>
      <c r="H25" s="13">
        <v>2018</v>
      </c>
      <c r="I25" s="20" t="s">
        <v>30</v>
      </c>
    </row>
    <row r="26" spans="1:9" x14ac:dyDescent="0.25">
      <c r="A26" s="8">
        <v>23</v>
      </c>
      <c r="B26" s="11" t="s">
        <v>61</v>
      </c>
      <c r="C26" s="11" t="s">
        <v>441</v>
      </c>
      <c r="D26" s="11" t="s">
        <v>442</v>
      </c>
      <c r="E26" s="11" t="s">
        <v>443</v>
      </c>
      <c r="F26" s="11" t="s">
        <v>29</v>
      </c>
      <c r="G26" s="12">
        <v>100000</v>
      </c>
      <c r="H26" s="13">
        <v>2018</v>
      </c>
      <c r="I26" s="20" t="s">
        <v>30</v>
      </c>
    </row>
    <row r="27" spans="1:9" ht="45" x14ac:dyDescent="0.25">
      <c r="A27" s="8">
        <v>24</v>
      </c>
      <c r="B27" s="11" t="s">
        <v>61</v>
      </c>
      <c r="C27" s="11" t="s">
        <v>473</v>
      </c>
      <c r="D27" s="11" t="s">
        <v>474</v>
      </c>
      <c r="E27" s="11" t="s">
        <v>475</v>
      </c>
      <c r="F27" s="11" t="s">
        <v>29</v>
      </c>
      <c r="G27" s="12">
        <v>150000</v>
      </c>
      <c r="H27" s="13">
        <v>2018</v>
      </c>
      <c r="I27" s="20" t="s">
        <v>34</v>
      </c>
    </row>
    <row r="28" spans="1:9" ht="135" x14ac:dyDescent="0.25">
      <c r="A28" s="8">
        <v>25</v>
      </c>
      <c r="B28" s="11" t="s">
        <v>61</v>
      </c>
      <c r="C28" s="11" t="s">
        <v>476</v>
      </c>
      <c r="D28" s="11"/>
      <c r="E28" s="11" t="s">
        <v>477</v>
      </c>
      <c r="F28" s="11" t="s">
        <v>29</v>
      </c>
      <c r="G28" s="12">
        <v>350000</v>
      </c>
      <c r="H28" s="13">
        <v>2018</v>
      </c>
      <c r="I28" s="20" t="s">
        <v>34</v>
      </c>
    </row>
    <row r="29" spans="1:9" ht="105" x14ac:dyDescent="0.25">
      <c r="A29" s="8">
        <v>26</v>
      </c>
      <c r="B29" s="11" t="s">
        <v>61</v>
      </c>
      <c r="C29" s="11" t="s">
        <v>519</v>
      </c>
      <c r="D29" s="11" t="s">
        <v>520</v>
      </c>
      <c r="E29" s="11" t="s">
        <v>521</v>
      </c>
      <c r="F29" s="11" t="s">
        <v>29</v>
      </c>
      <c r="G29" s="12">
        <v>22000000</v>
      </c>
      <c r="H29" s="13">
        <v>2018</v>
      </c>
      <c r="I29" s="20" t="s">
        <v>34</v>
      </c>
    </row>
    <row r="30" spans="1:9" ht="75" x14ac:dyDescent="0.25">
      <c r="A30" s="8">
        <v>27</v>
      </c>
      <c r="B30" s="11" t="s">
        <v>61</v>
      </c>
      <c r="C30" s="11" t="s">
        <v>528</v>
      </c>
      <c r="D30" s="11" t="s">
        <v>529</v>
      </c>
      <c r="E30" s="11" t="s">
        <v>530</v>
      </c>
      <c r="F30" s="11" t="s">
        <v>29</v>
      </c>
      <c r="G30" s="12">
        <v>4500000</v>
      </c>
      <c r="H30" s="13">
        <v>2018</v>
      </c>
      <c r="I30" s="20" t="s">
        <v>34</v>
      </c>
    </row>
    <row r="31" spans="1:9" ht="45" x14ac:dyDescent="0.25">
      <c r="A31" s="8">
        <v>28</v>
      </c>
      <c r="B31" s="11" t="s">
        <v>61</v>
      </c>
      <c r="C31" s="11" t="s">
        <v>541</v>
      </c>
      <c r="D31" s="11" t="s">
        <v>542</v>
      </c>
      <c r="E31" s="11" t="s">
        <v>543</v>
      </c>
      <c r="F31" s="11" t="s">
        <v>29</v>
      </c>
      <c r="G31" s="12">
        <v>10000000</v>
      </c>
      <c r="H31" s="13">
        <v>2018</v>
      </c>
      <c r="I31" s="20" t="s">
        <v>34</v>
      </c>
    </row>
    <row r="32" spans="1:9" ht="195" x14ac:dyDescent="0.25">
      <c r="A32" s="8">
        <v>29</v>
      </c>
      <c r="B32" s="38" t="s">
        <v>61</v>
      </c>
      <c r="C32" s="38" t="s">
        <v>570</v>
      </c>
      <c r="D32" s="38" t="s">
        <v>571</v>
      </c>
      <c r="E32" s="38" t="s">
        <v>572</v>
      </c>
      <c r="F32" s="11" t="s">
        <v>29</v>
      </c>
      <c r="G32" s="39">
        <v>30000000</v>
      </c>
      <c r="H32" s="40">
        <v>2018</v>
      </c>
      <c r="I32" s="20" t="s">
        <v>34</v>
      </c>
    </row>
    <row r="33" spans="1:9" x14ac:dyDescent="0.25">
      <c r="A33" s="8">
        <v>30</v>
      </c>
      <c r="B33" s="11"/>
      <c r="C33" s="11"/>
      <c r="D33" s="11"/>
      <c r="E33" s="11"/>
      <c r="F33" s="21"/>
      <c r="G33" s="12"/>
      <c r="H33" s="13"/>
      <c r="I33" s="48"/>
    </row>
    <row r="34" spans="1:9" x14ac:dyDescent="0.25">
      <c r="A34" s="8">
        <v>31</v>
      </c>
      <c r="B34" s="11"/>
      <c r="C34" s="11"/>
      <c r="D34" s="11"/>
      <c r="E34" s="11"/>
      <c r="F34" s="21"/>
      <c r="G34" s="12"/>
      <c r="H34" s="13"/>
      <c r="I34" s="48"/>
    </row>
    <row r="35" spans="1:9" x14ac:dyDescent="0.25">
      <c r="A35" s="8">
        <v>32</v>
      </c>
      <c r="B35" s="11"/>
      <c r="C35" s="11"/>
      <c r="D35" s="11"/>
      <c r="E35" s="11"/>
      <c r="F35" s="21"/>
      <c r="G35" s="12"/>
      <c r="H35" s="13"/>
      <c r="I35" s="48"/>
    </row>
    <row r="36" spans="1:9" x14ac:dyDescent="0.25">
      <c r="A36" s="8">
        <v>33</v>
      </c>
      <c r="B36" s="11"/>
      <c r="C36" s="11"/>
      <c r="D36" s="11"/>
      <c r="E36" s="11"/>
      <c r="F36" s="21"/>
      <c r="G36" s="12"/>
      <c r="H36" s="13"/>
      <c r="I36" s="48"/>
    </row>
    <row r="37" spans="1:9" x14ac:dyDescent="0.25">
      <c r="B37" s="11"/>
      <c r="C37" s="11"/>
      <c r="D37" s="11"/>
      <c r="E37" s="11"/>
      <c r="F37" s="21"/>
      <c r="G37" s="12"/>
      <c r="H37" s="13"/>
      <c r="I37" s="48"/>
    </row>
    <row r="38" spans="1:9" x14ac:dyDescent="0.25">
      <c r="B38" s="104"/>
      <c r="C38" s="76"/>
      <c r="D38" s="11"/>
      <c r="E38" s="69"/>
      <c r="F38" s="127"/>
      <c r="G38" s="128"/>
      <c r="H38" s="13"/>
      <c r="I38" s="48"/>
    </row>
    <row r="39" spans="1:9" x14ac:dyDescent="0.25">
      <c r="B39" s="129"/>
      <c r="C39" s="130"/>
      <c r="D39" s="129"/>
      <c r="E39" s="131"/>
      <c r="F39" s="132"/>
      <c r="G39" s="128"/>
      <c r="H39" s="13"/>
      <c r="I39" s="48"/>
    </row>
    <row r="40" spans="1:9" x14ac:dyDescent="0.25">
      <c r="B40" s="50"/>
      <c r="C40" s="72"/>
      <c r="D40" s="47"/>
      <c r="E40" s="73"/>
      <c r="F40" s="74"/>
      <c r="G40" s="48"/>
      <c r="H40" s="75"/>
    </row>
    <row r="41" spans="1:9" x14ac:dyDescent="0.25">
      <c r="B41" s="50"/>
      <c r="C41" s="72"/>
      <c r="D41" s="47"/>
      <c r="E41" s="73"/>
      <c r="F41" s="74"/>
      <c r="G41" s="48"/>
      <c r="H41" s="75"/>
    </row>
  </sheetData>
  <mergeCells count="1">
    <mergeCell ref="A1:H2"/>
  </mergeCells>
  <conditionalFormatting sqref="C4:C32">
    <cfRule type="duplicateValues" priority="1"/>
  </conditionalFormatting>
  <dataValidations count="3">
    <dataValidation type="list" allowBlank="1" showInputMessage="1" showErrorMessage="1" sqref="G38:G110 H40:H110" xr:uid="{00000000-0002-0000-1100-000000000000}">
      <formula1>"implist"</formula1>
    </dataValidation>
    <dataValidation type="list" allowBlank="1" showInputMessage="1" showErrorMessage="1" sqref="F4:F32" xr:uid="{00000000-0002-0000-1100-000001000000}">
      <formula1>Status</formula1>
    </dataValidation>
    <dataValidation type="list" allowBlank="1" showInputMessage="1" showErrorMessage="1" sqref="I4:I32" xr:uid="{00000000-0002-0000-1100-000002000000}">
      <formula1>Funding</formula1>
    </dataValidation>
  </dataValidation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46"/>
  <sheetViews>
    <sheetView topLeftCell="A37" workbookViewId="0">
      <selection activeCell="J24" sqref="J24"/>
    </sheetView>
  </sheetViews>
  <sheetFormatPr defaultColWidth="14.7109375" defaultRowHeight="15" x14ac:dyDescent="0.25"/>
  <cols>
    <col min="1" max="1" width="6.140625" style="51" customWidth="1"/>
    <col min="2" max="2" width="19.7109375" style="49" customWidth="1"/>
    <col min="3" max="3" width="34.5703125" style="66"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70</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x14ac:dyDescent="0.25">
      <c r="A4" s="60">
        <v>1</v>
      </c>
      <c r="B4" s="15" t="s">
        <v>70</v>
      </c>
      <c r="C4" s="15" t="s">
        <v>10</v>
      </c>
      <c r="D4" s="15" t="s">
        <v>62</v>
      </c>
      <c r="E4" s="15"/>
      <c r="F4" s="15" t="s">
        <v>598</v>
      </c>
      <c r="G4" s="16">
        <v>2000000</v>
      </c>
      <c r="H4" s="17">
        <v>2018</v>
      </c>
      <c r="I4" s="18" t="s">
        <v>38</v>
      </c>
    </row>
    <row r="5" spans="1:9" x14ac:dyDescent="0.25">
      <c r="A5" s="8">
        <v>2</v>
      </c>
      <c r="B5" s="15" t="s">
        <v>70</v>
      </c>
      <c r="C5" s="15" t="s">
        <v>14</v>
      </c>
      <c r="D5" s="15" t="s">
        <v>62</v>
      </c>
      <c r="E5" s="15"/>
      <c r="F5" s="15" t="s">
        <v>598</v>
      </c>
      <c r="G5" s="16">
        <v>2000000</v>
      </c>
      <c r="H5" s="17">
        <v>2018</v>
      </c>
      <c r="I5" s="18" t="s">
        <v>38</v>
      </c>
    </row>
    <row r="6" spans="1:9" x14ac:dyDescent="0.25">
      <c r="A6" s="60">
        <v>3</v>
      </c>
      <c r="B6" s="15" t="s">
        <v>70</v>
      </c>
      <c r="C6" s="15" t="s">
        <v>18</v>
      </c>
      <c r="D6" s="15" t="s">
        <v>62</v>
      </c>
      <c r="E6" s="15"/>
      <c r="F6" s="15" t="s">
        <v>598</v>
      </c>
      <c r="G6" s="16">
        <v>1000000</v>
      </c>
      <c r="H6" s="17">
        <v>2018</v>
      </c>
      <c r="I6" s="18" t="s">
        <v>38</v>
      </c>
    </row>
    <row r="7" spans="1:9" ht="30" x14ac:dyDescent="0.25">
      <c r="A7" s="8">
        <v>4</v>
      </c>
      <c r="B7" s="15" t="s">
        <v>674</v>
      </c>
      <c r="C7" s="15" t="s">
        <v>19</v>
      </c>
      <c r="D7" s="15" t="s">
        <v>673</v>
      </c>
      <c r="E7" s="15"/>
      <c r="F7" s="15" t="s">
        <v>598</v>
      </c>
      <c r="G7" s="16">
        <v>2000000</v>
      </c>
      <c r="H7" s="17">
        <v>2018</v>
      </c>
      <c r="I7" s="18" t="s">
        <v>38</v>
      </c>
    </row>
    <row r="8" spans="1:9" ht="30" x14ac:dyDescent="0.25">
      <c r="A8" s="60">
        <v>5</v>
      </c>
      <c r="B8" s="15" t="s">
        <v>70</v>
      </c>
      <c r="C8" s="15" t="s">
        <v>122</v>
      </c>
      <c r="D8" s="15" t="s">
        <v>651</v>
      </c>
      <c r="E8" s="15" t="s">
        <v>123</v>
      </c>
      <c r="F8" s="15" t="s">
        <v>598</v>
      </c>
      <c r="G8" s="16">
        <v>500000</v>
      </c>
      <c r="H8" s="17">
        <v>2018</v>
      </c>
      <c r="I8" s="18" t="s">
        <v>30</v>
      </c>
    </row>
    <row r="9" spans="1:9" ht="30" x14ac:dyDescent="0.25">
      <c r="A9" s="8">
        <v>6</v>
      </c>
      <c r="B9" s="11" t="s">
        <v>70</v>
      </c>
      <c r="C9" s="11" t="s">
        <v>96</v>
      </c>
      <c r="D9" s="11" t="s">
        <v>97</v>
      </c>
      <c r="E9" s="11"/>
      <c r="F9" s="11" t="s">
        <v>29</v>
      </c>
      <c r="G9" s="12">
        <v>5000</v>
      </c>
      <c r="H9" s="13">
        <v>2018</v>
      </c>
      <c r="I9" s="20" t="s">
        <v>30</v>
      </c>
    </row>
    <row r="10" spans="1:9" ht="45" x14ac:dyDescent="0.25">
      <c r="A10" s="8">
        <v>7</v>
      </c>
      <c r="B10" s="11" t="s">
        <v>70</v>
      </c>
      <c r="C10" s="11" t="s">
        <v>76</v>
      </c>
      <c r="D10" s="11" t="s">
        <v>77</v>
      </c>
      <c r="E10" s="11" t="s">
        <v>78</v>
      </c>
      <c r="F10" s="11" t="s">
        <v>29</v>
      </c>
      <c r="G10" s="12">
        <v>4000</v>
      </c>
      <c r="H10" s="13">
        <v>2018</v>
      </c>
      <c r="I10" s="20" t="s">
        <v>30</v>
      </c>
    </row>
    <row r="11" spans="1:9" ht="45" x14ac:dyDescent="0.25">
      <c r="A11" s="8">
        <v>8</v>
      </c>
      <c r="B11" s="11" t="s">
        <v>70</v>
      </c>
      <c r="C11" s="11" t="s">
        <v>122</v>
      </c>
      <c r="D11" s="11" t="s">
        <v>132</v>
      </c>
      <c r="E11" s="11" t="s">
        <v>133</v>
      </c>
      <c r="F11" s="11" t="s">
        <v>29</v>
      </c>
      <c r="G11" s="12">
        <v>250000</v>
      </c>
      <c r="H11" s="13">
        <v>2018</v>
      </c>
      <c r="I11" s="20" t="s">
        <v>30</v>
      </c>
    </row>
    <row r="12" spans="1:9" ht="120" x14ac:dyDescent="0.25">
      <c r="A12" s="8">
        <v>9</v>
      </c>
      <c r="B12" s="11" t="s">
        <v>70</v>
      </c>
      <c r="C12" s="11" t="s">
        <v>141</v>
      </c>
      <c r="D12" s="11" t="s">
        <v>142</v>
      </c>
      <c r="E12" s="11"/>
      <c r="F12" s="11" t="s">
        <v>29</v>
      </c>
      <c r="G12" s="12">
        <v>100000</v>
      </c>
      <c r="H12" s="13">
        <v>2018</v>
      </c>
      <c r="I12" s="20" t="s">
        <v>30</v>
      </c>
    </row>
    <row r="13" spans="1:9" ht="60" x14ac:dyDescent="0.25">
      <c r="A13" s="8">
        <v>10</v>
      </c>
      <c r="B13" s="11" t="s">
        <v>70</v>
      </c>
      <c r="C13" s="11" t="s">
        <v>228</v>
      </c>
      <c r="D13" s="11" t="s">
        <v>229</v>
      </c>
      <c r="E13" s="11"/>
      <c r="F13" s="11" t="s">
        <v>29</v>
      </c>
      <c r="G13" s="12">
        <v>100000</v>
      </c>
      <c r="H13" s="13">
        <v>2018</v>
      </c>
      <c r="I13" s="20" t="s">
        <v>30</v>
      </c>
    </row>
    <row r="14" spans="1:9" ht="45" x14ac:dyDescent="0.25">
      <c r="A14" s="8">
        <v>11</v>
      </c>
      <c r="B14" s="11" t="s">
        <v>70</v>
      </c>
      <c r="C14" s="11" t="s">
        <v>363</v>
      </c>
      <c r="D14" s="11" t="s">
        <v>364</v>
      </c>
      <c r="E14" s="11" t="s">
        <v>365</v>
      </c>
      <c r="F14" s="11" t="s">
        <v>29</v>
      </c>
      <c r="G14" s="12">
        <v>250000</v>
      </c>
      <c r="H14" s="13">
        <v>2018</v>
      </c>
      <c r="I14" s="20" t="s">
        <v>34</v>
      </c>
    </row>
    <row r="15" spans="1:9" ht="60" x14ac:dyDescent="0.25">
      <c r="A15" s="8">
        <v>12</v>
      </c>
      <c r="B15" s="11" t="s">
        <v>70</v>
      </c>
      <c r="C15" s="11" t="s">
        <v>285</v>
      </c>
      <c r="D15" s="11" t="s">
        <v>286</v>
      </c>
      <c r="E15" s="11" t="s">
        <v>287</v>
      </c>
      <c r="F15" s="11" t="s">
        <v>29</v>
      </c>
      <c r="G15" s="12">
        <v>150000</v>
      </c>
      <c r="H15" s="13">
        <v>2018</v>
      </c>
      <c r="I15" s="20" t="s">
        <v>30</v>
      </c>
    </row>
    <row r="16" spans="1:9" x14ac:dyDescent="0.25">
      <c r="A16" s="8">
        <v>13</v>
      </c>
      <c r="B16" s="11" t="s">
        <v>70</v>
      </c>
      <c r="C16" s="11" t="s">
        <v>188</v>
      </c>
      <c r="D16" s="11" t="s">
        <v>189</v>
      </c>
      <c r="E16" s="11" t="s">
        <v>190</v>
      </c>
      <c r="F16" s="11" t="s">
        <v>29</v>
      </c>
      <c r="G16" s="12">
        <v>150000</v>
      </c>
      <c r="H16" s="13">
        <v>2018</v>
      </c>
      <c r="I16" s="20" t="s">
        <v>30</v>
      </c>
    </row>
    <row r="17" spans="1:9" ht="30" x14ac:dyDescent="0.25">
      <c r="A17" s="8">
        <v>14</v>
      </c>
      <c r="B17" s="11" t="s">
        <v>70</v>
      </c>
      <c r="C17" s="11" t="s">
        <v>147</v>
      </c>
      <c r="D17" s="11" t="s">
        <v>148</v>
      </c>
      <c r="E17" s="11"/>
      <c r="F17" s="11" t="s">
        <v>29</v>
      </c>
      <c r="G17" s="12">
        <v>75000</v>
      </c>
      <c r="H17" s="13">
        <v>2018</v>
      </c>
      <c r="I17" s="20" t="s">
        <v>34</v>
      </c>
    </row>
    <row r="18" spans="1:9" ht="30" x14ac:dyDescent="0.25">
      <c r="A18" s="8">
        <v>15</v>
      </c>
      <c r="B18" s="11" t="s">
        <v>70</v>
      </c>
      <c r="C18" s="11" t="s">
        <v>294</v>
      </c>
      <c r="D18" s="11" t="s">
        <v>295</v>
      </c>
      <c r="E18" s="11"/>
      <c r="F18" s="11" t="s">
        <v>29</v>
      </c>
      <c r="G18" s="12">
        <v>1000000</v>
      </c>
      <c r="H18" s="13">
        <v>2018</v>
      </c>
      <c r="I18" s="20" t="s">
        <v>30</v>
      </c>
    </row>
    <row r="19" spans="1:9" x14ac:dyDescent="0.25">
      <c r="A19" s="8">
        <v>16</v>
      </c>
      <c r="B19" s="11" t="s">
        <v>70</v>
      </c>
      <c r="C19" s="11" t="s">
        <v>327</v>
      </c>
      <c r="D19" s="11"/>
      <c r="E19" s="11"/>
      <c r="F19" s="11" t="s">
        <v>29</v>
      </c>
      <c r="G19" s="12">
        <v>50000</v>
      </c>
      <c r="H19" s="13">
        <v>2018</v>
      </c>
      <c r="I19" s="20" t="s">
        <v>30</v>
      </c>
    </row>
    <row r="20" spans="1:9" x14ac:dyDescent="0.25">
      <c r="A20" s="8">
        <v>17</v>
      </c>
      <c r="B20" s="11" t="s">
        <v>70</v>
      </c>
      <c r="C20" s="38" t="s">
        <v>276</v>
      </c>
      <c r="D20" s="38" t="s">
        <v>277</v>
      </c>
      <c r="E20" s="38" t="s">
        <v>278</v>
      </c>
      <c r="F20" s="11" t="s">
        <v>29</v>
      </c>
      <c r="G20" s="12">
        <v>10000</v>
      </c>
      <c r="H20" s="13">
        <v>2018</v>
      </c>
      <c r="I20" s="20" t="s">
        <v>30</v>
      </c>
    </row>
    <row r="21" spans="1:9" ht="45" x14ac:dyDescent="0.25">
      <c r="A21" s="8">
        <v>18</v>
      </c>
      <c r="B21" s="11" t="s">
        <v>70</v>
      </c>
      <c r="C21" s="11" t="s">
        <v>279</v>
      </c>
      <c r="D21" s="11" t="s">
        <v>280</v>
      </c>
      <c r="E21" s="11" t="s">
        <v>281</v>
      </c>
      <c r="F21" s="11" t="s">
        <v>29</v>
      </c>
      <c r="G21" s="12">
        <v>200000</v>
      </c>
      <c r="H21" s="13">
        <v>2018</v>
      </c>
      <c r="I21" s="20" t="s">
        <v>30</v>
      </c>
    </row>
    <row r="22" spans="1:9" ht="45" x14ac:dyDescent="0.25">
      <c r="A22" s="8">
        <v>19</v>
      </c>
      <c r="B22" s="11" t="s">
        <v>70</v>
      </c>
      <c r="C22" s="11" t="s">
        <v>282</v>
      </c>
      <c r="D22" s="11" t="s">
        <v>283</v>
      </c>
      <c r="E22" s="11" t="s">
        <v>284</v>
      </c>
      <c r="F22" s="11" t="s">
        <v>29</v>
      </c>
      <c r="G22" s="12">
        <v>60000</v>
      </c>
      <c r="H22" s="13">
        <v>2018</v>
      </c>
      <c r="I22" s="20" t="s">
        <v>30</v>
      </c>
    </row>
    <row r="23" spans="1:9" ht="60" x14ac:dyDescent="0.25">
      <c r="A23" s="8">
        <v>20</v>
      </c>
      <c r="B23" s="11" t="s">
        <v>70</v>
      </c>
      <c r="C23" s="11" t="s">
        <v>351</v>
      </c>
      <c r="D23" s="11" t="s">
        <v>352</v>
      </c>
      <c r="E23" s="11" t="s">
        <v>353</v>
      </c>
      <c r="F23" s="11" t="s">
        <v>29</v>
      </c>
      <c r="G23" s="12">
        <v>2500000</v>
      </c>
      <c r="H23" s="13">
        <v>2018</v>
      </c>
      <c r="I23" s="20" t="s">
        <v>34</v>
      </c>
    </row>
    <row r="24" spans="1:9" ht="75" x14ac:dyDescent="0.25">
      <c r="A24" s="8">
        <v>21</v>
      </c>
      <c r="B24" s="11" t="s">
        <v>70</v>
      </c>
      <c r="C24" s="11" t="s">
        <v>360</v>
      </c>
      <c r="D24" s="11" t="s">
        <v>361</v>
      </c>
      <c r="E24" s="11" t="s">
        <v>362</v>
      </c>
      <c r="F24" s="11" t="s">
        <v>29</v>
      </c>
      <c r="G24" s="12">
        <v>100000</v>
      </c>
      <c r="H24" s="13">
        <v>2018</v>
      </c>
      <c r="I24" s="20" t="s">
        <v>34</v>
      </c>
    </row>
    <row r="25" spans="1:9" ht="30" x14ac:dyDescent="0.25">
      <c r="A25" s="8">
        <v>22</v>
      </c>
      <c r="B25" s="11" t="s">
        <v>70</v>
      </c>
      <c r="C25" s="11" t="s">
        <v>366</v>
      </c>
      <c r="D25" s="11" t="s">
        <v>367</v>
      </c>
      <c r="E25" s="11" t="s">
        <v>368</v>
      </c>
      <c r="F25" s="11" t="s">
        <v>29</v>
      </c>
      <c r="G25" s="12">
        <v>5000</v>
      </c>
      <c r="H25" s="13">
        <v>2018</v>
      </c>
      <c r="I25" s="20" t="s">
        <v>30</v>
      </c>
    </row>
    <row r="26" spans="1:9" ht="45" x14ac:dyDescent="0.25">
      <c r="A26" s="8">
        <v>23</v>
      </c>
      <c r="B26" s="11" t="s">
        <v>70</v>
      </c>
      <c r="C26" s="11" t="s">
        <v>322</v>
      </c>
      <c r="D26" s="11" t="s">
        <v>323</v>
      </c>
      <c r="E26" s="11" t="s">
        <v>324</v>
      </c>
      <c r="F26" s="11" t="s">
        <v>29</v>
      </c>
      <c r="G26" s="12">
        <v>8000000</v>
      </c>
      <c r="H26" s="13">
        <v>2018</v>
      </c>
      <c r="I26" s="20" t="s">
        <v>34</v>
      </c>
    </row>
    <row r="27" spans="1:9" ht="75" x14ac:dyDescent="0.25">
      <c r="A27" s="8">
        <v>24</v>
      </c>
      <c r="B27" s="11" t="s">
        <v>70</v>
      </c>
      <c r="C27" s="11" t="s">
        <v>288</v>
      </c>
      <c r="D27" s="11" t="s">
        <v>289</v>
      </c>
      <c r="E27" s="11" t="s">
        <v>290</v>
      </c>
      <c r="F27" s="11" t="s">
        <v>29</v>
      </c>
      <c r="G27" s="12">
        <v>40000</v>
      </c>
      <c r="H27" s="13">
        <v>2018</v>
      </c>
      <c r="I27" s="20" t="s">
        <v>30</v>
      </c>
    </row>
    <row r="28" spans="1:9" x14ac:dyDescent="0.25">
      <c r="A28" s="8">
        <v>25</v>
      </c>
      <c r="B28" s="11" t="s">
        <v>70</v>
      </c>
      <c r="C28" s="11" t="s">
        <v>291</v>
      </c>
      <c r="D28" s="11" t="s">
        <v>292</v>
      </c>
      <c r="E28" s="11" t="s">
        <v>293</v>
      </c>
      <c r="F28" s="11" t="s">
        <v>29</v>
      </c>
      <c r="G28" s="12">
        <v>5000</v>
      </c>
      <c r="H28" s="13">
        <v>2018</v>
      </c>
      <c r="I28" s="20" t="s">
        <v>30</v>
      </c>
    </row>
    <row r="29" spans="1:9" ht="75" x14ac:dyDescent="0.25">
      <c r="A29" s="8">
        <v>26</v>
      </c>
      <c r="B29" s="11" t="s">
        <v>70</v>
      </c>
      <c r="C29" s="11" t="s">
        <v>296</v>
      </c>
      <c r="D29" s="11" t="s">
        <v>297</v>
      </c>
      <c r="E29" s="11" t="s">
        <v>298</v>
      </c>
      <c r="F29" s="11" t="s">
        <v>29</v>
      </c>
      <c r="G29" s="12">
        <v>25000</v>
      </c>
      <c r="H29" s="13">
        <v>2018</v>
      </c>
      <c r="I29" s="20" t="s">
        <v>30</v>
      </c>
    </row>
    <row r="30" spans="1:9" ht="45" x14ac:dyDescent="0.25">
      <c r="A30" s="8">
        <v>27</v>
      </c>
      <c r="B30" s="11" t="s">
        <v>70</v>
      </c>
      <c r="C30" s="11" t="s">
        <v>331</v>
      </c>
      <c r="D30" s="11" t="s">
        <v>332</v>
      </c>
      <c r="E30" s="11" t="s">
        <v>230</v>
      </c>
      <c r="F30" s="11" t="s">
        <v>29</v>
      </c>
      <c r="G30" s="12">
        <v>5000000</v>
      </c>
      <c r="H30" s="13">
        <v>2018</v>
      </c>
      <c r="I30" s="20" t="s">
        <v>34</v>
      </c>
    </row>
    <row r="31" spans="1:9" ht="45" x14ac:dyDescent="0.25">
      <c r="A31" s="8">
        <v>28</v>
      </c>
      <c r="B31" s="11" t="s">
        <v>70</v>
      </c>
      <c r="C31" s="11" t="s">
        <v>303</v>
      </c>
      <c r="D31" s="11" t="s">
        <v>304</v>
      </c>
      <c r="E31" s="11"/>
      <c r="F31" s="11" t="s">
        <v>29</v>
      </c>
      <c r="G31" s="12">
        <v>50000</v>
      </c>
      <c r="H31" s="13">
        <v>2018</v>
      </c>
      <c r="I31" s="20" t="s">
        <v>34</v>
      </c>
    </row>
    <row r="32" spans="1:9" ht="75" x14ac:dyDescent="0.25">
      <c r="A32" s="8">
        <v>29</v>
      </c>
      <c r="B32" s="11" t="s">
        <v>70</v>
      </c>
      <c r="C32" s="11" t="s">
        <v>399</v>
      </c>
      <c r="D32" s="11" t="s">
        <v>400</v>
      </c>
      <c r="E32" s="11" t="s">
        <v>401</v>
      </c>
      <c r="F32" s="11" t="s">
        <v>29</v>
      </c>
      <c r="G32" s="12">
        <v>1500000</v>
      </c>
      <c r="H32" s="13">
        <v>2018</v>
      </c>
      <c r="I32" s="20" t="s">
        <v>34</v>
      </c>
    </row>
    <row r="33" spans="1:9" ht="75" x14ac:dyDescent="0.25">
      <c r="A33" s="8">
        <v>30</v>
      </c>
      <c r="B33" s="11" t="s">
        <v>70</v>
      </c>
      <c r="C33" s="11" t="s">
        <v>405</v>
      </c>
      <c r="D33" s="11" t="s">
        <v>406</v>
      </c>
      <c r="E33" s="11" t="s">
        <v>407</v>
      </c>
      <c r="F33" s="11" t="s">
        <v>29</v>
      </c>
      <c r="G33" s="12">
        <v>175000</v>
      </c>
      <c r="H33" s="13">
        <v>2018</v>
      </c>
      <c r="I33" s="20" t="s">
        <v>34</v>
      </c>
    </row>
    <row r="34" spans="1:9" ht="60" x14ac:dyDescent="0.25">
      <c r="A34" s="8">
        <v>31</v>
      </c>
      <c r="B34" s="11" t="s">
        <v>637</v>
      </c>
      <c r="C34" s="11" t="s">
        <v>328</v>
      </c>
      <c r="D34" s="11" t="s">
        <v>329</v>
      </c>
      <c r="E34" s="11" t="s">
        <v>330</v>
      </c>
      <c r="F34" s="11" t="s">
        <v>29</v>
      </c>
      <c r="G34" s="12">
        <v>20000</v>
      </c>
      <c r="H34" s="13">
        <v>2018</v>
      </c>
      <c r="I34" s="20" t="s">
        <v>30</v>
      </c>
    </row>
    <row r="35" spans="1:9" ht="60" x14ac:dyDescent="0.25">
      <c r="A35" s="8">
        <v>32</v>
      </c>
      <c r="B35" s="11" t="s">
        <v>70</v>
      </c>
      <c r="C35" s="11" t="s">
        <v>444</v>
      </c>
      <c r="D35" s="11" t="s">
        <v>445</v>
      </c>
      <c r="E35" s="11" t="s">
        <v>446</v>
      </c>
      <c r="F35" s="11" t="s">
        <v>29</v>
      </c>
      <c r="G35" s="12">
        <v>5000000</v>
      </c>
      <c r="H35" s="13">
        <v>2018</v>
      </c>
      <c r="I35" s="20" t="s">
        <v>30</v>
      </c>
    </row>
    <row r="36" spans="1:9" ht="45" x14ac:dyDescent="0.25">
      <c r="A36" s="8">
        <v>33</v>
      </c>
      <c r="B36" s="11" t="s">
        <v>70</v>
      </c>
      <c r="C36" s="11" t="s">
        <v>390</v>
      </c>
      <c r="D36" s="11" t="s">
        <v>391</v>
      </c>
      <c r="E36" s="11" t="s">
        <v>392</v>
      </c>
      <c r="F36" s="11" t="s">
        <v>29</v>
      </c>
      <c r="G36" s="12">
        <v>150000</v>
      </c>
      <c r="H36" s="13">
        <v>2018</v>
      </c>
      <c r="I36" s="20" t="s">
        <v>34</v>
      </c>
    </row>
    <row r="37" spans="1:9" ht="45" x14ac:dyDescent="0.25">
      <c r="B37" s="11" t="s">
        <v>70</v>
      </c>
      <c r="C37" s="11" t="s">
        <v>402</v>
      </c>
      <c r="D37" s="11" t="s">
        <v>403</v>
      </c>
      <c r="E37" s="11" t="s">
        <v>404</v>
      </c>
      <c r="F37" s="11" t="s">
        <v>29</v>
      </c>
      <c r="G37" s="12">
        <v>150000</v>
      </c>
      <c r="H37" s="13">
        <v>2018</v>
      </c>
      <c r="I37" s="20" t="s">
        <v>34</v>
      </c>
    </row>
    <row r="38" spans="1:9" ht="30" x14ac:dyDescent="0.25">
      <c r="B38" s="11" t="s">
        <v>70</v>
      </c>
      <c r="C38" s="11" t="s">
        <v>408</v>
      </c>
      <c r="D38" s="11" t="s">
        <v>409</v>
      </c>
      <c r="E38" s="11" t="s">
        <v>410</v>
      </c>
      <c r="F38" s="11" t="s">
        <v>29</v>
      </c>
      <c r="G38" s="12">
        <v>750000</v>
      </c>
      <c r="H38" s="13">
        <v>2018</v>
      </c>
      <c r="I38" s="20" t="s">
        <v>34</v>
      </c>
    </row>
    <row r="39" spans="1:9" ht="60" x14ac:dyDescent="0.25">
      <c r="B39" s="11" t="s">
        <v>70</v>
      </c>
      <c r="C39" s="11" t="s">
        <v>486</v>
      </c>
      <c r="D39" s="11" t="s">
        <v>487</v>
      </c>
      <c r="E39" s="11" t="s">
        <v>488</v>
      </c>
      <c r="F39" s="11" t="s">
        <v>29</v>
      </c>
      <c r="G39" s="12">
        <v>1000000</v>
      </c>
      <c r="H39" s="13">
        <v>2018</v>
      </c>
      <c r="I39" s="20" t="s">
        <v>34</v>
      </c>
    </row>
    <row r="40" spans="1:9" ht="45" x14ac:dyDescent="0.25">
      <c r="B40" s="11" t="s">
        <v>70</v>
      </c>
      <c r="C40" s="11" t="s">
        <v>489</v>
      </c>
      <c r="D40" s="11" t="s">
        <v>490</v>
      </c>
      <c r="E40" s="11" t="s">
        <v>491</v>
      </c>
      <c r="F40" s="11" t="s">
        <v>29</v>
      </c>
      <c r="G40" s="12">
        <v>20000</v>
      </c>
      <c r="H40" s="13">
        <v>2018</v>
      </c>
      <c r="I40" s="20" t="s">
        <v>34</v>
      </c>
    </row>
    <row r="41" spans="1:9" ht="30" x14ac:dyDescent="0.25">
      <c r="B41" s="29" t="s">
        <v>70</v>
      </c>
      <c r="C41" s="78" t="s">
        <v>691</v>
      </c>
      <c r="D41" s="29" t="s">
        <v>697</v>
      </c>
      <c r="E41" s="29"/>
      <c r="F41" s="32" t="s">
        <v>29</v>
      </c>
      <c r="G41" s="106">
        <v>12000000</v>
      </c>
      <c r="H41" s="40">
        <v>2019</v>
      </c>
      <c r="I41" s="20" t="s">
        <v>34</v>
      </c>
    </row>
    <row r="42" spans="1:9" ht="30" x14ac:dyDescent="0.25">
      <c r="B42" s="29" t="s">
        <v>70</v>
      </c>
      <c r="C42" s="78" t="s">
        <v>692</v>
      </c>
      <c r="D42" s="29" t="s">
        <v>698</v>
      </c>
      <c r="E42" s="29"/>
      <c r="F42" s="32" t="s">
        <v>29</v>
      </c>
      <c r="G42" s="106">
        <v>10000000</v>
      </c>
      <c r="H42" s="40">
        <v>2019</v>
      </c>
      <c r="I42" s="20" t="s">
        <v>34</v>
      </c>
    </row>
    <row r="43" spans="1:9" ht="30" x14ac:dyDescent="0.25">
      <c r="B43" s="29" t="s">
        <v>70</v>
      </c>
      <c r="C43" s="78" t="s">
        <v>693</v>
      </c>
      <c r="D43" s="29" t="s">
        <v>699</v>
      </c>
      <c r="E43" s="29"/>
      <c r="F43" s="32" t="s">
        <v>29</v>
      </c>
      <c r="G43" s="106">
        <v>7000000</v>
      </c>
      <c r="H43" s="40">
        <v>2019</v>
      </c>
      <c r="I43" s="20" t="s">
        <v>34</v>
      </c>
    </row>
    <row r="44" spans="1:9" ht="45" x14ac:dyDescent="0.25">
      <c r="B44" s="29" t="s">
        <v>70</v>
      </c>
      <c r="C44" s="78" t="s">
        <v>694</v>
      </c>
      <c r="D44" s="29" t="s">
        <v>700</v>
      </c>
      <c r="E44" s="29"/>
      <c r="F44" s="32" t="s">
        <v>29</v>
      </c>
      <c r="G44" s="106">
        <v>5000000</v>
      </c>
      <c r="H44" s="40">
        <v>2019</v>
      </c>
      <c r="I44" s="20" t="s">
        <v>34</v>
      </c>
    </row>
    <row r="45" spans="1:9" ht="30" x14ac:dyDescent="0.25">
      <c r="B45" s="29" t="s">
        <v>70</v>
      </c>
      <c r="C45" s="78" t="s">
        <v>695</v>
      </c>
      <c r="D45" s="29" t="s">
        <v>701</v>
      </c>
      <c r="E45" s="29"/>
      <c r="F45" s="32" t="s">
        <v>29</v>
      </c>
      <c r="G45" s="106">
        <v>5000000</v>
      </c>
      <c r="H45" s="40">
        <v>2019</v>
      </c>
      <c r="I45" s="20" t="s">
        <v>34</v>
      </c>
    </row>
    <row r="46" spans="1:9" ht="30" x14ac:dyDescent="0.25">
      <c r="B46" s="29" t="s">
        <v>70</v>
      </c>
      <c r="C46" s="78" t="s">
        <v>696</v>
      </c>
      <c r="D46" s="29" t="s">
        <v>702</v>
      </c>
      <c r="E46" s="29"/>
      <c r="F46" s="32" t="s">
        <v>29</v>
      </c>
      <c r="G46" s="106">
        <v>10000000</v>
      </c>
      <c r="H46" s="40">
        <v>2019</v>
      </c>
      <c r="I46" s="20" t="s">
        <v>34</v>
      </c>
    </row>
  </sheetData>
  <mergeCells count="1">
    <mergeCell ref="A1:H2"/>
  </mergeCells>
  <conditionalFormatting sqref="C4:C40">
    <cfRule type="duplicateValues" priority="7"/>
  </conditionalFormatting>
  <conditionalFormatting sqref="C41">
    <cfRule type="duplicateValues" priority="6"/>
  </conditionalFormatting>
  <conditionalFormatting sqref="C42">
    <cfRule type="duplicateValues" priority="5"/>
  </conditionalFormatting>
  <conditionalFormatting sqref="C43">
    <cfRule type="duplicateValues" priority="4"/>
  </conditionalFormatting>
  <conditionalFormatting sqref="C44">
    <cfRule type="duplicateValues" priority="3"/>
  </conditionalFormatting>
  <conditionalFormatting sqref="C45">
    <cfRule type="duplicateValues" priority="2"/>
  </conditionalFormatting>
  <conditionalFormatting sqref="C46">
    <cfRule type="duplicateValues" priority="1"/>
  </conditionalFormatting>
  <dataValidations count="3">
    <dataValidation type="list" allowBlank="1" showInputMessage="1" showErrorMessage="1" sqref="G47:H102" xr:uid="{00000000-0002-0000-1200-000000000000}">
      <formula1>"implist"</formula1>
    </dataValidation>
    <dataValidation type="list" allowBlank="1" showInputMessage="1" showErrorMessage="1" sqref="F4:F46" xr:uid="{00000000-0002-0000-1200-000001000000}">
      <formula1>Status</formula1>
    </dataValidation>
    <dataValidation type="list" allowBlank="1" showInputMessage="1" showErrorMessage="1" sqref="I4:I46" xr:uid="{00000000-0002-0000-1200-000002000000}">
      <formula1>Funding</formula1>
    </dataValidation>
  </dataValidation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I55"/>
  <sheetViews>
    <sheetView topLeftCell="A7" workbookViewId="0">
      <selection activeCell="J24" sqref="J24"/>
    </sheetView>
  </sheetViews>
  <sheetFormatPr defaultColWidth="14.7109375" defaultRowHeight="15" x14ac:dyDescent="0.25"/>
  <cols>
    <col min="1" max="1" width="6.140625" style="51" customWidth="1"/>
    <col min="2" max="2" width="19.7109375" style="49" customWidth="1"/>
    <col min="3" max="3" width="34.5703125" style="66" customWidth="1"/>
    <col min="4" max="4" width="24.7109375" style="9" customWidth="1"/>
    <col min="5" max="5" width="24.7109375" style="45" customWidth="1"/>
    <col min="6" max="6" width="24.7109375" style="52" customWidth="1"/>
    <col min="7" max="7" width="16.140625" customWidth="1"/>
    <col min="8" max="8" width="24.7109375" style="58" customWidth="1"/>
  </cols>
  <sheetData>
    <row r="1" spans="1:9" ht="30" customHeight="1" x14ac:dyDescent="0.25">
      <c r="A1" s="379" t="s">
        <v>601</v>
      </c>
      <c r="B1" s="380"/>
      <c r="C1" s="380"/>
      <c r="D1" s="380"/>
      <c r="E1" s="380"/>
      <c r="F1" s="380"/>
      <c r="G1" s="380"/>
      <c r="H1" s="381"/>
    </row>
    <row r="2" spans="1:9" ht="15.75" thickBot="1" x14ac:dyDescent="0.3">
      <c r="A2" s="382"/>
      <c r="B2" s="383"/>
      <c r="C2" s="383"/>
      <c r="D2" s="383"/>
      <c r="E2" s="383"/>
      <c r="F2" s="383"/>
      <c r="G2" s="383"/>
      <c r="H2" s="384"/>
    </row>
    <row r="3" spans="1:9" ht="15" customHeight="1" thickBot="1" x14ac:dyDescent="0.3">
      <c r="A3" s="59" t="s">
        <v>48</v>
      </c>
      <c r="B3" s="63" t="s">
        <v>49</v>
      </c>
      <c r="C3" s="63" t="s">
        <v>50</v>
      </c>
      <c r="D3" s="64" t="s">
        <v>51</v>
      </c>
      <c r="E3" s="64" t="s">
        <v>52</v>
      </c>
      <c r="F3" s="53" t="s">
        <v>595</v>
      </c>
      <c r="G3" s="55" t="s">
        <v>54</v>
      </c>
      <c r="H3" s="56" t="s">
        <v>596</v>
      </c>
      <c r="I3" s="134" t="s">
        <v>23</v>
      </c>
    </row>
    <row r="4" spans="1:9" ht="300" x14ac:dyDescent="0.25">
      <c r="A4" s="60">
        <v>1</v>
      </c>
      <c r="B4" s="15" t="s">
        <v>152</v>
      </c>
      <c r="C4" s="15" t="s">
        <v>185</v>
      </c>
      <c r="D4" s="15" t="s">
        <v>186</v>
      </c>
      <c r="E4" s="15" t="s">
        <v>187</v>
      </c>
      <c r="F4" s="15" t="s">
        <v>598</v>
      </c>
      <c r="G4" s="16">
        <v>170000</v>
      </c>
      <c r="H4" s="17">
        <v>2018</v>
      </c>
      <c r="I4" s="18" t="s">
        <v>30</v>
      </c>
    </row>
    <row r="5" spans="1:9" ht="150" x14ac:dyDescent="0.25">
      <c r="A5" s="8">
        <v>2</v>
      </c>
      <c r="B5" s="15" t="s">
        <v>152</v>
      </c>
      <c r="C5" s="15" t="s">
        <v>153</v>
      </c>
      <c r="D5" s="15" t="s">
        <v>154</v>
      </c>
      <c r="E5" s="15" t="s">
        <v>155</v>
      </c>
      <c r="F5" s="15" t="s">
        <v>598</v>
      </c>
      <c r="G5" s="16">
        <v>28000</v>
      </c>
      <c r="H5" s="17">
        <v>2018</v>
      </c>
      <c r="I5" s="18" t="s">
        <v>30</v>
      </c>
    </row>
    <row r="6" spans="1:9" ht="105" x14ac:dyDescent="0.25">
      <c r="A6" s="60">
        <v>3</v>
      </c>
      <c r="B6" s="11" t="s">
        <v>152</v>
      </c>
      <c r="C6" s="11" t="s">
        <v>239</v>
      </c>
      <c r="D6" s="11" t="s">
        <v>240</v>
      </c>
      <c r="E6" s="11" t="s">
        <v>241</v>
      </c>
      <c r="F6" s="11" t="s">
        <v>29</v>
      </c>
      <c r="G6" s="12">
        <v>15000</v>
      </c>
      <c r="H6" s="13">
        <v>2018</v>
      </c>
      <c r="I6" s="20" t="s">
        <v>30</v>
      </c>
    </row>
    <row r="7" spans="1:9" ht="135" x14ac:dyDescent="0.25">
      <c r="A7" s="8">
        <v>4</v>
      </c>
      <c r="B7" s="11" t="s">
        <v>152</v>
      </c>
      <c r="C7" s="38" t="s">
        <v>273</v>
      </c>
      <c r="D7" s="38" t="s">
        <v>274</v>
      </c>
      <c r="E7" s="38" t="s">
        <v>275</v>
      </c>
      <c r="F7" s="11" t="s">
        <v>29</v>
      </c>
      <c r="G7" s="12">
        <v>60000</v>
      </c>
      <c r="H7" s="13">
        <v>2018</v>
      </c>
      <c r="I7" s="20" t="s">
        <v>30</v>
      </c>
    </row>
    <row r="8" spans="1:9" x14ac:dyDescent="0.25">
      <c r="A8" s="60">
        <v>5</v>
      </c>
      <c r="B8" s="11"/>
      <c r="C8" s="11"/>
      <c r="D8" s="11"/>
      <c r="E8" s="11"/>
      <c r="F8" s="11"/>
      <c r="G8" s="12"/>
      <c r="H8" s="13"/>
      <c r="I8" s="48"/>
    </row>
    <row r="9" spans="1:9" x14ac:dyDescent="0.25">
      <c r="A9" s="8">
        <v>6</v>
      </c>
      <c r="B9" s="11"/>
      <c r="C9" s="11"/>
      <c r="D9" s="11"/>
      <c r="E9" s="11"/>
      <c r="F9" s="11"/>
      <c r="G9" s="12"/>
      <c r="H9" s="13"/>
      <c r="I9" s="48"/>
    </row>
    <row r="10" spans="1:9" x14ac:dyDescent="0.25">
      <c r="A10" s="8">
        <v>7</v>
      </c>
      <c r="B10" s="11"/>
      <c r="C10" s="11"/>
      <c r="D10" s="11"/>
      <c r="E10" s="11"/>
      <c r="F10" s="21"/>
      <c r="G10" s="12"/>
      <c r="H10" s="13"/>
      <c r="I10" s="48"/>
    </row>
    <row r="11" spans="1:9" x14ac:dyDescent="0.25">
      <c r="A11" s="8">
        <v>8</v>
      </c>
      <c r="B11" s="11"/>
      <c r="C11" s="11"/>
      <c r="D11" s="11"/>
      <c r="E11" s="11"/>
      <c r="F11" s="21"/>
      <c r="G11" s="12"/>
      <c r="H11" s="13"/>
      <c r="I11" s="48"/>
    </row>
    <row r="12" spans="1:9" x14ac:dyDescent="0.25">
      <c r="A12" s="8">
        <v>9</v>
      </c>
      <c r="B12" s="11"/>
      <c r="C12" s="11"/>
      <c r="D12" s="11"/>
      <c r="E12" s="11"/>
      <c r="F12" s="21"/>
      <c r="G12" s="12"/>
      <c r="H12" s="13"/>
      <c r="I12" s="48"/>
    </row>
    <row r="13" spans="1:9" x14ac:dyDescent="0.25">
      <c r="A13" s="8">
        <v>10</v>
      </c>
      <c r="B13" s="11"/>
      <c r="C13" s="11"/>
      <c r="D13" s="11"/>
      <c r="E13" s="11"/>
      <c r="F13" s="21"/>
      <c r="G13" s="12"/>
      <c r="H13" s="13"/>
      <c r="I13" s="48"/>
    </row>
    <row r="14" spans="1:9" x14ac:dyDescent="0.25">
      <c r="A14" s="8">
        <v>11</v>
      </c>
      <c r="B14" s="11"/>
      <c r="C14" s="11"/>
      <c r="D14" s="11"/>
      <c r="E14" s="11"/>
      <c r="F14" s="21"/>
      <c r="G14" s="12"/>
      <c r="H14" s="13"/>
      <c r="I14" s="48"/>
    </row>
    <row r="15" spans="1:9" x14ac:dyDescent="0.25">
      <c r="A15" s="8">
        <v>12</v>
      </c>
      <c r="B15" s="11"/>
      <c r="C15" s="11"/>
      <c r="D15" s="11"/>
      <c r="E15" s="11"/>
      <c r="F15" s="21"/>
      <c r="G15" s="12"/>
      <c r="H15" s="13"/>
      <c r="I15" s="48"/>
    </row>
    <row r="16" spans="1:9" x14ac:dyDescent="0.25">
      <c r="A16" s="8">
        <v>13</v>
      </c>
      <c r="B16" s="11"/>
      <c r="C16" s="11"/>
      <c r="D16" s="11"/>
      <c r="E16" s="11"/>
      <c r="F16" s="21"/>
      <c r="G16" s="12"/>
      <c r="H16" s="13"/>
      <c r="I16" s="48"/>
    </row>
    <row r="17" spans="1:9" x14ac:dyDescent="0.25">
      <c r="A17" s="8">
        <v>14</v>
      </c>
      <c r="B17" s="11"/>
      <c r="C17" s="11"/>
      <c r="D17" s="11"/>
      <c r="E17" s="11"/>
      <c r="F17" s="21"/>
      <c r="G17" s="12"/>
      <c r="H17" s="13"/>
      <c r="I17" s="48"/>
    </row>
    <row r="18" spans="1:9" x14ac:dyDescent="0.25">
      <c r="A18" s="8">
        <v>15</v>
      </c>
      <c r="B18" s="11"/>
      <c r="C18" s="11"/>
      <c r="D18" s="11"/>
      <c r="E18" s="11"/>
      <c r="F18" s="21"/>
      <c r="G18" s="12"/>
      <c r="H18" s="13"/>
      <c r="I18" s="48"/>
    </row>
    <row r="19" spans="1:9" x14ac:dyDescent="0.25">
      <c r="A19" s="8">
        <v>16</v>
      </c>
      <c r="B19" s="11"/>
      <c r="C19" s="11"/>
      <c r="D19" s="11"/>
      <c r="E19" s="11"/>
      <c r="F19" s="21"/>
      <c r="G19" s="12"/>
      <c r="H19" s="13"/>
      <c r="I19" s="48"/>
    </row>
    <row r="20" spans="1:9" x14ac:dyDescent="0.25">
      <c r="A20" s="8">
        <v>17</v>
      </c>
      <c r="B20" s="11"/>
      <c r="C20" s="11"/>
      <c r="D20" s="11"/>
      <c r="E20" s="11"/>
      <c r="F20" s="21"/>
      <c r="G20" s="12"/>
      <c r="H20" s="13"/>
      <c r="I20" s="48"/>
    </row>
    <row r="21" spans="1:9" x14ac:dyDescent="0.25">
      <c r="A21" s="8">
        <v>18</v>
      </c>
      <c r="B21" s="11"/>
      <c r="C21" s="11"/>
      <c r="D21" s="11"/>
      <c r="E21" s="11"/>
      <c r="F21" s="21"/>
      <c r="G21" s="12"/>
      <c r="H21" s="13"/>
      <c r="I21" s="48"/>
    </row>
    <row r="22" spans="1:9" x14ac:dyDescent="0.25">
      <c r="A22" s="8">
        <v>19</v>
      </c>
      <c r="B22" s="11"/>
      <c r="C22" s="11"/>
      <c r="D22" s="11"/>
      <c r="E22" s="11"/>
      <c r="F22" s="21"/>
      <c r="G22" s="12"/>
      <c r="H22" s="13"/>
      <c r="I22" s="48"/>
    </row>
    <row r="23" spans="1:9" x14ac:dyDescent="0.25">
      <c r="A23" s="8">
        <v>20</v>
      </c>
      <c r="B23" s="11"/>
      <c r="C23" s="11"/>
      <c r="D23" s="11"/>
      <c r="E23" s="11"/>
      <c r="F23" s="21"/>
      <c r="G23" s="12"/>
      <c r="H23" s="13"/>
      <c r="I23" s="48"/>
    </row>
    <row r="24" spans="1:9" x14ac:dyDescent="0.25">
      <c r="A24" s="8">
        <v>21</v>
      </c>
      <c r="B24" s="11"/>
      <c r="C24" s="11"/>
      <c r="D24" s="11"/>
      <c r="E24" s="11"/>
      <c r="F24" s="21"/>
      <c r="G24" s="12"/>
      <c r="H24" s="13"/>
      <c r="I24" s="48"/>
    </row>
    <row r="25" spans="1:9" x14ac:dyDescent="0.25">
      <c r="A25" s="8">
        <v>22</v>
      </c>
      <c r="B25" s="11"/>
      <c r="C25" s="11"/>
      <c r="D25" s="11"/>
      <c r="E25" s="11"/>
      <c r="F25" s="21"/>
      <c r="G25" s="12"/>
      <c r="H25" s="13"/>
      <c r="I25" s="48"/>
    </row>
    <row r="26" spans="1:9" x14ac:dyDescent="0.25">
      <c r="A26" s="8">
        <v>23</v>
      </c>
      <c r="B26" s="11"/>
      <c r="C26" s="11"/>
      <c r="D26" s="11"/>
      <c r="E26" s="11"/>
      <c r="F26" s="21"/>
      <c r="G26" s="12"/>
      <c r="H26" s="13"/>
      <c r="I26" s="48"/>
    </row>
    <row r="27" spans="1:9" x14ac:dyDescent="0.25">
      <c r="A27" s="8">
        <v>24</v>
      </c>
      <c r="B27" s="11"/>
      <c r="C27" s="11"/>
      <c r="D27" s="11"/>
      <c r="E27" s="11"/>
      <c r="F27" s="21"/>
      <c r="G27" s="12"/>
      <c r="H27" s="13"/>
      <c r="I27" s="48"/>
    </row>
    <row r="28" spans="1:9" x14ac:dyDescent="0.25">
      <c r="A28" s="8">
        <v>25</v>
      </c>
      <c r="B28" s="11"/>
      <c r="C28" s="11"/>
      <c r="D28" s="11"/>
      <c r="E28" s="11"/>
      <c r="F28" s="21"/>
      <c r="G28" s="12"/>
      <c r="H28" s="13"/>
      <c r="I28" s="48"/>
    </row>
    <row r="29" spans="1:9" x14ac:dyDescent="0.25">
      <c r="A29" s="8">
        <v>26</v>
      </c>
      <c r="B29" s="11"/>
      <c r="C29" s="11"/>
      <c r="D29" s="11"/>
      <c r="E29" s="11"/>
      <c r="F29" s="21"/>
      <c r="G29" s="12"/>
      <c r="H29" s="13"/>
      <c r="I29" s="48"/>
    </row>
    <row r="30" spans="1:9" x14ac:dyDescent="0.25">
      <c r="A30" s="8">
        <v>27</v>
      </c>
      <c r="B30" s="11"/>
      <c r="C30" s="11"/>
      <c r="D30" s="11"/>
      <c r="E30" s="11"/>
      <c r="F30" s="21"/>
      <c r="G30" s="12"/>
      <c r="H30" s="13"/>
      <c r="I30" s="48"/>
    </row>
    <row r="31" spans="1:9" x14ac:dyDescent="0.25">
      <c r="A31" s="8">
        <v>28</v>
      </c>
      <c r="B31" s="11"/>
      <c r="C31" s="11"/>
      <c r="D31" s="11"/>
      <c r="E31" s="11"/>
      <c r="F31" s="21"/>
      <c r="G31" s="12"/>
      <c r="H31" s="13"/>
      <c r="I31" s="48"/>
    </row>
    <row r="32" spans="1:9" x14ac:dyDescent="0.25">
      <c r="A32" s="8">
        <v>29</v>
      </c>
      <c r="B32" s="11"/>
      <c r="C32" s="11"/>
      <c r="D32" s="11"/>
      <c r="E32" s="11"/>
      <c r="F32" s="21"/>
      <c r="G32" s="12"/>
      <c r="H32" s="13"/>
      <c r="I32" s="48"/>
    </row>
    <row r="33" spans="1:9" x14ac:dyDescent="0.25">
      <c r="A33" s="8">
        <v>30</v>
      </c>
      <c r="B33" s="11"/>
      <c r="C33" s="11"/>
      <c r="D33" s="11"/>
      <c r="E33" s="11"/>
      <c r="F33" s="21"/>
      <c r="G33" s="12"/>
      <c r="H33" s="13"/>
      <c r="I33" s="48"/>
    </row>
    <row r="34" spans="1:9" x14ac:dyDescent="0.25">
      <c r="A34" s="8">
        <v>31</v>
      </c>
      <c r="B34" s="11"/>
      <c r="C34" s="11"/>
      <c r="D34" s="11"/>
      <c r="E34" s="11"/>
      <c r="F34" s="21"/>
      <c r="G34" s="12"/>
      <c r="H34" s="13"/>
      <c r="I34" s="48"/>
    </row>
    <row r="35" spans="1:9" x14ac:dyDescent="0.25">
      <c r="A35" s="8">
        <v>32</v>
      </c>
      <c r="B35" s="11"/>
      <c r="C35" s="11"/>
      <c r="D35" s="11"/>
      <c r="E35" s="11"/>
      <c r="F35" s="21"/>
      <c r="G35" s="12"/>
      <c r="H35" s="13"/>
      <c r="I35" s="48"/>
    </row>
    <row r="36" spans="1:9" x14ac:dyDescent="0.25">
      <c r="A36" s="8">
        <v>33</v>
      </c>
      <c r="B36" s="11"/>
      <c r="C36" s="11"/>
      <c r="D36" s="11"/>
      <c r="E36" s="11"/>
      <c r="F36" s="21"/>
      <c r="G36" s="12"/>
      <c r="H36" s="13"/>
      <c r="I36" s="48"/>
    </row>
    <row r="37" spans="1:9" x14ac:dyDescent="0.25">
      <c r="B37" s="11"/>
      <c r="C37" s="11"/>
      <c r="D37" s="11"/>
      <c r="E37" s="11"/>
      <c r="F37" s="21"/>
      <c r="G37" s="12"/>
      <c r="H37" s="13"/>
      <c r="I37" s="48"/>
    </row>
    <row r="38" spans="1:9" x14ac:dyDescent="0.25">
      <c r="B38" s="29"/>
      <c r="C38" s="78"/>
      <c r="D38" s="29"/>
      <c r="E38" s="29"/>
      <c r="F38" s="32"/>
      <c r="G38" s="79"/>
      <c r="H38" s="31"/>
      <c r="I38" s="48"/>
    </row>
    <row r="39" spans="1:9" x14ac:dyDescent="0.25">
      <c r="B39" s="11"/>
      <c r="C39" s="76"/>
      <c r="D39" s="11"/>
      <c r="E39" s="11"/>
      <c r="F39" s="21"/>
      <c r="G39" s="77"/>
      <c r="H39" s="13"/>
      <c r="I39" s="48"/>
    </row>
    <row r="40" spans="1:9" x14ac:dyDescent="0.25">
      <c r="B40" s="11"/>
      <c r="C40" s="76"/>
      <c r="D40" s="11"/>
      <c r="E40" s="11"/>
      <c r="F40" s="21"/>
      <c r="G40" s="77"/>
      <c r="H40" s="13"/>
      <c r="I40" s="48"/>
    </row>
    <row r="41" spans="1:9" x14ac:dyDescent="0.25">
      <c r="B41" s="11"/>
      <c r="C41" s="76"/>
      <c r="D41" s="11"/>
      <c r="E41" s="11"/>
      <c r="F41" s="21"/>
      <c r="G41" s="77"/>
      <c r="H41" s="13"/>
      <c r="I41" s="48"/>
    </row>
    <row r="42" spans="1:9" x14ac:dyDescent="0.25">
      <c r="B42" s="11"/>
      <c r="C42" s="76"/>
      <c r="D42" s="11"/>
      <c r="E42" s="11"/>
      <c r="F42" s="21"/>
      <c r="G42" s="77"/>
      <c r="H42" s="13"/>
      <c r="I42" s="48"/>
    </row>
    <row r="43" spans="1:9" x14ac:dyDescent="0.25">
      <c r="B43" s="29"/>
      <c r="C43" s="78"/>
      <c r="D43" s="29"/>
      <c r="E43" s="29"/>
      <c r="F43" s="32"/>
      <c r="G43" s="79"/>
      <c r="H43" s="31"/>
      <c r="I43" s="48"/>
    </row>
    <row r="44" spans="1:9" x14ac:dyDescent="0.25">
      <c r="B44" s="29"/>
      <c r="C44" s="78"/>
      <c r="D44" s="29"/>
      <c r="E44" s="29"/>
      <c r="F44" s="32"/>
      <c r="G44" s="79"/>
      <c r="H44" s="31"/>
      <c r="I44" s="48"/>
    </row>
    <row r="45" spans="1:9" x14ac:dyDescent="0.25">
      <c r="B45" s="11"/>
      <c r="C45" s="76"/>
      <c r="D45" s="11"/>
      <c r="E45" s="11"/>
      <c r="F45" s="21"/>
      <c r="G45" s="77"/>
      <c r="H45" s="13"/>
      <c r="I45" s="48"/>
    </row>
    <row r="46" spans="1:9" x14ac:dyDescent="0.25">
      <c r="B46" s="11"/>
      <c r="C46" s="76"/>
      <c r="D46" s="11"/>
      <c r="E46" s="11"/>
      <c r="F46" s="21"/>
      <c r="G46" s="77"/>
      <c r="H46" s="13"/>
      <c r="I46" s="48"/>
    </row>
    <row r="47" spans="1:9" x14ac:dyDescent="0.25">
      <c r="B47" s="29"/>
      <c r="C47" s="78"/>
      <c r="D47" s="29"/>
      <c r="E47" s="29"/>
      <c r="F47" s="32"/>
      <c r="G47" s="79"/>
      <c r="H47" s="31"/>
      <c r="I47" s="48"/>
    </row>
    <row r="48" spans="1:9" x14ac:dyDescent="0.25">
      <c r="B48" s="29"/>
      <c r="C48" s="78"/>
      <c r="D48" s="29"/>
      <c r="E48" s="29"/>
      <c r="F48" s="32"/>
      <c r="G48" s="79"/>
      <c r="H48" s="31"/>
      <c r="I48" s="48"/>
    </row>
    <row r="49" spans="2:8" x14ac:dyDescent="0.25">
      <c r="B49" s="50"/>
      <c r="C49" s="72"/>
      <c r="D49" s="47"/>
      <c r="E49" s="73"/>
      <c r="F49" s="74"/>
      <c r="G49" s="48"/>
      <c r="H49" s="75"/>
    </row>
    <row r="50" spans="2:8" x14ac:dyDescent="0.25">
      <c r="B50" s="50"/>
      <c r="C50" s="72"/>
      <c r="D50" s="47"/>
      <c r="E50" s="73"/>
      <c r="F50" s="74"/>
      <c r="G50" s="48"/>
      <c r="H50" s="75"/>
    </row>
    <row r="51" spans="2:8" x14ac:dyDescent="0.25">
      <c r="B51" s="50"/>
      <c r="C51" s="72"/>
      <c r="D51" s="47"/>
      <c r="E51" s="73"/>
      <c r="F51" s="74"/>
      <c r="G51" s="48"/>
      <c r="H51" s="75"/>
    </row>
    <row r="52" spans="2:8" x14ac:dyDescent="0.25">
      <c r="B52" s="50"/>
      <c r="C52" s="72"/>
      <c r="D52" s="47"/>
      <c r="E52" s="73"/>
      <c r="F52" s="74"/>
      <c r="G52" s="48"/>
      <c r="H52" s="75"/>
    </row>
    <row r="53" spans="2:8" x14ac:dyDescent="0.25">
      <c r="B53" s="50"/>
      <c r="C53" s="72"/>
      <c r="D53" s="47"/>
      <c r="E53" s="73"/>
      <c r="F53" s="74"/>
      <c r="G53" s="48"/>
      <c r="H53" s="75"/>
    </row>
    <row r="54" spans="2:8" x14ac:dyDescent="0.25">
      <c r="B54" s="50"/>
      <c r="C54" s="72"/>
      <c r="D54" s="47"/>
      <c r="E54" s="73"/>
      <c r="F54" s="74"/>
      <c r="G54" s="48"/>
      <c r="H54" s="75"/>
    </row>
    <row r="55" spans="2:8" x14ac:dyDescent="0.25">
      <c r="B55" s="50"/>
      <c r="C55" s="72"/>
      <c r="D55" s="47"/>
      <c r="E55" s="73"/>
      <c r="F55" s="74"/>
      <c r="G55" s="48"/>
      <c r="H55" s="75"/>
    </row>
  </sheetData>
  <mergeCells count="1">
    <mergeCell ref="A1:H2"/>
  </mergeCells>
  <conditionalFormatting sqref="C4:C7">
    <cfRule type="duplicateValues" priority="1"/>
  </conditionalFormatting>
  <dataValidations count="3">
    <dataValidation type="list" allowBlank="1" showInputMessage="1" showErrorMessage="1" sqref="G49:H110" xr:uid="{00000000-0002-0000-1300-000000000000}">
      <formula1>"implist"</formula1>
    </dataValidation>
    <dataValidation type="list" allowBlank="1" showInputMessage="1" showErrorMessage="1" sqref="F4:F7" xr:uid="{00000000-0002-0000-1300-000001000000}">
      <formula1>Status</formula1>
    </dataValidation>
    <dataValidation type="list" allowBlank="1" showInputMessage="1" showErrorMessage="1" sqref="I4:I7" xr:uid="{00000000-0002-0000-1300-000002000000}">
      <formula1>Funding</formula1>
    </dataValidation>
  </dataValidations>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I40"/>
  <sheetViews>
    <sheetView workbookViewId="0">
      <selection activeCell="F51" sqref="F51"/>
    </sheetView>
  </sheetViews>
  <sheetFormatPr defaultColWidth="14.7109375" defaultRowHeight="15" x14ac:dyDescent="0.25"/>
  <cols>
    <col min="1" max="1" width="6.140625" style="51" customWidth="1"/>
    <col min="2" max="2" width="26.28515625" style="49" customWidth="1"/>
    <col min="3" max="3" width="53.140625" style="66" customWidth="1"/>
    <col min="4" max="4" width="33.140625" style="9" customWidth="1"/>
    <col min="5" max="5" width="24.7109375" style="85" customWidth="1"/>
    <col min="6" max="6" width="24.7109375" style="52" customWidth="1"/>
    <col min="7" max="7" width="19.42578125" style="84" customWidth="1"/>
    <col min="8" max="8" width="24.7109375" style="58" customWidth="1"/>
  </cols>
  <sheetData>
    <row r="1" spans="1:9" ht="30" customHeight="1" x14ac:dyDescent="0.25">
      <c r="A1" s="385" t="s">
        <v>94</v>
      </c>
      <c r="B1" s="386"/>
      <c r="C1" s="386"/>
      <c r="D1" s="386"/>
      <c r="E1" s="386"/>
      <c r="F1" s="386"/>
      <c r="G1" s="386"/>
      <c r="H1" s="386"/>
      <c r="I1" s="386"/>
    </row>
    <row r="2" spans="1:9" ht="15.75" thickBot="1" x14ac:dyDescent="0.3">
      <c r="A2" s="385"/>
      <c r="B2" s="386"/>
      <c r="C2" s="386"/>
      <c r="D2" s="386"/>
      <c r="E2" s="386"/>
      <c r="F2" s="386"/>
      <c r="G2" s="386"/>
      <c r="H2" s="386"/>
      <c r="I2" s="386"/>
    </row>
    <row r="3" spans="1:9" ht="15" customHeight="1" thickBot="1" x14ac:dyDescent="0.3">
      <c r="A3" s="59" t="s">
        <v>48</v>
      </c>
      <c r="B3" s="63" t="s">
        <v>49</v>
      </c>
      <c r="C3" s="63" t="s">
        <v>50</v>
      </c>
      <c r="D3" s="64" t="s">
        <v>51</v>
      </c>
      <c r="E3" s="64" t="s">
        <v>52</v>
      </c>
      <c r="F3" s="53" t="s">
        <v>595</v>
      </c>
      <c r="G3" s="83" t="s">
        <v>54</v>
      </c>
      <c r="H3" s="56" t="s">
        <v>596</v>
      </c>
      <c r="I3" s="134" t="s">
        <v>23</v>
      </c>
    </row>
    <row r="4" spans="1:9" ht="45" hidden="1" x14ac:dyDescent="0.25">
      <c r="A4" s="60">
        <v>1</v>
      </c>
      <c r="B4" s="15" t="s">
        <v>94</v>
      </c>
      <c r="C4" s="15" t="s">
        <v>95</v>
      </c>
      <c r="D4" s="15" t="s">
        <v>638</v>
      </c>
      <c r="E4" s="15" t="s">
        <v>639</v>
      </c>
      <c r="F4" s="15" t="s">
        <v>598</v>
      </c>
      <c r="G4" s="16">
        <v>375000</v>
      </c>
      <c r="H4" s="17">
        <v>2018</v>
      </c>
      <c r="I4" s="18" t="s">
        <v>30</v>
      </c>
    </row>
    <row r="5" spans="1:9" ht="30" hidden="1" x14ac:dyDescent="0.25">
      <c r="A5" s="8">
        <v>2</v>
      </c>
      <c r="B5" s="15" t="s">
        <v>94</v>
      </c>
      <c r="C5" s="15" t="s">
        <v>237</v>
      </c>
      <c r="D5" s="15" t="s">
        <v>238</v>
      </c>
      <c r="E5" s="15" t="s">
        <v>650</v>
      </c>
      <c r="F5" s="15" t="s">
        <v>598</v>
      </c>
      <c r="G5" s="16">
        <v>150000</v>
      </c>
      <c r="H5" s="17">
        <v>2018</v>
      </c>
      <c r="I5" s="18" t="s">
        <v>30</v>
      </c>
    </row>
    <row r="6" spans="1:9" ht="30" hidden="1" x14ac:dyDescent="0.25">
      <c r="A6" s="60">
        <v>3</v>
      </c>
      <c r="B6" s="11" t="s">
        <v>94</v>
      </c>
      <c r="C6" s="11" t="s">
        <v>99</v>
      </c>
      <c r="D6" s="11" t="s">
        <v>100</v>
      </c>
      <c r="E6" s="11" t="s">
        <v>101</v>
      </c>
      <c r="F6" s="11" t="s">
        <v>29</v>
      </c>
      <c r="G6" s="12">
        <v>1500000</v>
      </c>
      <c r="H6" s="13">
        <v>2018</v>
      </c>
      <c r="I6" s="20" t="s">
        <v>30</v>
      </c>
    </row>
    <row r="7" spans="1:9" ht="30" hidden="1" x14ac:dyDescent="0.25">
      <c r="A7" s="8">
        <v>4</v>
      </c>
      <c r="B7" s="11" t="s">
        <v>94</v>
      </c>
      <c r="C7" s="11" t="s">
        <v>134</v>
      </c>
      <c r="D7" s="11" t="s">
        <v>135</v>
      </c>
      <c r="E7" s="11" t="s">
        <v>101</v>
      </c>
      <c r="F7" s="11" t="s">
        <v>29</v>
      </c>
      <c r="G7" s="12">
        <v>1500000</v>
      </c>
      <c r="H7" s="13">
        <v>2018</v>
      </c>
      <c r="I7" s="20" t="s">
        <v>30</v>
      </c>
    </row>
    <row r="8" spans="1:9" ht="30" hidden="1" x14ac:dyDescent="0.25">
      <c r="A8" s="60">
        <v>5</v>
      </c>
      <c r="B8" s="11" t="s">
        <v>94</v>
      </c>
      <c r="C8" s="11" t="s">
        <v>136</v>
      </c>
      <c r="D8" s="11" t="s">
        <v>137</v>
      </c>
      <c r="E8" s="11" t="s">
        <v>138</v>
      </c>
      <c r="F8" s="11" t="s">
        <v>29</v>
      </c>
      <c r="G8" s="12">
        <v>1500000</v>
      </c>
      <c r="H8" s="13">
        <v>2018</v>
      </c>
      <c r="I8" s="20" t="s">
        <v>30</v>
      </c>
    </row>
    <row r="9" spans="1:9" ht="30" hidden="1" x14ac:dyDescent="0.25">
      <c r="A9" s="8">
        <v>6</v>
      </c>
      <c r="B9" s="11" t="s">
        <v>94</v>
      </c>
      <c r="C9" s="11" t="s">
        <v>139</v>
      </c>
      <c r="D9" s="11" t="s">
        <v>137</v>
      </c>
      <c r="E9" s="11" t="s">
        <v>138</v>
      </c>
      <c r="F9" s="11" t="s">
        <v>29</v>
      </c>
      <c r="G9" s="12">
        <v>35000</v>
      </c>
      <c r="H9" s="13">
        <v>2018</v>
      </c>
      <c r="I9" s="20" t="s">
        <v>30</v>
      </c>
    </row>
    <row r="10" spans="1:9" hidden="1" x14ac:dyDescent="0.25">
      <c r="A10" s="60">
        <v>7</v>
      </c>
      <c r="B10" s="38" t="s">
        <v>94</v>
      </c>
      <c r="C10" s="38" t="s">
        <v>634</v>
      </c>
      <c r="D10" s="38" t="s">
        <v>172</v>
      </c>
      <c r="E10" s="38" t="s">
        <v>635</v>
      </c>
      <c r="F10" s="11" t="s">
        <v>29</v>
      </c>
      <c r="G10" s="12">
        <v>1500000</v>
      </c>
      <c r="H10" s="13">
        <v>2018</v>
      </c>
      <c r="I10" s="20" t="s">
        <v>30</v>
      </c>
    </row>
    <row r="11" spans="1:9" hidden="1" x14ac:dyDescent="0.25">
      <c r="A11" s="8">
        <v>8</v>
      </c>
      <c r="B11" s="11" t="s">
        <v>94</v>
      </c>
      <c r="C11" s="11" t="s">
        <v>604</v>
      </c>
      <c r="D11" s="11" t="s">
        <v>605</v>
      </c>
      <c r="E11" s="69" t="s">
        <v>606</v>
      </c>
      <c r="F11" s="11" t="s">
        <v>29</v>
      </c>
      <c r="G11" s="12">
        <v>500000</v>
      </c>
      <c r="H11" s="21">
        <v>2019</v>
      </c>
      <c r="I11" s="13" t="s">
        <v>30</v>
      </c>
    </row>
    <row r="12" spans="1:9" hidden="1" x14ac:dyDescent="0.25">
      <c r="A12" s="60">
        <v>9</v>
      </c>
      <c r="B12" s="11" t="s">
        <v>94</v>
      </c>
      <c r="C12" s="11" t="s">
        <v>583</v>
      </c>
      <c r="D12" s="11" t="s">
        <v>609</v>
      </c>
      <c r="E12" s="11" t="s">
        <v>138</v>
      </c>
      <c r="F12" s="11" t="s">
        <v>29</v>
      </c>
      <c r="G12" s="12"/>
      <c r="H12" s="21">
        <v>2019</v>
      </c>
      <c r="I12" s="20" t="s">
        <v>30</v>
      </c>
    </row>
    <row r="13" spans="1:9" hidden="1" x14ac:dyDescent="0.25">
      <c r="A13" s="8">
        <v>10</v>
      </c>
      <c r="B13" s="11" t="s">
        <v>94</v>
      </c>
      <c r="C13" s="11" t="s">
        <v>232</v>
      </c>
      <c r="D13" s="11" t="s">
        <v>233</v>
      </c>
      <c r="E13" s="11" t="s">
        <v>138</v>
      </c>
      <c r="F13" s="11" t="s">
        <v>29</v>
      </c>
      <c r="G13" s="12">
        <v>1500000</v>
      </c>
      <c r="H13" s="13">
        <v>2018</v>
      </c>
      <c r="I13" s="20" t="s">
        <v>30</v>
      </c>
    </row>
    <row r="14" spans="1:9" hidden="1" x14ac:dyDescent="0.25">
      <c r="A14" s="60">
        <v>11</v>
      </c>
      <c r="B14" s="11" t="s">
        <v>94</v>
      </c>
      <c r="C14" s="11" t="s">
        <v>234</v>
      </c>
      <c r="D14" s="11" t="s">
        <v>233</v>
      </c>
      <c r="E14" s="11" t="s">
        <v>138</v>
      </c>
      <c r="F14" s="11" t="s">
        <v>29</v>
      </c>
      <c r="G14" s="12">
        <v>1500000</v>
      </c>
      <c r="H14" s="13">
        <v>2018</v>
      </c>
      <c r="I14" s="20" t="s">
        <v>30</v>
      </c>
    </row>
    <row r="15" spans="1:9" ht="30" hidden="1" x14ac:dyDescent="0.25">
      <c r="A15" s="8">
        <v>12</v>
      </c>
      <c r="B15" s="11" t="s">
        <v>94</v>
      </c>
      <c r="C15" s="11" t="s">
        <v>607</v>
      </c>
      <c r="D15" s="11" t="s">
        <v>608</v>
      </c>
      <c r="E15" s="11" t="s">
        <v>138</v>
      </c>
      <c r="F15" s="11" t="s">
        <v>29</v>
      </c>
      <c r="G15" s="12">
        <v>250000</v>
      </c>
      <c r="H15" s="21">
        <v>2019</v>
      </c>
      <c r="I15" s="13" t="s">
        <v>30</v>
      </c>
    </row>
    <row r="16" spans="1:9" ht="30" hidden="1" x14ac:dyDescent="0.25">
      <c r="A16" s="60">
        <v>13</v>
      </c>
      <c r="B16" s="11" t="s">
        <v>94</v>
      </c>
      <c r="C16" s="11" t="s">
        <v>668</v>
      </c>
      <c r="D16" s="11" t="s">
        <v>231</v>
      </c>
      <c r="E16" s="11"/>
      <c r="F16" s="11" t="s">
        <v>29</v>
      </c>
      <c r="G16" s="12">
        <v>850000</v>
      </c>
      <c r="H16" s="13">
        <v>2018</v>
      </c>
      <c r="I16" s="20" t="s">
        <v>30</v>
      </c>
    </row>
    <row r="17" spans="1:9" ht="30" hidden="1" x14ac:dyDescent="0.25">
      <c r="A17" s="8">
        <v>14</v>
      </c>
      <c r="B17" s="11" t="s">
        <v>94</v>
      </c>
      <c r="C17" s="11" t="s">
        <v>267</v>
      </c>
      <c r="D17" s="11" t="s">
        <v>268</v>
      </c>
      <c r="E17" s="11" t="s">
        <v>269</v>
      </c>
      <c r="F17" s="11" t="s">
        <v>29</v>
      </c>
      <c r="G17" s="12">
        <v>850000</v>
      </c>
      <c r="H17" s="13">
        <v>2018</v>
      </c>
      <c r="I17" s="20" t="s">
        <v>30</v>
      </c>
    </row>
    <row r="18" spans="1:9" ht="45" hidden="1" x14ac:dyDescent="0.25">
      <c r="A18" s="60">
        <v>15</v>
      </c>
      <c r="B18" s="11" t="s">
        <v>94</v>
      </c>
      <c r="C18" s="11" t="s">
        <v>588</v>
      </c>
      <c r="D18" s="11" t="s">
        <v>589</v>
      </c>
      <c r="E18" s="11"/>
      <c r="F18" s="11" t="s">
        <v>29</v>
      </c>
      <c r="G18" s="12">
        <v>25000</v>
      </c>
      <c r="H18" s="21">
        <v>2019</v>
      </c>
      <c r="I18" s="20" t="s">
        <v>30</v>
      </c>
    </row>
    <row r="19" spans="1:9" hidden="1" x14ac:dyDescent="0.25">
      <c r="A19" s="8">
        <v>16</v>
      </c>
      <c r="B19" s="11" t="s">
        <v>94</v>
      </c>
      <c r="C19" s="11" t="s">
        <v>610</v>
      </c>
      <c r="D19" s="11"/>
      <c r="E19" s="11" t="s">
        <v>138</v>
      </c>
      <c r="F19" s="11" t="s">
        <v>29</v>
      </c>
      <c r="G19" s="12">
        <v>20000</v>
      </c>
      <c r="H19" s="21">
        <v>2019</v>
      </c>
      <c r="I19" s="20" t="s">
        <v>30</v>
      </c>
    </row>
    <row r="20" spans="1:9" hidden="1" x14ac:dyDescent="0.25">
      <c r="A20" s="60">
        <v>17</v>
      </c>
      <c r="B20" s="11" t="s">
        <v>94</v>
      </c>
      <c r="C20" s="11" t="s">
        <v>235</v>
      </c>
      <c r="D20" s="11" t="s">
        <v>236</v>
      </c>
      <c r="E20" s="11" t="s">
        <v>138</v>
      </c>
      <c r="F20" s="11" t="s">
        <v>29</v>
      </c>
      <c r="G20" s="12">
        <v>150000</v>
      </c>
      <c r="H20" s="13">
        <v>2018</v>
      </c>
      <c r="I20" s="20" t="s">
        <v>30</v>
      </c>
    </row>
    <row r="21" spans="1:9" hidden="1" x14ac:dyDescent="0.25">
      <c r="A21" s="8">
        <v>18</v>
      </c>
      <c r="B21" s="93" t="s">
        <v>94</v>
      </c>
      <c r="C21" s="93" t="s">
        <v>611</v>
      </c>
      <c r="D21" s="93" t="s">
        <v>612</v>
      </c>
      <c r="E21" s="93" t="s">
        <v>138</v>
      </c>
      <c r="F21" s="11" t="s">
        <v>29</v>
      </c>
      <c r="G21" s="12">
        <v>250000</v>
      </c>
      <c r="H21" s="21">
        <v>2019</v>
      </c>
      <c r="I21" s="13" t="s">
        <v>30</v>
      </c>
    </row>
    <row r="22" spans="1:9" ht="30" hidden="1" x14ac:dyDescent="0.25">
      <c r="A22" s="60">
        <v>19</v>
      </c>
      <c r="B22" s="11" t="s">
        <v>94</v>
      </c>
      <c r="C22" s="11" t="s">
        <v>613</v>
      </c>
      <c r="D22" s="11" t="s">
        <v>614</v>
      </c>
      <c r="E22" s="11" t="s">
        <v>138</v>
      </c>
      <c r="F22" s="11" t="s">
        <v>29</v>
      </c>
      <c r="G22" s="12">
        <v>500000</v>
      </c>
      <c r="H22" s="21">
        <v>2019</v>
      </c>
      <c r="I22" s="13" t="s">
        <v>30</v>
      </c>
    </row>
    <row r="23" spans="1:9" ht="30" hidden="1" x14ac:dyDescent="0.25">
      <c r="A23" s="8">
        <v>20</v>
      </c>
      <c r="B23" s="11" t="s">
        <v>94</v>
      </c>
      <c r="C23" s="38" t="s">
        <v>270</v>
      </c>
      <c r="D23" s="38" t="s">
        <v>271</v>
      </c>
      <c r="E23" s="38" t="s">
        <v>272</v>
      </c>
      <c r="F23" s="11" t="s">
        <v>29</v>
      </c>
      <c r="G23" s="12">
        <v>5000</v>
      </c>
      <c r="H23" s="13">
        <v>2018</v>
      </c>
      <c r="I23" s="20" t="s">
        <v>30</v>
      </c>
    </row>
    <row r="24" spans="1:9" ht="30" hidden="1" x14ac:dyDescent="0.25">
      <c r="A24" s="60">
        <v>21</v>
      </c>
      <c r="B24" s="11" t="s">
        <v>94</v>
      </c>
      <c r="C24" s="1" t="s">
        <v>319</v>
      </c>
      <c r="D24" s="1" t="s">
        <v>320</v>
      </c>
      <c r="E24" s="99" t="s">
        <v>321</v>
      </c>
      <c r="F24" s="11" t="s">
        <v>29</v>
      </c>
      <c r="G24" s="12">
        <v>50000</v>
      </c>
      <c r="H24" s="13">
        <v>2018</v>
      </c>
      <c r="I24" s="20" t="s">
        <v>30</v>
      </c>
    </row>
    <row r="25" spans="1:9" hidden="1" x14ac:dyDescent="0.25">
      <c r="A25" s="8">
        <v>22</v>
      </c>
      <c r="B25" s="11" t="s">
        <v>94</v>
      </c>
      <c r="C25" s="11" t="s">
        <v>581</v>
      </c>
      <c r="D25" s="11" t="s">
        <v>582</v>
      </c>
      <c r="E25" s="11"/>
      <c r="F25" s="11" t="s">
        <v>29</v>
      </c>
      <c r="G25" s="12">
        <v>650000</v>
      </c>
      <c r="H25" s="21">
        <v>2019</v>
      </c>
      <c r="I25" s="20" t="s">
        <v>30</v>
      </c>
    </row>
    <row r="26" spans="1:9" ht="30" hidden="1" x14ac:dyDescent="0.25">
      <c r="A26" s="60">
        <v>23</v>
      </c>
      <c r="B26" s="11" t="s">
        <v>94</v>
      </c>
      <c r="C26" s="11" t="s">
        <v>411</v>
      </c>
      <c r="D26" s="11" t="s">
        <v>412</v>
      </c>
      <c r="E26" s="11" t="s">
        <v>413</v>
      </c>
      <c r="F26" s="11" t="s">
        <v>29</v>
      </c>
      <c r="G26" s="12">
        <v>150000</v>
      </c>
      <c r="H26" s="13">
        <v>2018</v>
      </c>
      <c r="I26" s="20" t="s">
        <v>30</v>
      </c>
    </row>
    <row r="27" spans="1:9" hidden="1" x14ac:dyDescent="0.25">
      <c r="A27" s="8">
        <v>24</v>
      </c>
      <c r="B27" s="11" t="s">
        <v>94</v>
      </c>
      <c r="C27" s="11" t="s">
        <v>586</v>
      </c>
      <c r="D27" s="11" t="s">
        <v>587</v>
      </c>
      <c r="E27" s="11"/>
      <c r="F27" s="11" t="s">
        <v>29</v>
      </c>
      <c r="G27" s="12">
        <v>50000</v>
      </c>
      <c r="H27" s="21">
        <v>2019</v>
      </c>
      <c r="I27" s="20" t="s">
        <v>30</v>
      </c>
    </row>
    <row r="28" spans="1:9" x14ac:dyDescent="0.25">
      <c r="A28" s="60">
        <v>25</v>
      </c>
      <c r="B28" s="11" t="s">
        <v>94</v>
      </c>
      <c r="C28" s="11" t="s">
        <v>592</v>
      </c>
      <c r="D28" s="11" t="s">
        <v>593</v>
      </c>
      <c r="E28" s="11"/>
      <c r="F28" s="11" t="s">
        <v>29</v>
      </c>
      <c r="G28" s="12">
        <v>350000</v>
      </c>
      <c r="H28" s="21">
        <v>2019</v>
      </c>
      <c r="I28" s="20" t="s">
        <v>34</v>
      </c>
    </row>
    <row r="29" spans="1:9" ht="45" x14ac:dyDescent="0.25">
      <c r="A29" s="8">
        <v>26</v>
      </c>
      <c r="B29" s="11" t="s">
        <v>94</v>
      </c>
      <c r="C29" s="11" t="s">
        <v>590</v>
      </c>
      <c r="D29" s="11" t="s">
        <v>591</v>
      </c>
      <c r="E29" s="11"/>
      <c r="F29" s="11" t="s">
        <v>29</v>
      </c>
      <c r="G29" s="12"/>
      <c r="H29" s="21">
        <v>2019</v>
      </c>
      <c r="I29" s="20" t="s">
        <v>34</v>
      </c>
    </row>
    <row r="30" spans="1:9" x14ac:dyDescent="0.25">
      <c r="A30" s="60">
        <v>27</v>
      </c>
      <c r="B30" s="11" t="s">
        <v>94</v>
      </c>
      <c r="C30" s="11" t="s">
        <v>465</v>
      </c>
      <c r="D30" s="11" t="s">
        <v>466</v>
      </c>
      <c r="E30" s="11" t="s">
        <v>467</v>
      </c>
      <c r="F30" s="11" t="s">
        <v>29</v>
      </c>
      <c r="G30" s="12">
        <v>200000</v>
      </c>
      <c r="H30" s="13">
        <v>2018</v>
      </c>
      <c r="I30" s="20" t="s">
        <v>34</v>
      </c>
    </row>
    <row r="31" spans="1:9" ht="30" hidden="1" x14ac:dyDescent="0.25">
      <c r="A31" s="8">
        <v>28</v>
      </c>
      <c r="B31" s="11" t="s">
        <v>94</v>
      </c>
      <c r="C31" s="11" t="s">
        <v>506</v>
      </c>
      <c r="D31" s="11" t="s">
        <v>507</v>
      </c>
      <c r="E31" s="11" t="s">
        <v>508</v>
      </c>
      <c r="F31" s="11" t="s">
        <v>29</v>
      </c>
      <c r="G31" s="12">
        <v>350000</v>
      </c>
      <c r="H31" s="13">
        <v>2018</v>
      </c>
      <c r="I31" s="20" t="s">
        <v>30</v>
      </c>
    </row>
    <row r="32" spans="1:9" ht="30" x14ac:dyDescent="0.25">
      <c r="A32" s="60">
        <v>29</v>
      </c>
      <c r="B32" s="11" t="s">
        <v>94</v>
      </c>
      <c r="C32" s="11" t="s">
        <v>462</v>
      </c>
      <c r="D32" s="11" t="s">
        <v>463</v>
      </c>
      <c r="E32" s="11" t="s">
        <v>464</v>
      </c>
      <c r="F32" s="11" t="s">
        <v>29</v>
      </c>
      <c r="G32" s="12">
        <v>400000</v>
      </c>
      <c r="H32" s="13">
        <v>2018</v>
      </c>
      <c r="I32" s="20" t="s">
        <v>34</v>
      </c>
    </row>
    <row r="33" spans="1:9" ht="30" x14ac:dyDescent="0.25">
      <c r="A33" s="8">
        <v>30</v>
      </c>
      <c r="B33" s="11" t="s">
        <v>94</v>
      </c>
      <c r="C33" s="11" t="s">
        <v>503</v>
      </c>
      <c r="D33" s="11" t="s">
        <v>504</v>
      </c>
      <c r="E33" s="11" t="s">
        <v>505</v>
      </c>
      <c r="F33" s="11" t="s">
        <v>29</v>
      </c>
      <c r="G33" s="12">
        <v>75000</v>
      </c>
      <c r="H33" s="13">
        <v>2018</v>
      </c>
      <c r="I33" s="20" t="s">
        <v>34</v>
      </c>
    </row>
    <row r="34" spans="1:9" ht="30" hidden="1" x14ac:dyDescent="0.25">
      <c r="A34" s="60">
        <v>31</v>
      </c>
      <c r="B34" s="11" t="s">
        <v>94</v>
      </c>
      <c r="C34" s="11" t="s">
        <v>522</v>
      </c>
      <c r="D34" s="11" t="s">
        <v>523</v>
      </c>
      <c r="E34" s="11" t="s">
        <v>524</v>
      </c>
      <c r="F34" s="11" t="s">
        <v>29</v>
      </c>
      <c r="G34" s="12">
        <v>100000</v>
      </c>
      <c r="H34" s="13">
        <v>2018</v>
      </c>
      <c r="I34" s="20" t="s">
        <v>30</v>
      </c>
    </row>
    <row r="35" spans="1:9" ht="30" x14ac:dyDescent="0.25">
      <c r="A35" s="8">
        <v>32</v>
      </c>
      <c r="B35" s="11" t="s">
        <v>94</v>
      </c>
      <c r="C35" s="11" t="s">
        <v>535</v>
      </c>
      <c r="D35" s="11" t="s">
        <v>536</v>
      </c>
      <c r="E35" s="11" t="s">
        <v>537</v>
      </c>
      <c r="F35" s="11" t="s">
        <v>29</v>
      </c>
      <c r="G35" s="12">
        <v>500000</v>
      </c>
      <c r="H35" s="13">
        <v>2018</v>
      </c>
      <c r="I35" s="20" t="s">
        <v>34</v>
      </c>
    </row>
    <row r="36" spans="1:9" ht="45" x14ac:dyDescent="0.25">
      <c r="A36" s="60">
        <v>33</v>
      </c>
      <c r="B36" s="11" t="s">
        <v>94</v>
      </c>
      <c r="C36" s="11" t="s">
        <v>538</v>
      </c>
      <c r="D36" s="11" t="s">
        <v>539</v>
      </c>
      <c r="E36" s="11" t="s">
        <v>540</v>
      </c>
      <c r="F36" s="11" t="s">
        <v>29</v>
      </c>
      <c r="G36" s="12">
        <v>1500000</v>
      </c>
      <c r="H36" s="13">
        <v>2018</v>
      </c>
      <c r="I36" s="20" t="s">
        <v>34</v>
      </c>
    </row>
    <row r="37" spans="1:9" s="48" customFormat="1" hidden="1" x14ac:dyDescent="0.25">
      <c r="A37" s="133"/>
      <c r="B37" s="93"/>
      <c r="C37" s="93"/>
      <c r="D37" s="93"/>
      <c r="E37" s="93"/>
      <c r="F37" s="11"/>
      <c r="G37" s="12"/>
      <c r="H37" s="21"/>
    </row>
    <row r="38" spans="1:9" s="48" customFormat="1" hidden="1" x14ac:dyDescent="0.25">
      <c r="A38" s="20"/>
      <c r="B38" s="11"/>
      <c r="C38" s="11"/>
      <c r="D38" s="11"/>
      <c r="E38" s="11"/>
      <c r="F38" s="11"/>
      <c r="G38" s="12"/>
      <c r="H38" s="21"/>
    </row>
    <row r="39" spans="1:9" hidden="1" x14ac:dyDescent="0.25">
      <c r="A39" s="8"/>
      <c r="B39" s="86"/>
      <c r="C39" s="23"/>
      <c r="D39" s="23"/>
      <c r="E39" s="23"/>
      <c r="F39" s="23"/>
      <c r="G39" s="25"/>
      <c r="H39" s="26"/>
    </row>
    <row r="40" spans="1:9" hidden="1" x14ac:dyDescent="0.25">
      <c r="A40" s="8"/>
      <c r="B40" s="87"/>
      <c r="C40" s="88"/>
      <c r="D40" s="88"/>
      <c r="E40" s="88"/>
      <c r="F40" s="23"/>
      <c r="G40" s="89"/>
      <c r="H40" s="90"/>
    </row>
  </sheetData>
  <mergeCells count="1">
    <mergeCell ref="A1:I2"/>
  </mergeCells>
  <conditionalFormatting sqref="C4:C36">
    <cfRule type="duplicateValues" priority="1"/>
  </conditionalFormatting>
  <dataValidations count="3">
    <dataValidation type="list" allowBlank="1" showInputMessage="1" showErrorMessage="1" sqref="G41:H113 G39:G40" xr:uid="{00000000-0002-0000-1400-000000000000}">
      <formula1>"implist"</formula1>
    </dataValidation>
    <dataValidation type="list" allowBlank="1" showInputMessage="1" showErrorMessage="1" sqref="F4:F40" xr:uid="{00000000-0002-0000-1400-000001000000}">
      <formula1>Status</formula1>
    </dataValidation>
    <dataValidation type="list" allowBlank="1" showInputMessage="1" showErrorMessage="1" sqref="I4:I36" xr:uid="{00000000-0002-0000-1400-000002000000}">
      <formula1>Funding</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Current Projects</vt:lpstr>
      <vt:lpstr>Database</vt:lpstr>
      <vt:lpstr>Overall Master</vt:lpstr>
      <vt:lpstr>MM Master</vt:lpstr>
      <vt:lpstr>CIP Master</vt:lpstr>
      <vt:lpstr>Hospital (inhouse)</vt:lpstr>
      <vt:lpstr>Building Maint</vt:lpstr>
      <vt:lpstr>Civic Center</vt:lpstr>
      <vt:lpstr>Comm Dev</vt:lpstr>
      <vt:lpstr>Fire</vt:lpstr>
      <vt:lpstr>Library</vt:lpstr>
      <vt:lpstr>IT</vt:lpstr>
      <vt:lpstr>Museum</vt:lpstr>
      <vt:lpstr>PVMC Hospital </vt:lpstr>
      <vt:lpstr>Park Maint</vt:lpstr>
      <vt:lpstr>Parks &amp; Rec</vt:lpstr>
      <vt:lpstr>PD-PubSaf-Animal </vt:lpstr>
      <vt:lpstr>Ports &amp; Harbor</vt:lpstr>
      <vt:lpstr>Public Works</vt:lpstr>
      <vt:lpstr>Senior Center</vt:lpstr>
      <vt:lpstr>Valdez City Schools</vt:lpstr>
      <vt:lpstr>Age_Inf</vt:lpstr>
      <vt:lpstr>Com_Need</vt:lpstr>
      <vt:lpstr>Com_Request</vt:lpstr>
      <vt:lpstr>Department</vt:lpstr>
      <vt:lpstr>Department_List</vt:lpstr>
      <vt:lpstr>ele_pri</vt:lpstr>
      <vt:lpstr>Energy</vt:lpstr>
      <vt:lpstr>Epriority</vt:lpstr>
      <vt:lpstr>Funding</vt:lpstr>
      <vt:lpstr>Importance</vt:lpstr>
      <vt:lpstr>Importance_List</vt:lpstr>
      <vt:lpstr>MasterPlan</vt:lpstr>
      <vt:lpstr>Otherlist</vt:lpstr>
      <vt:lpstr>Others</vt:lpstr>
      <vt:lpstr>'Overall Master'!Print_Area</vt:lpstr>
      <vt:lpstr>Revenue</vt:lpstr>
      <vt:lpstr>Risk</vt:lpstr>
      <vt:lpstr>Status</vt:lpstr>
      <vt:lpstr>Status_Score</vt:lpstr>
      <vt:lpstr>Urgency</vt:lpstr>
      <vt:lpstr>Urgency_List</vt:lpstr>
    </vt:vector>
  </TitlesOfParts>
  <Company>City of Valdez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Ross</dc:creator>
  <cp:lastModifiedBy>Patricia Relay</cp:lastModifiedBy>
  <cp:lastPrinted>2022-02-25T00:18:38Z</cp:lastPrinted>
  <dcterms:created xsi:type="dcterms:W3CDTF">2019-01-25T20:39:23Z</dcterms:created>
  <dcterms:modified xsi:type="dcterms:W3CDTF">2022-11-19T01:32:06Z</dcterms:modified>
</cp:coreProperties>
</file>